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MAP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'WEST MAP'!$A$1:$AG$100</definedName>
    <definedName function="false" hidden="false" name="Data" vbProcedure="false">[2]Data!$A$1:$X$3001</definedName>
    <definedName function="false" hidden="false" name="Data2" vbProcedure="false">[2]Data!$AB$2:$DF$24</definedName>
    <definedName function="false" hidden="false" localSheetId="0" name="DDE_LINK2" vbProcedure="false">'WEST MAP'!$G$66</definedName>
    <definedName function="false" hidden="false" localSheetId="0" name="TABLE" vbProcedure="false">'WEST MAP'!$G$66:$G$67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X7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USED TO BE MAR 21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5</xdr:row>
                <xdr:rowOff>7</xdr:rowOff>
              </xdr:from>
              <xdr:to>
                <xdr:col>25</xdr:col>
                <xdr:colOff>55</xdr:colOff>
                <xdr:row>9</xdr:row>
                <xdr:rowOff>2</xdr:rowOff>
              </xdr:to>
            </anchor>
          </commentPr>
        </mc:Choice>
        <mc:Fallback/>
      </mc:AlternateContent>
    </comment>
    <comment ref="Y7" authorId="0">
      <text>
        <r>
          <rPr>
            <b val="true"/>
            <sz val="8"/>
            <color rgb="FF000000"/>
            <rFont val="Tahoma"/>
            <family val="0"/>
          </rPr>
          <t xml:space="preserve">sbrodeu:
</t>
        </r>
        <r>
          <rPr>
            <sz val="8"/>
            <color rgb="FF000000"/>
            <rFont val="Tahoma"/>
            <family val="0"/>
          </rPr>
          <t xml:space="preserve">USED TO BE MAR 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5</xdr:row>
                <xdr:rowOff>7</xdr:rowOff>
              </xdr:from>
              <xdr:to>
                <xdr:col>26</xdr:col>
                <xdr:colOff>60</xdr:colOff>
                <xdr:row>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<sst xmlns="http://schemas.openxmlformats.org/spreadsheetml/2006/main" count="234" uniqueCount="154">
  <si>
    <t xml:space="preserve">NWP / PGT GAS FLOW MAP</t>
  </si>
  <si>
    <t xml:space="preserve">BEGIN</t>
  </si>
  <si>
    <t xml:space="preserve">END</t>
  </si>
  <si>
    <t xml:space="preserve">KINGSGATE</t>
  </si>
  <si>
    <t xml:space="preserve">JACKSON PRAIRIE</t>
  </si>
  <si>
    <t xml:space="preserve">BALANCE</t>
  </si>
  <si>
    <t xml:space="preserve">OUTAGE SCHEDULE</t>
  </si>
  <si>
    <t xml:space="preserve">Available</t>
  </si>
  <si>
    <t xml:space="preserve">Impact </t>
  </si>
  <si>
    <t xml:space="preserve">SUMAS</t>
  </si>
  <si>
    <t xml:space="preserve">SIPI</t>
  </si>
  <si>
    <t xml:space="preserve">TOTAL</t>
  </si>
  <si>
    <t xml:space="preserve">Plant</t>
  </si>
  <si>
    <t xml:space="preserve">Location</t>
  </si>
  <si>
    <t xml:space="preserve">Start Date</t>
  </si>
  <si>
    <t xml:space="preserve">End Date</t>
  </si>
  <si>
    <t xml:space="preserve">%</t>
  </si>
  <si>
    <t xml:space="preserve">mmscf</t>
  </si>
  <si>
    <t xml:space="preserve">Details </t>
  </si>
  <si>
    <t xml:space="preserve">Shippers/Producers affected</t>
  </si>
  <si>
    <t xml:space="preserve">STARR ROAD Receipt</t>
  </si>
  <si>
    <t xml:space="preserve">MTD</t>
  </si>
  <si>
    <t xml:space="preserve">Ft. Nelson</t>
  </si>
  <si>
    <t xml:space="preserve">20" Pointed Mountain</t>
  </si>
  <si>
    <t xml:space="preserve">Pigging Barrel Replacement</t>
  </si>
  <si>
    <t xml:space="preserve">Amoco, Anderson, Wascana, AEC</t>
  </si>
  <si>
    <t xml:space="preserve">-</t>
  </si>
  <si>
    <t xml:space="preserve">24" Beaver River</t>
  </si>
  <si>
    <t xml:space="preserve">Announced Unplanned Outage</t>
  </si>
  <si>
    <t xml:space="preserve">Amoco, Anderson, AEC West</t>
  </si>
  <si>
    <t xml:space="preserve">Muddy Creek </t>
  </si>
  <si>
    <t xml:space="preserve">Muddy Creek Supply Restricted to 310 </t>
  </si>
  <si>
    <t xml:space="preserve">       RATHDRUM</t>
  </si>
  <si>
    <t xml:space="preserve">(On Capacity of 400 North, 360 South)</t>
  </si>
  <si>
    <t xml:space="preserve">CAPACITY</t>
  </si>
  <si>
    <t xml:space="preserve">CAPACITY - Inj. 430</t>
  </si>
  <si>
    <t xml:space="preserve">Others ****</t>
  </si>
  <si>
    <t xml:space="preserve">                    - With.  559</t>
  </si>
  <si>
    <t xml:space="preserve">CHEHALIS</t>
  </si>
  <si>
    <t xml:space="preserve">Others*</t>
  </si>
  <si>
    <t xml:space="preserve">SPOKANE (NWP)</t>
  </si>
  <si>
    <t xml:space="preserve">ROOSEVELT</t>
  </si>
  <si>
    <t xml:space="preserve">Others***</t>
  </si>
  <si>
    <t xml:space="preserve">South Capacity</t>
  </si>
  <si>
    <t xml:space="preserve">North Capacity</t>
  </si>
  <si>
    <t xml:space="preserve">Fuel</t>
  </si>
  <si>
    <t xml:space="preserve">WASHOUGAL DLVY + COMPR.</t>
  </si>
  <si>
    <t xml:space="preserve">NWP STANFIELD</t>
  </si>
  <si>
    <t xml:space="preserve">(North Flow)</t>
  </si>
  <si>
    <t xml:space="preserve">(South Flow)</t>
  </si>
  <si>
    <t xml:space="preserve">Del. Capacity</t>
  </si>
  <si>
    <t xml:space="preserve">Rec. Capacity</t>
  </si>
  <si>
    <t xml:space="preserve">To Oregon City</t>
  </si>
  <si>
    <t xml:space="preserve">CAPACITY - REC. 511</t>
  </si>
  <si>
    <t xml:space="preserve">                    - DEL. 200</t>
  </si>
  <si>
    <t xml:space="preserve">         PLYMOUTH</t>
  </si>
  <si>
    <t xml:space="preserve">S. HERMISTON</t>
  </si>
  <si>
    <t xml:space="preserve">SHUTE CREEK PLANT</t>
  </si>
  <si>
    <t xml:space="preserve">KEMMERER</t>
  </si>
  <si>
    <t xml:space="preserve">Others**</t>
  </si>
  <si>
    <t xml:space="preserve">MEACHAM</t>
  </si>
  <si>
    <t xml:space="preserve">COYOTE SPRINGS</t>
  </si>
  <si>
    <t xml:space="preserve">OPAL GAS PLANT</t>
  </si>
  <si>
    <t xml:space="preserve">RECEIPT</t>
  </si>
  <si>
    <t xml:space="preserve">DELIVERY</t>
  </si>
  <si>
    <t xml:space="preserve">NET</t>
  </si>
  <si>
    <t xml:space="preserve">Station 14</t>
  </si>
  <si>
    <t xml:space="preserve">RENO LAT.</t>
  </si>
  <si>
    <t xml:space="preserve">MEDFORD</t>
  </si>
  <si>
    <t xml:space="preserve">CIG</t>
  </si>
  <si>
    <t xml:space="preserve">PAINTER</t>
  </si>
  <si>
    <t xml:space="preserve">Muddy Creek - Kern</t>
  </si>
  <si>
    <t xml:space="preserve">MALIN</t>
  </si>
  <si>
    <t xml:space="preserve">MUDDY CREEK - NWPL</t>
  </si>
  <si>
    <t xml:space="preserve">Cap.</t>
  </si>
  <si>
    <t xml:space="preserve">TUSCARORA</t>
  </si>
  <si>
    <t xml:space="preserve">GREEN RIVER</t>
  </si>
  <si>
    <t xml:space="preserve">Kern River P/L</t>
  </si>
  <si>
    <t xml:space="preserve">Ignacio</t>
  </si>
  <si>
    <t xml:space="preserve">FILLMORE</t>
  </si>
  <si>
    <t xml:space="preserve">Bondad</t>
  </si>
  <si>
    <t xml:space="preserve">LaMaquina</t>
  </si>
  <si>
    <t xml:space="preserve">ANSCHUTZ</t>
  </si>
  <si>
    <t xml:space="preserve">Red Cedar</t>
  </si>
  <si>
    <t xml:space="preserve">Milagro</t>
  </si>
  <si>
    <t xml:space="preserve">Burlington</t>
  </si>
  <si>
    <t xml:space="preserve">GOODSPRINGS</t>
  </si>
  <si>
    <t xml:space="preserve">Kutz</t>
  </si>
  <si>
    <t xml:space="preserve">CLAY BASIN</t>
  </si>
  <si>
    <t xml:space="preserve">Chaco-Blanco</t>
  </si>
  <si>
    <t xml:space="preserve">NWPL</t>
  </si>
  <si>
    <t xml:space="preserve">Balance</t>
  </si>
  <si>
    <t xml:space="preserve">QUESTAR</t>
  </si>
  <si>
    <t xml:space="preserve">LA PLATA B</t>
  </si>
  <si>
    <t xml:space="preserve">EOC N</t>
  </si>
  <si>
    <t xml:space="preserve">LEGEND</t>
  </si>
  <si>
    <t xml:space="preserve">       To: Ehrenberg, Mojave, PG&amp;E, SoCal</t>
  </si>
  <si>
    <t xml:space="preserve">Topock</t>
  </si>
  <si>
    <t xml:space="preserve">    Permian Basin</t>
  </si>
  <si>
    <t xml:space="preserve">Compressor St.</t>
  </si>
  <si>
    <t xml:space="preserve">(+) South Flow</t>
  </si>
  <si>
    <t xml:space="preserve">Plains Station</t>
  </si>
  <si>
    <t xml:space="preserve">(-) North Flow</t>
  </si>
  <si>
    <t xml:space="preserve">N/A</t>
  </si>
  <si>
    <t xml:space="preserve">CAPACITY - Inj. 339</t>
  </si>
  <si>
    <t xml:space="preserve">North</t>
  </si>
  <si>
    <t xml:space="preserve">South</t>
  </si>
  <si>
    <t xml:space="preserve">                    - With.  330</t>
  </si>
  <si>
    <t xml:space="preserve">Capacity</t>
  </si>
  <si>
    <t xml:space="preserve">Del/Rec Point</t>
  </si>
  <si>
    <t xml:space="preserve">(+) Received into Pipeline</t>
  </si>
  <si>
    <t xml:space="preserve">(-) Delivered off of System</t>
  </si>
  <si>
    <t xml:space="preserve">Window Rock</t>
  </si>
  <si>
    <t xml:space="preserve">Storage Field</t>
  </si>
  <si>
    <t xml:space="preserve">(+) Withdrawal from Storage</t>
  </si>
  <si>
    <t xml:space="preserve">SJ West</t>
  </si>
  <si>
    <t xml:space="preserve">SJ Total</t>
  </si>
  <si>
    <t xml:space="preserve">SJ East</t>
  </si>
  <si>
    <t xml:space="preserve">(-) Injection into Storage</t>
  </si>
  <si>
    <t xml:space="preserve">Ehrenberg</t>
  </si>
  <si>
    <t xml:space="preserve">EOC S</t>
  </si>
  <si>
    <t xml:space="preserve">Gas Plant</t>
  </si>
  <si>
    <t xml:space="preserve">SoCal</t>
  </si>
  <si>
    <t xml:space="preserve">KEYSTONE W.</t>
  </si>
  <si>
    <t xml:space="preserve">WAHA</t>
  </si>
  <si>
    <r>
      <rPr>
        <b val="true"/>
        <u val="single"/>
        <sz val="11"/>
        <rFont val="Arial"/>
        <family val="2"/>
      </rPr>
      <t xml:space="preserve">* Others Include: </t>
    </r>
    <r>
      <rPr>
        <b val="true"/>
        <u val="single"/>
        <sz val="8"/>
        <rFont val="Arial"/>
        <family val="2"/>
      </rPr>
      <t xml:space="preserve">(Meacham to Roosevelt)</t>
    </r>
  </si>
  <si>
    <r>
      <rPr>
        <b val="true"/>
        <u val="single"/>
        <sz val="11"/>
        <rFont val="Arial"/>
        <family val="2"/>
      </rPr>
      <t xml:space="preserve">** Others Include: </t>
    </r>
    <r>
      <rPr>
        <b val="true"/>
        <u val="single"/>
        <sz val="8"/>
        <rFont val="Arial"/>
        <family val="2"/>
      </rPr>
      <t xml:space="preserve">(Kemmerer to Meacham)</t>
    </r>
  </si>
  <si>
    <r>
      <rPr>
        <b val="true"/>
        <u val="single"/>
        <sz val="11"/>
        <rFont val="Arial"/>
        <family val="2"/>
      </rPr>
      <t xml:space="preserve">*** Others Include:</t>
    </r>
    <r>
      <rPr>
        <b val="true"/>
        <u val="single"/>
        <sz val="8"/>
        <rFont val="Arial"/>
        <family val="2"/>
      </rPr>
      <t xml:space="preserve"> (Kingsgate to Malin)</t>
    </r>
  </si>
  <si>
    <r>
      <rPr>
        <b val="true"/>
        <u val="single"/>
        <sz val="11"/>
        <rFont val="Arial"/>
        <family val="2"/>
      </rPr>
      <t xml:space="preserve">**** Others Include: </t>
    </r>
    <r>
      <rPr>
        <b val="true"/>
        <u val="single"/>
        <sz val="8"/>
        <rFont val="Arial"/>
        <family val="2"/>
      </rPr>
      <t xml:space="preserve">(Chehalis to Roosevelt)</t>
    </r>
  </si>
  <si>
    <t xml:space="preserve">Kern</t>
  </si>
  <si>
    <t xml:space="preserve">Capacity </t>
  </si>
  <si>
    <t xml:space="preserve">Operationnally Available</t>
  </si>
  <si>
    <t xml:space="preserve">Utilized</t>
  </si>
  <si>
    <t xml:space="preserve">GREEN RIVER DELIVERY               </t>
  </si>
  <si>
    <t xml:space="preserve">PALOUSE</t>
  </si>
  <si>
    <t xml:space="preserve">RIVER ROAD                         </t>
  </si>
  <si>
    <t xml:space="preserve">Anschutz Plant Comp.</t>
  </si>
  <si>
    <t xml:space="preserve">FINLEY PLANT                       </t>
  </si>
  <si>
    <t xml:space="preserve">MICA</t>
  </si>
  <si>
    <t xml:space="preserve">DEER ISLAND                        </t>
  </si>
  <si>
    <t xml:space="preserve">Painter Plant Comp.</t>
  </si>
  <si>
    <t xml:space="preserve">BURBANK HEIGHTS                    </t>
  </si>
  <si>
    <t xml:space="preserve">BEND</t>
  </si>
  <si>
    <t xml:space="preserve">SOUTH LONGVIEW FIBRE               </t>
  </si>
  <si>
    <t xml:space="preserve">Goodsprings Comp.</t>
  </si>
  <si>
    <t xml:space="preserve">LEWISTON PFI                       </t>
  </si>
  <si>
    <t xml:space="preserve">KLAMATH FALLS</t>
  </si>
  <si>
    <t xml:space="preserve">KELSO/BEAVER                       </t>
  </si>
  <si>
    <t xml:space="preserve">Fillmore Comp.</t>
  </si>
  <si>
    <t xml:space="preserve">STANFIELD DELIVERY                 </t>
  </si>
  <si>
    <t xml:space="preserve">OTHERS</t>
  </si>
  <si>
    <t xml:space="preserve">Muddy Creek Comp.</t>
  </si>
  <si>
    <t xml:space="preserve">SPOKANE MEAD                       </t>
  </si>
  <si>
    <t xml:space="preserve">STARR ROAD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</si>
</sst>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d\-mmm\-yy"/>
    <numFmt numFmtId="166" formatCode="[$-409]mmm\-yy"/>
    <numFmt numFmtId="167" formatCode="[$-409]General"/>
    <numFmt numFmtId="168" formatCode="[$-409]#,##0_);[RED]\(#,##0\)"/>
    <numFmt numFmtId="169" formatCode="0%"/>
    <numFmt numFmtId="170" formatCode="#,##0"/>
    <numFmt numFmtId="171" formatCode="&quot;VS &quot;mmm\-yy"/>
    <numFmt numFmtId="172" formatCode="0_);[RED]\(0\)"/>
    <numFmt numFmtId="173" formatCode="[$-409]d\-mmm"/>
    <numFmt numFmtId="174" formatCode="0"/>
    <numFmt numFmtId="175" formatCode="[$-409]#,##0_);\(#,##0\)"/>
    <numFmt numFmtId="176" formatCode="0.00%"/>
    <numFmt numFmtId="177" formatCode="_(* #,##0.00_);_(* \(#,##0.00\);_(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b val="true"/>
      <u val="single"/>
      <sz val="11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1"/>
      <color rgb="FFFF0000"/>
      <name val="Arial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i val="true"/>
      <sz val="10"/>
      <name val="Arial"/>
      <family val="2"/>
    </font>
    <font>
      <i val="true"/>
      <sz val="11"/>
      <name val="Arial"/>
      <family val="2"/>
    </font>
    <font>
      <sz val="10"/>
      <color rgb="FFFFFFFF"/>
      <name val="Arial"/>
      <family val="2"/>
    </font>
    <font>
      <u val="single"/>
      <sz val="10"/>
      <name val="Arial"/>
      <family val="2"/>
    </font>
    <font>
      <b val="true"/>
      <u val="single"/>
      <sz val="8"/>
      <name val="Arial"/>
      <family val="2"/>
    </font>
    <font>
      <u val="single"/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hehalis" xfId="20"/>
    <cellStyle name="Normal_Kemmerer" xfId="21"/>
    <cellStyle name="Normal_La Plata B" xfId="22"/>
    <cellStyle name="Normal_Opal Plant" xfId="23"/>
    <cellStyle name="Normal_Roosevelt" xfId="24"/>
    <cellStyle name="Normal_Sheet1" xfId="25"/>
    <cellStyle name="Normal_Sheet2" xfId="26"/>
    <cellStyle name="Normal_Sheet3" xfId="27"/>
    <cellStyle name="Normal_Sheet4" xfId="28"/>
    <cellStyle name="Normal_Sheet5" xfId="29"/>
    <cellStyle name="Normal_Sheet6" xfId="30"/>
    <cellStyle name="Normal_Sheet7" xfId="31"/>
    <cellStyle name="Normal_Sheet8" xfId="32"/>
    <cellStyle name="Normal_Sheet9" xfId="33"/>
    <cellStyle name="Normal_Stanfield Delivery" xfId="34"/>
    <cellStyle name="Normal_Stanfield Receipt" xfId="35"/>
    <cellStyle name="Normal_Sumas-Sipi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80640</xdr:colOff>
      <xdr:row>9</xdr:row>
      <xdr:rowOff>19080</xdr:rowOff>
    </xdr:from>
    <xdr:to>
      <xdr:col>5</xdr:col>
      <xdr:colOff>463320</xdr:colOff>
      <xdr:row>11</xdr:row>
      <xdr:rowOff>57240</xdr:rowOff>
    </xdr:to>
    <xdr:sp>
      <xdr:nvSpPr>
        <xdr:cNvPr id="0" name="Oval 1"/>
        <xdr:cNvSpPr/>
      </xdr:nvSpPr>
      <xdr:spPr>
        <a:xfrm>
          <a:off x="3984480" y="1704960"/>
          <a:ext cx="3826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654120</xdr:colOff>
      <xdr:row>7</xdr:row>
      <xdr:rowOff>47160</xdr:rowOff>
    </xdr:from>
    <xdr:to>
      <xdr:col>17</xdr:col>
      <xdr:colOff>142200</xdr:colOff>
      <xdr:row>9</xdr:row>
      <xdr:rowOff>85680</xdr:rowOff>
    </xdr:to>
    <xdr:sp>
      <xdr:nvSpPr>
        <xdr:cNvPr id="1" name="Oval 2"/>
        <xdr:cNvSpPr/>
      </xdr:nvSpPr>
      <xdr:spPr>
        <a:xfrm>
          <a:off x="14477400" y="1371240"/>
          <a:ext cx="38340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714600</xdr:colOff>
      <xdr:row>22</xdr:row>
      <xdr:rowOff>38160</xdr:rowOff>
    </xdr:from>
    <xdr:to>
      <xdr:col>9</xdr:col>
      <xdr:colOff>201960</xdr:colOff>
      <xdr:row>24</xdr:row>
      <xdr:rowOff>76320</xdr:rowOff>
    </xdr:to>
    <xdr:sp>
      <xdr:nvSpPr>
        <xdr:cNvPr id="2" name="Oval 3"/>
        <xdr:cNvSpPr/>
      </xdr:nvSpPr>
      <xdr:spPr>
        <a:xfrm>
          <a:off x="7294320" y="408636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714240</xdr:colOff>
      <xdr:row>39</xdr:row>
      <xdr:rowOff>142920</xdr:rowOff>
    </xdr:from>
    <xdr:to>
      <xdr:col>14</xdr:col>
      <xdr:colOff>201960</xdr:colOff>
      <xdr:row>42</xdr:row>
      <xdr:rowOff>9360</xdr:rowOff>
    </xdr:to>
    <xdr:sp>
      <xdr:nvSpPr>
        <xdr:cNvPr id="3" name="Oval 4"/>
        <xdr:cNvSpPr/>
      </xdr:nvSpPr>
      <xdr:spPr>
        <a:xfrm>
          <a:off x="11851560" y="7277040"/>
          <a:ext cx="3830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875160</xdr:colOff>
      <xdr:row>50</xdr:row>
      <xdr:rowOff>162360</xdr:rowOff>
    </xdr:from>
    <xdr:to>
      <xdr:col>17</xdr:col>
      <xdr:colOff>363600</xdr:colOff>
      <xdr:row>52</xdr:row>
      <xdr:rowOff>171720</xdr:rowOff>
    </xdr:to>
    <xdr:sp>
      <xdr:nvSpPr>
        <xdr:cNvPr id="4" name="Oval 5"/>
        <xdr:cNvSpPr/>
      </xdr:nvSpPr>
      <xdr:spPr>
        <a:xfrm>
          <a:off x="14698440" y="9287280"/>
          <a:ext cx="38376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13</xdr:row>
      <xdr:rowOff>123840</xdr:rowOff>
    </xdr:from>
    <xdr:to>
      <xdr:col>9</xdr:col>
      <xdr:colOff>362520</xdr:colOff>
      <xdr:row>15</xdr:row>
      <xdr:rowOff>105120</xdr:rowOff>
    </xdr:to>
    <xdr:sp>
      <xdr:nvSpPr>
        <xdr:cNvPr id="5" name="Rectangle 6"/>
        <xdr:cNvSpPr/>
      </xdr:nvSpPr>
      <xdr:spPr>
        <a:xfrm>
          <a:off x="7495200" y="2533680"/>
          <a:ext cx="342720" cy="343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834840</xdr:colOff>
      <xdr:row>36</xdr:row>
      <xdr:rowOff>162000</xdr:rowOff>
    </xdr:from>
    <xdr:to>
      <xdr:col>17</xdr:col>
      <xdr:colOff>171720</xdr:colOff>
      <xdr:row>51</xdr:row>
      <xdr:rowOff>142920</xdr:rowOff>
    </xdr:to>
    <xdr:sp>
      <xdr:nvSpPr>
        <xdr:cNvPr id="6" name="Line 7"/>
        <xdr:cNvSpPr/>
      </xdr:nvSpPr>
      <xdr:spPr>
        <a:xfrm>
          <a:off x="11076840" y="6753240"/>
          <a:ext cx="3813480" cy="2705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50760</xdr:colOff>
      <xdr:row>8</xdr:row>
      <xdr:rowOff>19080</xdr:rowOff>
    </xdr:from>
    <xdr:to>
      <xdr:col>16</xdr:col>
      <xdr:colOff>825480</xdr:colOff>
      <xdr:row>40</xdr:row>
      <xdr:rowOff>162000</xdr:rowOff>
    </xdr:to>
    <xdr:sp>
      <xdr:nvSpPr>
        <xdr:cNvPr id="7" name="Line 8"/>
        <xdr:cNvSpPr/>
      </xdr:nvSpPr>
      <xdr:spPr>
        <a:xfrm flipH="1">
          <a:off x="12083400" y="1523880"/>
          <a:ext cx="2565360" cy="5953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523080</xdr:colOff>
      <xdr:row>52</xdr:row>
      <xdr:rowOff>28080</xdr:rowOff>
    </xdr:from>
    <xdr:to>
      <xdr:col>17</xdr:col>
      <xdr:colOff>101520</xdr:colOff>
      <xdr:row>56</xdr:row>
      <xdr:rowOff>161640</xdr:rowOff>
    </xdr:to>
    <xdr:sp>
      <xdr:nvSpPr>
        <xdr:cNvPr id="8" name="Line 9"/>
        <xdr:cNvSpPr/>
      </xdr:nvSpPr>
      <xdr:spPr>
        <a:xfrm flipH="1">
          <a:off x="14346360" y="9543600"/>
          <a:ext cx="473760" cy="857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272160</xdr:colOff>
      <xdr:row>32</xdr:row>
      <xdr:rowOff>-360</xdr:rowOff>
    </xdr:from>
    <xdr:to>
      <xdr:col>6</xdr:col>
      <xdr:colOff>775800</xdr:colOff>
      <xdr:row>34</xdr:row>
      <xdr:rowOff>84960</xdr:rowOff>
    </xdr:to>
    <xdr:sp>
      <xdr:nvSpPr>
        <xdr:cNvPr id="9" name="Line 10"/>
        <xdr:cNvSpPr/>
      </xdr:nvSpPr>
      <xdr:spPr>
        <a:xfrm flipV="1">
          <a:off x="5061240" y="5866920"/>
          <a:ext cx="503640" cy="447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331920</xdr:colOff>
      <xdr:row>15</xdr:row>
      <xdr:rowOff>75960</xdr:rowOff>
    </xdr:from>
    <xdr:to>
      <xdr:col>9</xdr:col>
      <xdr:colOff>151560</xdr:colOff>
      <xdr:row>20</xdr:row>
      <xdr:rowOff>133920</xdr:rowOff>
    </xdr:to>
    <xdr:sp>
      <xdr:nvSpPr>
        <xdr:cNvPr id="10" name="Line 11"/>
        <xdr:cNvSpPr/>
      </xdr:nvSpPr>
      <xdr:spPr>
        <a:xfrm flipH="1">
          <a:off x="6911640" y="2847600"/>
          <a:ext cx="715320" cy="9723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332280</xdr:colOff>
      <xdr:row>16</xdr:row>
      <xdr:rowOff>47160</xdr:rowOff>
    </xdr:from>
    <xdr:to>
      <xdr:col>17</xdr:col>
      <xdr:colOff>714960</xdr:colOff>
      <xdr:row>18</xdr:row>
      <xdr:rowOff>85680</xdr:rowOff>
    </xdr:to>
    <xdr:sp>
      <xdr:nvSpPr>
        <xdr:cNvPr id="11" name="Oval 12"/>
        <xdr:cNvSpPr/>
      </xdr:nvSpPr>
      <xdr:spPr>
        <a:xfrm>
          <a:off x="15050880" y="3009600"/>
          <a:ext cx="38268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17</xdr:row>
      <xdr:rowOff>104760</xdr:rowOff>
    </xdr:from>
    <xdr:to>
      <xdr:col>17</xdr:col>
      <xdr:colOff>302760</xdr:colOff>
      <xdr:row>17</xdr:row>
      <xdr:rowOff>104760</xdr:rowOff>
    </xdr:to>
    <xdr:sp>
      <xdr:nvSpPr>
        <xdr:cNvPr id="12" name="Line 13"/>
        <xdr:cNvSpPr/>
      </xdr:nvSpPr>
      <xdr:spPr>
        <a:xfrm>
          <a:off x="13903920" y="3247920"/>
          <a:ext cx="1117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19800</xdr:colOff>
      <xdr:row>44</xdr:row>
      <xdr:rowOff>114480</xdr:rowOff>
    </xdr:from>
    <xdr:to>
      <xdr:col>11</xdr:col>
      <xdr:colOff>403200</xdr:colOff>
      <xdr:row>46</xdr:row>
      <xdr:rowOff>152640</xdr:rowOff>
    </xdr:to>
    <xdr:sp>
      <xdr:nvSpPr>
        <xdr:cNvPr id="13" name="Oval 14"/>
        <xdr:cNvSpPr/>
      </xdr:nvSpPr>
      <xdr:spPr>
        <a:xfrm>
          <a:off x="9285840" y="8153640"/>
          <a:ext cx="38340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322200</xdr:colOff>
      <xdr:row>46</xdr:row>
      <xdr:rowOff>28440</xdr:rowOff>
    </xdr:from>
    <xdr:to>
      <xdr:col>12</xdr:col>
      <xdr:colOff>101520</xdr:colOff>
      <xdr:row>46</xdr:row>
      <xdr:rowOff>28440</xdr:rowOff>
    </xdr:to>
    <xdr:sp>
      <xdr:nvSpPr>
        <xdr:cNvPr id="14" name="Line 15"/>
        <xdr:cNvSpPr/>
      </xdr:nvSpPr>
      <xdr:spPr>
        <a:xfrm flipH="1">
          <a:off x="9588240" y="8429400"/>
          <a:ext cx="7552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272160</xdr:colOff>
      <xdr:row>54</xdr:row>
      <xdr:rowOff>19080</xdr:rowOff>
    </xdr:from>
    <xdr:to>
      <xdr:col>9</xdr:col>
      <xdr:colOff>172080</xdr:colOff>
      <xdr:row>54</xdr:row>
      <xdr:rowOff>19080</xdr:rowOff>
    </xdr:to>
    <xdr:sp>
      <xdr:nvSpPr>
        <xdr:cNvPr id="15" name="Line 16"/>
        <xdr:cNvSpPr/>
      </xdr:nvSpPr>
      <xdr:spPr>
        <a:xfrm flipH="1">
          <a:off x="6851880" y="9896400"/>
          <a:ext cx="7956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30600</xdr:colOff>
      <xdr:row>53</xdr:row>
      <xdr:rowOff>0</xdr:rowOff>
    </xdr:from>
    <xdr:to>
      <xdr:col>8</xdr:col>
      <xdr:colOff>413640</xdr:colOff>
      <xdr:row>55</xdr:row>
      <xdr:rowOff>38160</xdr:rowOff>
    </xdr:to>
    <xdr:sp>
      <xdr:nvSpPr>
        <xdr:cNvPr id="16" name="Oval 17"/>
        <xdr:cNvSpPr/>
      </xdr:nvSpPr>
      <xdr:spPr>
        <a:xfrm>
          <a:off x="6610320" y="9696600"/>
          <a:ext cx="38304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523080</xdr:colOff>
      <xdr:row>15</xdr:row>
      <xdr:rowOff>66960</xdr:rowOff>
    </xdr:from>
    <xdr:to>
      <xdr:col>8</xdr:col>
      <xdr:colOff>715320</xdr:colOff>
      <xdr:row>16</xdr:row>
      <xdr:rowOff>161640</xdr:rowOff>
    </xdr:to>
    <xdr:sp>
      <xdr:nvSpPr>
        <xdr:cNvPr id="17" name="Line 18"/>
        <xdr:cNvSpPr/>
      </xdr:nvSpPr>
      <xdr:spPr>
        <a:xfrm flipH="1">
          <a:off x="7102800" y="2838600"/>
          <a:ext cx="192240" cy="285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70920</xdr:colOff>
      <xdr:row>17</xdr:row>
      <xdr:rowOff>162000</xdr:rowOff>
    </xdr:from>
    <xdr:to>
      <xdr:col>7</xdr:col>
      <xdr:colOff>463680</xdr:colOff>
      <xdr:row>19</xdr:row>
      <xdr:rowOff>76320</xdr:rowOff>
    </xdr:to>
    <xdr:sp>
      <xdr:nvSpPr>
        <xdr:cNvPr id="18" name="Line 19"/>
        <xdr:cNvSpPr/>
      </xdr:nvSpPr>
      <xdr:spPr>
        <a:xfrm>
          <a:off x="5755320" y="3305160"/>
          <a:ext cx="39276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533160</xdr:colOff>
      <xdr:row>24</xdr:row>
      <xdr:rowOff>123840</xdr:rowOff>
    </xdr:from>
    <xdr:to>
      <xdr:col>9</xdr:col>
      <xdr:colOff>835560</xdr:colOff>
      <xdr:row>25</xdr:row>
      <xdr:rowOff>133560</xdr:rowOff>
    </xdr:to>
    <xdr:sp>
      <xdr:nvSpPr>
        <xdr:cNvPr id="19" name="Line 20"/>
        <xdr:cNvSpPr/>
      </xdr:nvSpPr>
      <xdr:spPr>
        <a:xfrm flipH="1" flipV="1">
          <a:off x="8008560" y="4533840"/>
          <a:ext cx="30240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231840</xdr:colOff>
      <xdr:row>12</xdr:row>
      <xdr:rowOff>123840</xdr:rowOff>
    </xdr:from>
    <xdr:to>
      <xdr:col>6</xdr:col>
      <xdr:colOff>594720</xdr:colOff>
      <xdr:row>14</xdr:row>
      <xdr:rowOff>104400</xdr:rowOff>
    </xdr:to>
    <xdr:sp>
      <xdr:nvSpPr>
        <xdr:cNvPr id="20" name="AutoShape 21"/>
        <xdr:cNvSpPr/>
      </xdr:nvSpPr>
      <xdr:spPr>
        <a:xfrm>
          <a:off x="5020920" y="2352600"/>
          <a:ext cx="36288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482400</xdr:colOff>
      <xdr:row>28</xdr:row>
      <xdr:rowOff>0</xdr:rowOff>
    </xdr:from>
    <xdr:to>
      <xdr:col>10</xdr:col>
      <xdr:colOff>835920</xdr:colOff>
      <xdr:row>29</xdr:row>
      <xdr:rowOff>152640</xdr:rowOff>
    </xdr:to>
    <xdr:sp>
      <xdr:nvSpPr>
        <xdr:cNvPr id="21" name="AutoShape 22"/>
        <xdr:cNvSpPr/>
      </xdr:nvSpPr>
      <xdr:spPr>
        <a:xfrm>
          <a:off x="8853120" y="5133960"/>
          <a:ext cx="35352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231840</xdr:colOff>
      <xdr:row>44</xdr:row>
      <xdr:rowOff>19080</xdr:rowOff>
    </xdr:from>
    <xdr:to>
      <xdr:col>15</xdr:col>
      <xdr:colOff>583920</xdr:colOff>
      <xdr:row>45</xdr:row>
      <xdr:rowOff>180720</xdr:rowOff>
    </xdr:to>
    <xdr:sp>
      <xdr:nvSpPr>
        <xdr:cNvPr id="22" name="AutoShape 23"/>
        <xdr:cNvSpPr/>
      </xdr:nvSpPr>
      <xdr:spPr>
        <a:xfrm>
          <a:off x="13159800" y="8058240"/>
          <a:ext cx="35208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674280</xdr:colOff>
      <xdr:row>54</xdr:row>
      <xdr:rowOff>0</xdr:rowOff>
    </xdr:from>
    <xdr:to>
      <xdr:col>19</xdr:col>
      <xdr:colOff>131400</xdr:colOff>
      <xdr:row>55</xdr:row>
      <xdr:rowOff>162000</xdr:rowOff>
    </xdr:to>
    <xdr:sp>
      <xdr:nvSpPr>
        <xdr:cNvPr id="23" name="AutoShape 24"/>
        <xdr:cNvSpPr/>
      </xdr:nvSpPr>
      <xdr:spPr>
        <a:xfrm>
          <a:off x="16258320" y="9877320"/>
          <a:ext cx="35244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734400</xdr:colOff>
      <xdr:row>43</xdr:row>
      <xdr:rowOff>0</xdr:rowOff>
    </xdr:from>
    <xdr:to>
      <xdr:col>15</xdr:col>
      <xdr:colOff>192240</xdr:colOff>
      <xdr:row>44</xdr:row>
      <xdr:rowOff>47160</xdr:rowOff>
    </xdr:to>
    <xdr:sp>
      <xdr:nvSpPr>
        <xdr:cNvPr id="24" name="AutoShape 25"/>
        <xdr:cNvSpPr/>
      </xdr:nvSpPr>
      <xdr:spPr>
        <a:xfrm>
          <a:off x="12767040" y="7858080"/>
          <a:ext cx="353160" cy="22824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674280</xdr:colOff>
      <xdr:row>53</xdr:row>
      <xdr:rowOff>95040</xdr:rowOff>
    </xdr:from>
    <xdr:to>
      <xdr:col>18</xdr:col>
      <xdr:colOff>172080</xdr:colOff>
      <xdr:row>54</xdr:row>
      <xdr:rowOff>47160</xdr:rowOff>
    </xdr:to>
    <xdr:sp>
      <xdr:nvSpPr>
        <xdr:cNvPr id="25" name="Line 26"/>
        <xdr:cNvSpPr/>
      </xdr:nvSpPr>
      <xdr:spPr>
        <a:xfrm flipH="1" flipV="1">
          <a:off x="15392880" y="9791640"/>
          <a:ext cx="36324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251640</xdr:colOff>
      <xdr:row>38</xdr:row>
      <xdr:rowOff>38160</xdr:rowOff>
    </xdr:from>
    <xdr:to>
      <xdr:col>14</xdr:col>
      <xdr:colOff>413640</xdr:colOff>
      <xdr:row>40</xdr:row>
      <xdr:rowOff>57240</xdr:rowOff>
    </xdr:to>
    <xdr:sp>
      <xdr:nvSpPr>
        <xdr:cNvPr id="26" name="Line 27"/>
        <xdr:cNvSpPr/>
      </xdr:nvSpPr>
      <xdr:spPr>
        <a:xfrm flipH="1">
          <a:off x="12284280" y="6991560"/>
          <a:ext cx="162000" cy="3808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251640</xdr:colOff>
      <xdr:row>40</xdr:row>
      <xdr:rowOff>76320</xdr:rowOff>
    </xdr:from>
    <xdr:to>
      <xdr:col>14</xdr:col>
      <xdr:colOff>564120</xdr:colOff>
      <xdr:row>41</xdr:row>
      <xdr:rowOff>85320</xdr:rowOff>
    </xdr:to>
    <xdr:sp>
      <xdr:nvSpPr>
        <xdr:cNvPr id="27" name="Line 28"/>
        <xdr:cNvSpPr/>
      </xdr:nvSpPr>
      <xdr:spPr>
        <a:xfrm>
          <a:off x="12284280" y="7391520"/>
          <a:ext cx="312480" cy="190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16</xdr:row>
      <xdr:rowOff>152640</xdr:rowOff>
    </xdr:from>
    <xdr:to>
      <xdr:col>16</xdr:col>
      <xdr:colOff>775440</xdr:colOff>
      <xdr:row>16</xdr:row>
      <xdr:rowOff>152640</xdr:rowOff>
    </xdr:to>
    <xdr:sp>
      <xdr:nvSpPr>
        <xdr:cNvPr id="28" name="Line 29"/>
        <xdr:cNvSpPr/>
      </xdr:nvSpPr>
      <xdr:spPr>
        <a:xfrm>
          <a:off x="14205240" y="3115080"/>
          <a:ext cx="393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683280</xdr:colOff>
      <xdr:row>54</xdr:row>
      <xdr:rowOff>0</xdr:rowOff>
    </xdr:from>
    <xdr:to>
      <xdr:col>16</xdr:col>
      <xdr:colOff>885240</xdr:colOff>
      <xdr:row>55</xdr:row>
      <xdr:rowOff>181080</xdr:rowOff>
    </xdr:to>
    <xdr:sp>
      <xdr:nvSpPr>
        <xdr:cNvPr id="29" name="Line 30"/>
        <xdr:cNvSpPr/>
      </xdr:nvSpPr>
      <xdr:spPr>
        <a:xfrm flipH="1">
          <a:off x="14506560" y="9877320"/>
          <a:ext cx="20196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533160</xdr:colOff>
      <xdr:row>45</xdr:row>
      <xdr:rowOff>114480</xdr:rowOff>
    </xdr:from>
    <xdr:to>
      <xdr:col>11</xdr:col>
      <xdr:colOff>876240</xdr:colOff>
      <xdr:row>45</xdr:row>
      <xdr:rowOff>114480</xdr:rowOff>
    </xdr:to>
    <xdr:sp>
      <xdr:nvSpPr>
        <xdr:cNvPr id="30" name="Line 31"/>
        <xdr:cNvSpPr/>
      </xdr:nvSpPr>
      <xdr:spPr>
        <a:xfrm flipH="1">
          <a:off x="9799200" y="8334720"/>
          <a:ext cx="343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553680</xdr:colOff>
      <xdr:row>53</xdr:row>
      <xdr:rowOff>114480</xdr:rowOff>
    </xdr:from>
    <xdr:to>
      <xdr:col>9</xdr:col>
      <xdr:colOff>41040</xdr:colOff>
      <xdr:row>53</xdr:row>
      <xdr:rowOff>114480</xdr:rowOff>
    </xdr:to>
    <xdr:sp>
      <xdr:nvSpPr>
        <xdr:cNvPr id="31" name="Line 32"/>
        <xdr:cNvSpPr/>
      </xdr:nvSpPr>
      <xdr:spPr>
        <a:xfrm flipH="1">
          <a:off x="7133400" y="9811080"/>
          <a:ext cx="383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80280</xdr:colOff>
      <xdr:row>60</xdr:row>
      <xdr:rowOff>28440</xdr:rowOff>
    </xdr:from>
    <xdr:to>
      <xdr:col>6</xdr:col>
      <xdr:colOff>755280</xdr:colOff>
      <xdr:row>60</xdr:row>
      <xdr:rowOff>28440</xdr:rowOff>
    </xdr:to>
    <xdr:sp>
      <xdr:nvSpPr>
        <xdr:cNvPr id="32" name="Line 33"/>
        <xdr:cNvSpPr/>
      </xdr:nvSpPr>
      <xdr:spPr>
        <a:xfrm flipH="1">
          <a:off x="4869360" y="11001240"/>
          <a:ext cx="675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583560</xdr:colOff>
      <xdr:row>59</xdr:row>
      <xdr:rowOff>0</xdr:rowOff>
    </xdr:from>
    <xdr:to>
      <xdr:col>6</xdr:col>
      <xdr:colOff>81360</xdr:colOff>
      <xdr:row>61</xdr:row>
      <xdr:rowOff>47160</xdr:rowOff>
    </xdr:to>
    <xdr:sp>
      <xdr:nvSpPr>
        <xdr:cNvPr id="33" name="Oval 34"/>
        <xdr:cNvSpPr/>
      </xdr:nvSpPr>
      <xdr:spPr>
        <a:xfrm>
          <a:off x="4487400" y="10782360"/>
          <a:ext cx="383040" cy="4186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382320</xdr:colOff>
      <xdr:row>61</xdr:row>
      <xdr:rowOff>123480</xdr:rowOff>
    </xdr:from>
    <xdr:to>
      <xdr:col>7</xdr:col>
      <xdr:colOff>182160</xdr:colOff>
      <xdr:row>65</xdr:row>
      <xdr:rowOff>190800</xdr:rowOff>
    </xdr:to>
    <xdr:sp>
      <xdr:nvSpPr>
        <xdr:cNvPr id="34" name="Line 35"/>
        <xdr:cNvSpPr/>
      </xdr:nvSpPr>
      <xdr:spPr>
        <a:xfrm>
          <a:off x="5171400" y="11277360"/>
          <a:ext cx="695160" cy="781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221400</xdr:colOff>
      <xdr:row>74</xdr:row>
      <xdr:rowOff>142920</xdr:rowOff>
    </xdr:from>
    <xdr:to>
      <xdr:col>8</xdr:col>
      <xdr:colOff>604440</xdr:colOff>
      <xdr:row>76</xdr:row>
      <xdr:rowOff>181080</xdr:rowOff>
    </xdr:to>
    <xdr:sp>
      <xdr:nvSpPr>
        <xdr:cNvPr id="35" name="Oval 36"/>
        <xdr:cNvSpPr/>
      </xdr:nvSpPr>
      <xdr:spPr>
        <a:xfrm>
          <a:off x="6801120" y="13658760"/>
          <a:ext cx="383040" cy="400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573840</xdr:colOff>
      <xdr:row>130</xdr:row>
      <xdr:rowOff>9720</xdr:rowOff>
    </xdr:from>
    <xdr:to>
      <xdr:col>21</xdr:col>
      <xdr:colOff>876240</xdr:colOff>
      <xdr:row>130</xdr:row>
      <xdr:rowOff>9720</xdr:rowOff>
    </xdr:to>
    <xdr:sp>
      <xdr:nvSpPr>
        <xdr:cNvPr id="36" name="Line 37"/>
        <xdr:cNvSpPr/>
      </xdr:nvSpPr>
      <xdr:spPr>
        <a:xfrm flipH="1">
          <a:off x="18139680" y="23107680"/>
          <a:ext cx="302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574200</xdr:colOff>
      <xdr:row>126</xdr:row>
      <xdr:rowOff>9720</xdr:rowOff>
    </xdr:from>
    <xdr:to>
      <xdr:col>25</xdr:col>
      <xdr:colOff>865800</xdr:colOff>
      <xdr:row>126</xdr:row>
      <xdr:rowOff>9720</xdr:rowOff>
    </xdr:to>
    <xdr:sp>
      <xdr:nvSpPr>
        <xdr:cNvPr id="37" name="Line 38"/>
        <xdr:cNvSpPr/>
      </xdr:nvSpPr>
      <xdr:spPr>
        <a:xfrm flipH="1">
          <a:off x="21751920" y="22460040"/>
          <a:ext cx="29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512280</xdr:colOff>
      <xdr:row>129</xdr:row>
      <xdr:rowOff>9360</xdr:rowOff>
    </xdr:from>
    <xdr:to>
      <xdr:col>27</xdr:col>
      <xdr:colOff>533520</xdr:colOff>
      <xdr:row>129</xdr:row>
      <xdr:rowOff>9360</xdr:rowOff>
    </xdr:to>
    <xdr:sp>
      <xdr:nvSpPr>
        <xdr:cNvPr id="38" name="Line 39"/>
        <xdr:cNvSpPr/>
      </xdr:nvSpPr>
      <xdr:spPr>
        <a:xfrm flipH="1">
          <a:off x="23189400" y="22945680"/>
          <a:ext cx="21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572760</xdr:colOff>
      <xdr:row>123</xdr:row>
      <xdr:rowOff>9360</xdr:rowOff>
    </xdr:from>
    <xdr:to>
      <xdr:col>24</xdr:col>
      <xdr:colOff>875520</xdr:colOff>
      <xdr:row>123</xdr:row>
      <xdr:rowOff>9360</xdr:rowOff>
    </xdr:to>
    <xdr:sp>
      <xdr:nvSpPr>
        <xdr:cNvPr id="39" name="Line 40"/>
        <xdr:cNvSpPr/>
      </xdr:nvSpPr>
      <xdr:spPr>
        <a:xfrm flipH="1">
          <a:off x="20824920" y="2197404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572760</xdr:colOff>
      <xdr:row>127</xdr:row>
      <xdr:rowOff>9360</xdr:rowOff>
    </xdr:from>
    <xdr:to>
      <xdr:col>24</xdr:col>
      <xdr:colOff>875520</xdr:colOff>
      <xdr:row>127</xdr:row>
      <xdr:rowOff>9360</xdr:rowOff>
    </xdr:to>
    <xdr:sp>
      <xdr:nvSpPr>
        <xdr:cNvPr id="40" name="Line 41"/>
        <xdr:cNvSpPr/>
      </xdr:nvSpPr>
      <xdr:spPr>
        <a:xfrm flipH="1">
          <a:off x="20824920" y="22621680"/>
          <a:ext cx="30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332280</xdr:colOff>
      <xdr:row>61</xdr:row>
      <xdr:rowOff>95400</xdr:rowOff>
    </xdr:from>
    <xdr:to>
      <xdr:col>6</xdr:col>
      <xdr:colOff>564120</xdr:colOff>
      <xdr:row>62</xdr:row>
      <xdr:rowOff>114840</xdr:rowOff>
    </xdr:to>
    <xdr:sp>
      <xdr:nvSpPr>
        <xdr:cNvPr id="41" name="Line 42"/>
        <xdr:cNvSpPr/>
      </xdr:nvSpPr>
      <xdr:spPr>
        <a:xfrm flipH="1">
          <a:off x="5121360" y="11249280"/>
          <a:ext cx="23184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774720</xdr:colOff>
      <xdr:row>64</xdr:row>
      <xdr:rowOff>0</xdr:rowOff>
    </xdr:from>
    <xdr:to>
      <xdr:col>7</xdr:col>
      <xdr:colOff>121680</xdr:colOff>
      <xdr:row>64</xdr:row>
      <xdr:rowOff>142920</xdr:rowOff>
    </xdr:to>
    <xdr:sp>
      <xdr:nvSpPr>
        <xdr:cNvPr id="42" name="Line 43"/>
        <xdr:cNvSpPr/>
      </xdr:nvSpPr>
      <xdr:spPr>
        <a:xfrm>
          <a:off x="5563800" y="11687040"/>
          <a:ext cx="24228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181080</xdr:colOff>
      <xdr:row>59</xdr:row>
      <xdr:rowOff>114480</xdr:rowOff>
    </xdr:from>
    <xdr:to>
      <xdr:col>6</xdr:col>
      <xdr:colOff>483480</xdr:colOff>
      <xdr:row>59</xdr:row>
      <xdr:rowOff>114480</xdr:rowOff>
    </xdr:to>
    <xdr:sp>
      <xdr:nvSpPr>
        <xdr:cNvPr id="43" name="Line 44"/>
        <xdr:cNvSpPr/>
      </xdr:nvSpPr>
      <xdr:spPr>
        <a:xfrm flipH="1">
          <a:off x="4970160" y="10896840"/>
          <a:ext cx="302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483480</xdr:colOff>
      <xdr:row>82</xdr:row>
      <xdr:rowOff>38160</xdr:rowOff>
    </xdr:from>
    <xdr:to>
      <xdr:col>1</xdr:col>
      <xdr:colOff>835920</xdr:colOff>
      <xdr:row>84</xdr:row>
      <xdr:rowOff>19080</xdr:rowOff>
    </xdr:to>
    <xdr:sp>
      <xdr:nvSpPr>
        <xdr:cNvPr id="44" name="AutoShape 45"/>
        <xdr:cNvSpPr/>
      </xdr:nvSpPr>
      <xdr:spPr>
        <a:xfrm>
          <a:off x="483480" y="15011640"/>
          <a:ext cx="35244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432360</xdr:colOff>
      <xdr:row>85</xdr:row>
      <xdr:rowOff>76320</xdr:rowOff>
    </xdr:from>
    <xdr:to>
      <xdr:col>1</xdr:col>
      <xdr:colOff>816480</xdr:colOff>
      <xdr:row>87</xdr:row>
      <xdr:rowOff>114480</xdr:rowOff>
    </xdr:to>
    <xdr:sp>
      <xdr:nvSpPr>
        <xdr:cNvPr id="45" name="Oval 46"/>
        <xdr:cNvSpPr/>
      </xdr:nvSpPr>
      <xdr:spPr>
        <a:xfrm>
          <a:off x="432360" y="15592680"/>
          <a:ext cx="384120" cy="399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462960</xdr:colOff>
      <xdr:row>88</xdr:row>
      <xdr:rowOff>104400</xdr:rowOff>
    </xdr:from>
    <xdr:to>
      <xdr:col>1</xdr:col>
      <xdr:colOff>806400</xdr:colOff>
      <xdr:row>90</xdr:row>
      <xdr:rowOff>85680</xdr:rowOff>
    </xdr:to>
    <xdr:sp>
      <xdr:nvSpPr>
        <xdr:cNvPr id="46" name="Rectangle 47"/>
        <xdr:cNvSpPr/>
      </xdr:nvSpPr>
      <xdr:spPr>
        <a:xfrm>
          <a:off x="462960" y="16163640"/>
          <a:ext cx="343440" cy="3430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30240</xdr:colOff>
      <xdr:row>43</xdr:row>
      <xdr:rowOff>0</xdr:rowOff>
    </xdr:from>
    <xdr:to>
      <xdr:col>13</xdr:col>
      <xdr:colOff>473400</xdr:colOff>
      <xdr:row>44</xdr:row>
      <xdr:rowOff>66240</xdr:rowOff>
    </xdr:to>
    <xdr:sp>
      <xdr:nvSpPr>
        <xdr:cNvPr id="47" name="Line 48"/>
        <xdr:cNvSpPr/>
      </xdr:nvSpPr>
      <xdr:spPr>
        <a:xfrm flipH="1">
          <a:off x="11167560" y="7858080"/>
          <a:ext cx="443160" cy="247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633600</xdr:colOff>
      <xdr:row>58</xdr:row>
      <xdr:rowOff>47520</xdr:rowOff>
    </xdr:from>
    <xdr:to>
      <xdr:col>24</xdr:col>
      <xdr:colOff>30600</xdr:colOff>
      <xdr:row>59</xdr:row>
      <xdr:rowOff>95040</xdr:rowOff>
    </xdr:to>
    <xdr:sp>
      <xdr:nvSpPr>
        <xdr:cNvPr id="48" name="AutoShape 49"/>
        <xdr:cNvSpPr/>
      </xdr:nvSpPr>
      <xdr:spPr>
        <a:xfrm>
          <a:off x="19990440" y="10648800"/>
          <a:ext cx="292320" cy="22860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573480</xdr:colOff>
      <xdr:row>59</xdr:row>
      <xdr:rowOff>75960</xdr:rowOff>
    </xdr:from>
    <xdr:to>
      <xdr:col>23</xdr:col>
      <xdr:colOff>744840</xdr:colOff>
      <xdr:row>60</xdr:row>
      <xdr:rowOff>152640</xdr:rowOff>
    </xdr:to>
    <xdr:sp>
      <xdr:nvSpPr>
        <xdr:cNvPr id="49" name="Line 50"/>
        <xdr:cNvSpPr/>
      </xdr:nvSpPr>
      <xdr:spPr>
        <a:xfrm flipV="1">
          <a:off x="19930320" y="10858320"/>
          <a:ext cx="171360" cy="2671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29880</xdr:colOff>
      <xdr:row>61</xdr:row>
      <xdr:rowOff>66240</xdr:rowOff>
    </xdr:from>
    <xdr:to>
      <xdr:col>24</xdr:col>
      <xdr:colOff>383400</xdr:colOff>
      <xdr:row>62</xdr:row>
      <xdr:rowOff>190800</xdr:rowOff>
    </xdr:to>
    <xdr:sp>
      <xdr:nvSpPr>
        <xdr:cNvPr id="50" name="AutoShape 51"/>
        <xdr:cNvSpPr/>
      </xdr:nvSpPr>
      <xdr:spPr>
        <a:xfrm>
          <a:off x="20282040" y="11220120"/>
          <a:ext cx="35352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674640</xdr:colOff>
      <xdr:row>64</xdr:row>
      <xdr:rowOff>19080</xdr:rowOff>
    </xdr:from>
    <xdr:to>
      <xdr:col>26</xdr:col>
      <xdr:colOff>151560</xdr:colOff>
      <xdr:row>65</xdr:row>
      <xdr:rowOff>142920</xdr:rowOff>
    </xdr:to>
    <xdr:sp>
      <xdr:nvSpPr>
        <xdr:cNvPr id="51" name="AutoShape 52"/>
        <xdr:cNvSpPr/>
      </xdr:nvSpPr>
      <xdr:spPr>
        <a:xfrm>
          <a:off x="21852360" y="11706120"/>
          <a:ext cx="3427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683280</xdr:colOff>
      <xdr:row>60</xdr:row>
      <xdr:rowOff>0</xdr:rowOff>
    </xdr:from>
    <xdr:to>
      <xdr:col>23</xdr:col>
      <xdr:colOff>775080</xdr:colOff>
      <xdr:row>61</xdr:row>
      <xdr:rowOff>19080</xdr:rowOff>
    </xdr:to>
    <xdr:sp>
      <xdr:nvSpPr>
        <xdr:cNvPr id="52" name="Line 53"/>
        <xdr:cNvSpPr/>
      </xdr:nvSpPr>
      <xdr:spPr>
        <a:xfrm flipH="1">
          <a:off x="20040120" y="10972800"/>
          <a:ext cx="9180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221760</xdr:colOff>
      <xdr:row>63</xdr:row>
      <xdr:rowOff>0</xdr:rowOff>
    </xdr:from>
    <xdr:to>
      <xdr:col>25</xdr:col>
      <xdr:colOff>544320</xdr:colOff>
      <xdr:row>63</xdr:row>
      <xdr:rowOff>133200</xdr:rowOff>
    </xdr:to>
    <xdr:sp>
      <xdr:nvSpPr>
        <xdr:cNvPr id="53" name="Line 54"/>
        <xdr:cNvSpPr/>
      </xdr:nvSpPr>
      <xdr:spPr>
        <a:xfrm flipH="1" flipV="1">
          <a:off x="21399480" y="11525400"/>
          <a:ext cx="32256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623160</xdr:colOff>
      <xdr:row>58</xdr:row>
      <xdr:rowOff>66600</xdr:rowOff>
    </xdr:from>
    <xdr:to>
      <xdr:col>22</xdr:col>
      <xdr:colOff>80640</xdr:colOff>
      <xdr:row>59</xdr:row>
      <xdr:rowOff>28080</xdr:rowOff>
    </xdr:to>
    <xdr:sp>
      <xdr:nvSpPr>
        <xdr:cNvPr id="54" name="Line 55"/>
        <xdr:cNvSpPr/>
      </xdr:nvSpPr>
      <xdr:spPr>
        <a:xfrm flipH="1" flipV="1">
          <a:off x="18189000" y="10667880"/>
          <a:ext cx="353160" cy="142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603360</xdr:colOff>
      <xdr:row>69</xdr:row>
      <xdr:rowOff>76320</xdr:rowOff>
    </xdr:from>
    <xdr:to>
      <xdr:col>28</xdr:col>
      <xdr:colOff>81360</xdr:colOff>
      <xdr:row>71</xdr:row>
      <xdr:rowOff>28440</xdr:rowOff>
    </xdr:to>
    <xdr:sp>
      <xdr:nvSpPr>
        <xdr:cNvPr id="55" name="Line 56"/>
        <xdr:cNvSpPr/>
      </xdr:nvSpPr>
      <xdr:spPr>
        <a:xfrm flipH="1" flipV="1">
          <a:off x="23280480" y="12687480"/>
          <a:ext cx="91440" cy="313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462960</xdr:colOff>
      <xdr:row>91</xdr:row>
      <xdr:rowOff>95400</xdr:rowOff>
    </xdr:from>
    <xdr:to>
      <xdr:col>1</xdr:col>
      <xdr:colOff>795960</xdr:colOff>
      <xdr:row>93</xdr:row>
      <xdr:rowOff>66960</xdr:rowOff>
    </xdr:to>
    <xdr:sp>
      <xdr:nvSpPr>
        <xdr:cNvPr id="56" name="AutoShape 57"/>
        <xdr:cNvSpPr/>
      </xdr:nvSpPr>
      <xdr:spPr>
        <a:xfrm>
          <a:off x="462960" y="16697520"/>
          <a:ext cx="333000" cy="3333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844560</xdr:colOff>
      <xdr:row>37</xdr:row>
      <xdr:rowOff>142920</xdr:rowOff>
    </xdr:from>
    <xdr:to>
      <xdr:col>14</xdr:col>
      <xdr:colOff>91800</xdr:colOff>
      <xdr:row>39</xdr:row>
      <xdr:rowOff>85680</xdr:rowOff>
    </xdr:to>
    <xdr:sp>
      <xdr:nvSpPr>
        <xdr:cNvPr id="57" name="Line 58"/>
        <xdr:cNvSpPr/>
      </xdr:nvSpPr>
      <xdr:spPr>
        <a:xfrm flipH="1">
          <a:off x="11981880" y="6915240"/>
          <a:ext cx="142560" cy="304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472680</xdr:colOff>
      <xdr:row>38</xdr:row>
      <xdr:rowOff>28080</xdr:rowOff>
    </xdr:from>
    <xdr:to>
      <xdr:col>13</xdr:col>
      <xdr:colOff>825120</xdr:colOff>
      <xdr:row>39</xdr:row>
      <xdr:rowOff>85680</xdr:rowOff>
    </xdr:to>
    <xdr:sp>
      <xdr:nvSpPr>
        <xdr:cNvPr id="58" name="Line 59"/>
        <xdr:cNvSpPr/>
      </xdr:nvSpPr>
      <xdr:spPr>
        <a:xfrm flipH="1" flipV="1">
          <a:off x="11610000" y="6981480"/>
          <a:ext cx="352440" cy="238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252000</xdr:colOff>
      <xdr:row>51</xdr:row>
      <xdr:rowOff>29160</xdr:rowOff>
    </xdr:from>
    <xdr:to>
      <xdr:col>21</xdr:col>
      <xdr:colOff>333360</xdr:colOff>
      <xdr:row>56</xdr:row>
      <xdr:rowOff>180720</xdr:rowOff>
    </xdr:to>
    <xdr:sp>
      <xdr:nvSpPr>
        <xdr:cNvPr id="59" name="Line 60"/>
        <xdr:cNvSpPr/>
      </xdr:nvSpPr>
      <xdr:spPr>
        <a:xfrm flipV="1">
          <a:off x="17817840" y="9344520"/>
          <a:ext cx="81360" cy="107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171720</xdr:colOff>
      <xdr:row>49</xdr:row>
      <xdr:rowOff>76320</xdr:rowOff>
    </xdr:from>
    <xdr:to>
      <xdr:col>21</xdr:col>
      <xdr:colOff>534240</xdr:colOff>
      <xdr:row>51</xdr:row>
      <xdr:rowOff>29160</xdr:rowOff>
    </xdr:to>
    <xdr:sp>
      <xdr:nvSpPr>
        <xdr:cNvPr id="60" name="AutoShape 61"/>
        <xdr:cNvSpPr/>
      </xdr:nvSpPr>
      <xdr:spPr>
        <a:xfrm>
          <a:off x="17737560" y="9020160"/>
          <a:ext cx="362520" cy="324360"/>
        </a:xfrm>
        <a:prstGeom prst="flowChartOr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181080</xdr:colOff>
      <xdr:row>75</xdr:row>
      <xdr:rowOff>0</xdr:rowOff>
    </xdr:from>
    <xdr:to>
      <xdr:col>28</xdr:col>
      <xdr:colOff>624240</xdr:colOff>
      <xdr:row>76</xdr:row>
      <xdr:rowOff>161640</xdr:rowOff>
    </xdr:to>
    <xdr:sp>
      <xdr:nvSpPr>
        <xdr:cNvPr id="61" name="Rectangle 62"/>
        <xdr:cNvSpPr/>
      </xdr:nvSpPr>
      <xdr:spPr>
        <a:xfrm>
          <a:off x="23471640" y="13696920"/>
          <a:ext cx="443160" cy="3427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785520</xdr:colOff>
      <xdr:row>75</xdr:row>
      <xdr:rowOff>123480</xdr:rowOff>
    </xdr:from>
    <xdr:to>
      <xdr:col>28</xdr:col>
      <xdr:colOff>181800</xdr:colOff>
      <xdr:row>77</xdr:row>
      <xdr:rowOff>46800</xdr:rowOff>
    </xdr:to>
    <xdr:sp>
      <xdr:nvSpPr>
        <xdr:cNvPr id="62" name="Line 63"/>
        <xdr:cNvSpPr/>
      </xdr:nvSpPr>
      <xdr:spPr>
        <a:xfrm flipV="1">
          <a:off x="21963240" y="13820400"/>
          <a:ext cx="1509120" cy="285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372240</xdr:colOff>
      <xdr:row>53</xdr:row>
      <xdr:rowOff>0</xdr:rowOff>
    </xdr:from>
    <xdr:to>
      <xdr:col>21</xdr:col>
      <xdr:colOff>402840</xdr:colOff>
      <xdr:row>54</xdr:row>
      <xdr:rowOff>123840</xdr:rowOff>
    </xdr:to>
    <xdr:sp>
      <xdr:nvSpPr>
        <xdr:cNvPr id="63" name="Line 64"/>
        <xdr:cNvSpPr/>
      </xdr:nvSpPr>
      <xdr:spPr>
        <a:xfrm flipH="1">
          <a:off x="17938080" y="9696600"/>
          <a:ext cx="30600" cy="304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372600</xdr:colOff>
      <xdr:row>62</xdr:row>
      <xdr:rowOff>75960</xdr:rowOff>
    </xdr:from>
    <xdr:to>
      <xdr:col>24</xdr:col>
      <xdr:colOff>122040</xdr:colOff>
      <xdr:row>84</xdr:row>
      <xdr:rowOff>19080</xdr:rowOff>
    </xdr:to>
    <xdr:sp>
      <xdr:nvSpPr>
        <xdr:cNvPr id="64" name="Line 65"/>
        <xdr:cNvSpPr/>
      </xdr:nvSpPr>
      <xdr:spPr>
        <a:xfrm flipH="1">
          <a:off x="6057000" y="11410560"/>
          <a:ext cx="14317200" cy="39438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70560</xdr:colOff>
      <xdr:row>60</xdr:row>
      <xdr:rowOff>95040</xdr:rowOff>
    </xdr:from>
    <xdr:to>
      <xdr:col>25</xdr:col>
      <xdr:colOff>322920</xdr:colOff>
      <xdr:row>61</xdr:row>
      <xdr:rowOff>123120</xdr:rowOff>
    </xdr:to>
    <xdr:sp>
      <xdr:nvSpPr>
        <xdr:cNvPr id="65" name="Line 66"/>
        <xdr:cNvSpPr/>
      </xdr:nvSpPr>
      <xdr:spPr>
        <a:xfrm flipV="1">
          <a:off x="20322720" y="11067840"/>
          <a:ext cx="1177920" cy="20916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131400</xdr:colOff>
      <xdr:row>74</xdr:row>
      <xdr:rowOff>0</xdr:rowOff>
    </xdr:from>
    <xdr:to>
      <xdr:col>8</xdr:col>
      <xdr:colOff>313200</xdr:colOff>
      <xdr:row>75</xdr:row>
      <xdr:rowOff>57240</xdr:rowOff>
    </xdr:to>
    <xdr:sp>
      <xdr:nvSpPr>
        <xdr:cNvPr id="66" name="Line 67"/>
        <xdr:cNvSpPr/>
      </xdr:nvSpPr>
      <xdr:spPr>
        <a:xfrm>
          <a:off x="6711120" y="13515840"/>
          <a:ext cx="181800" cy="238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422280</xdr:colOff>
      <xdr:row>22</xdr:row>
      <xdr:rowOff>19080</xdr:rowOff>
    </xdr:from>
    <xdr:to>
      <xdr:col>19</xdr:col>
      <xdr:colOff>514800</xdr:colOff>
      <xdr:row>24</xdr:row>
      <xdr:rowOff>38160</xdr:rowOff>
    </xdr:to>
    <xdr:sp>
      <xdr:nvSpPr>
        <xdr:cNvPr id="67" name="Line 68"/>
        <xdr:cNvSpPr/>
      </xdr:nvSpPr>
      <xdr:spPr>
        <a:xfrm flipV="1">
          <a:off x="16901640" y="4067280"/>
          <a:ext cx="92520" cy="380880"/>
        </a:xfrm>
        <a:prstGeom prst="line">
          <a:avLst/>
        </a:prstGeom>
        <a:ln w="38160">
          <a:solidFill>
            <a:srgbClr val="dddddd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533520</xdr:colOff>
      <xdr:row>57</xdr:row>
      <xdr:rowOff>162000</xdr:rowOff>
    </xdr:from>
    <xdr:to>
      <xdr:col>8</xdr:col>
      <xdr:colOff>72000</xdr:colOff>
      <xdr:row>59</xdr:row>
      <xdr:rowOff>142920</xdr:rowOff>
    </xdr:to>
    <xdr:sp>
      <xdr:nvSpPr>
        <xdr:cNvPr id="68" name="AutoShape 69"/>
        <xdr:cNvSpPr/>
      </xdr:nvSpPr>
      <xdr:spPr>
        <a:xfrm>
          <a:off x="6217920" y="10582200"/>
          <a:ext cx="433800" cy="3430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171360</xdr:colOff>
      <xdr:row>44</xdr:row>
      <xdr:rowOff>76320</xdr:rowOff>
    </xdr:from>
    <xdr:to>
      <xdr:col>17</xdr:col>
      <xdr:colOff>433800</xdr:colOff>
      <xdr:row>48</xdr:row>
      <xdr:rowOff>9000</xdr:rowOff>
    </xdr:to>
    <xdr:sp>
      <xdr:nvSpPr>
        <xdr:cNvPr id="69" name="Rectangle 70"/>
        <xdr:cNvSpPr/>
      </xdr:nvSpPr>
      <xdr:spPr>
        <a:xfrm>
          <a:off x="13994640" y="8115480"/>
          <a:ext cx="1157760" cy="656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483120</xdr:colOff>
      <xdr:row>8</xdr:row>
      <xdr:rowOff>161640</xdr:rowOff>
    </xdr:from>
    <xdr:to>
      <xdr:col>13</xdr:col>
      <xdr:colOff>835920</xdr:colOff>
      <xdr:row>31</xdr:row>
      <xdr:rowOff>161280</xdr:rowOff>
    </xdr:to>
    <xdr:sp>
      <xdr:nvSpPr>
        <xdr:cNvPr id="70" name="Line 71"/>
        <xdr:cNvSpPr/>
      </xdr:nvSpPr>
      <xdr:spPr>
        <a:xfrm flipV="1">
          <a:off x="9749160" y="1666440"/>
          <a:ext cx="2224080" cy="4181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723960</xdr:colOff>
      <xdr:row>15</xdr:row>
      <xdr:rowOff>162000</xdr:rowOff>
    </xdr:from>
    <xdr:to>
      <xdr:col>13</xdr:col>
      <xdr:colOff>101520</xdr:colOff>
      <xdr:row>16</xdr:row>
      <xdr:rowOff>104040</xdr:rowOff>
    </xdr:to>
    <xdr:sp>
      <xdr:nvSpPr>
        <xdr:cNvPr id="71" name="Line 72"/>
        <xdr:cNvSpPr/>
      </xdr:nvSpPr>
      <xdr:spPr>
        <a:xfrm flipH="1" flipV="1">
          <a:off x="10965960" y="2933640"/>
          <a:ext cx="27288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392040</xdr:colOff>
      <xdr:row>10</xdr:row>
      <xdr:rowOff>9000</xdr:rowOff>
    </xdr:from>
    <xdr:to>
      <xdr:col>13</xdr:col>
      <xdr:colOff>634320</xdr:colOff>
      <xdr:row>12</xdr:row>
      <xdr:rowOff>114480</xdr:rowOff>
    </xdr:to>
    <xdr:sp>
      <xdr:nvSpPr>
        <xdr:cNvPr id="72" name="Line 73"/>
        <xdr:cNvSpPr/>
      </xdr:nvSpPr>
      <xdr:spPr>
        <a:xfrm flipH="1">
          <a:off x="11529360" y="1875960"/>
          <a:ext cx="242280" cy="467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171360</xdr:colOff>
      <xdr:row>15</xdr:row>
      <xdr:rowOff>28440</xdr:rowOff>
    </xdr:from>
    <xdr:to>
      <xdr:col>14</xdr:col>
      <xdr:colOff>433800</xdr:colOff>
      <xdr:row>18</xdr:row>
      <xdr:rowOff>9000</xdr:rowOff>
    </xdr:to>
    <xdr:sp>
      <xdr:nvSpPr>
        <xdr:cNvPr id="73" name="Rectangle 74"/>
        <xdr:cNvSpPr/>
      </xdr:nvSpPr>
      <xdr:spPr>
        <a:xfrm>
          <a:off x="11308680" y="2800080"/>
          <a:ext cx="1157760" cy="5331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875160</xdr:colOff>
      <xdr:row>18</xdr:row>
      <xdr:rowOff>19080</xdr:rowOff>
    </xdr:from>
    <xdr:to>
      <xdr:col>13</xdr:col>
      <xdr:colOff>262080</xdr:colOff>
      <xdr:row>18</xdr:row>
      <xdr:rowOff>162000</xdr:rowOff>
    </xdr:to>
    <xdr:sp>
      <xdr:nvSpPr>
        <xdr:cNvPr id="74" name="Line 75"/>
        <xdr:cNvSpPr/>
      </xdr:nvSpPr>
      <xdr:spPr>
        <a:xfrm>
          <a:off x="11117160" y="3343320"/>
          <a:ext cx="28224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371880</xdr:colOff>
      <xdr:row>48</xdr:row>
      <xdr:rowOff>19080</xdr:rowOff>
    </xdr:from>
    <xdr:to>
      <xdr:col>16</xdr:col>
      <xdr:colOff>553680</xdr:colOff>
      <xdr:row>49</xdr:row>
      <xdr:rowOff>38160</xdr:rowOff>
    </xdr:to>
    <xdr:sp>
      <xdr:nvSpPr>
        <xdr:cNvPr id="75" name="AutoShape 76"/>
        <xdr:cNvSpPr/>
      </xdr:nvSpPr>
      <xdr:spPr>
        <a:xfrm flipH="1">
          <a:off x="14195160" y="8782200"/>
          <a:ext cx="181800" cy="199800"/>
        </a:xfrm>
        <a:custGeom>
          <a:avLst/>
          <a:gdLst/>
          <a:ahLst/>
          <a:rect l="l" t="t" r="r" b="b"/>
          <a:pathLst>
            <a:path w="31" h="21">
              <a:moveTo>
                <a:pt x="31" y="21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131040</xdr:colOff>
      <xdr:row>19</xdr:row>
      <xdr:rowOff>161640</xdr:rowOff>
    </xdr:from>
    <xdr:to>
      <xdr:col>17</xdr:col>
      <xdr:colOff>433800</xdr:colOff>
      <xdr:row>26</xdr:row>
      <xdr:rowOff>76320</xdr:rowOff>
    </xdr:to>
    <xdr:sp>
      <xdr:nvSpPr>
        <xdr:cNvPr id="76" name="Rectangle 77"/>
        <xdr:cNvSpPr/>
      </xdr:nvSpPr>
      <xdr:spPr>
        <a:xfrm>
          <a:off x="13954320" y="3666960"/>
          <a:ext cx="1198080" cy="1181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723960</xdr:colOff>
      <xdr:row>20</xdr:row>
      <xdr:rowOff>153000</xdr:rowOff>
    </xdr:from>
    <xdr:to>
      <xdr:col>16</xdr:col>
      <xdr:colOff>61200</xdr:colOff>
      <xdr:row>21</xdr:row>
      <xdr:rowOff>104760</xdr:rowOff>
    </xdr:to>
    <xdr:sp>
      <xdr:nvSpPr>
        <xdr:cNvPr id="77" name="Line 78"/>
        <xdr:cNvSpPr/>
      </xdr:nvSpPr>
      <xdr:spPr>
        <a:xfrm>
          <a:off x="13651920" y="3839040"/>
          <a:ext cx="23256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131400</xdr:colOff>
      <xdr:row>12</xdr:row>
      <xdr:rowOff>0</xdr:rowOff>
    </xdr:from>
    <xdr:to>
      <xdr:col>8</xdr:col>
      <xdr:colOff>494280</xdr:colOff>
      <xdr:row>15</xdr:row>
      <xdr:rowOff>190800</xdr:rowOff>
    </xdr:to>
    <xdr:sp>
      <xdr:nvSpPr>
        <xdr:cNvPr id="78" name="Rectangle 79"/>
        <xdr:cNvSpPr/>
      </xdr:nvSpPr>
      <xdr:spPr>
        <a:xfrm>
          <a:off x="5815800" y="2228760"/>
          <a:ext cx="1258200" cy="733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623520</xdr:colOff>
      <xdr:row>16</xdr:row>
      <xdr:rowOff>161280</xdr:rowOff>
    </xdr:from>
    <xdr:to>
      <xdr:col>7</xdr:col>
      <xdr:colOff>845640</xdr:colOff>
      <xdr:row>18</xdr:row>
      <xdr:rowOff>66240</xdr:rowOff>
    </xdr:to>
    <xdr:sp>
      <xdr:nvSpPr>
        <xdr:cNvPr id="79" name="Line 80"/>
        <xdr:cNvSpPr/>
      </xdr:nvSpPr>
      <xdr:spPr>
        <a:xfrm flipV="1">
          <a:off x="6307920" y="3123720"/>
          <a:ext cx="222120" cy="266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523080</xdr:colOff>
      <xdr:row>23</xdr:row>
      <xdr:rowOff>142200</xdr:rowOff>
    </xdr:from>
    <xdr:to>
      <xdr:col>8</xdr:col>
      <xdr:colOff>765360</xdr:colOff>
      <xdr:row>24</xdr:row>
      <xdr:rowOff>180720</xdr:rowOff>
    </xdr:to>
    <xdr:sp>
      <xdr:nvSpPr>
        <xdr:cNvPr id="80" name="Line 81"/>
        <xdr:cNvSpPr/>
      </xdr:nvSpPr>
      <xdr:spPr>
        <a:xfrm flipV="1">
          <a:off x="7102800" y="4371480"/>
          <a:ext cx="242280" cy="2192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423000</xdr:colOff>
      <xdr:row>10</xdr:row>
      <xdr:rowOff>142920</xdr:rowOff>
    </xdr:from>
    <xdr:to>
      <xdr:col>9</xdr:col>
      <xdr:colOff>885600</xdr:colOff>
      <xdr:row>26</xdr:row>
      <xdr:rowOff>123480</xdr:rowOff>
    </xdr:to>
    <xdr:sp>
      <xdr:nvSpPr>
        <xdr:cNvPr id="81" name="Line 82"/>
        <xdr:cNvSpPr/>
      </xdr:nvSpPr>
      <xdr:spPr>
        <a:xfrm>
          <a:off x="4326840" y="2009880"/>
          <a:ext cx="4034160" cy="2885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291960</xdr:colOff>
      <xdr:row>23</xdr:row>
      <xdr:rowOff>142560</xdr:rowOff>
    </xdr:from>
    <xdr:to>
      <xdr:col>8</xdr:col>
      <xdr:colOff>514080</xdr:colOff>
      <xdr:row>24</xdr:row>
      <xdr:rowOff>152640</xdr:rowOff>
    </xdr:to>
    <xdr:sp>
      <xdr:nvSpPr>
        <xdr:cNvPr id="82" name="Line 83"/>
        <xdr:cNvSpPr/>
      </xdr:nvSpPr>
      <xdr:spPr>
        <a:xfrm flipH="1">
          <a:off x="6871680" y="4371840"/>
          <a:ext cx="222120" cy="19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291600</xdr:colOff>
      <xdr:row>31</xdr:row>
      <xdr:rowOff>114480</xdr:rowOff>
    </xdr:from>
    <xdr:to>
      <xdr:col>6</xdr:col>
      <xdr:colOff>704520</xdr:colOff>
      <xdr:row>33</xdr:row>
      <xdr:rowOff>104760</xdr:rowOff>
    </xdr:to>
    <xdr:sp>
      <xdr:nvSpPr>
        <xdr:cNvPr id="83" name="Line 84"/>
        <xdr:cNvSpPr/>
      </xdr:nvSpPr>
      <xdr:spPr>
        <a:xfrm flipH="1">
          <a:off x="5080680" y="5801040"/>
          <a:ext cx="412920" cy="35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50400</xdr:colOff>
      <xdr:row>27</xdr:row>
      <xdr:rowOff>9360</xdr:rowOff>
    </xdr:from>
    <xdr:to>
      <xdr:col>13</xdr:col>
      <xdr:colOff>41040</xdr:colOff>
      <xdr:row>37</xdr:row>
      <xdr:rowOff>66240</xdr:rowOff>
    </xdr:to>
    <xdr:sp>
      <xdr:nvSpPr>
        <xdr:cNvPr id="84" name="Line 85"/>
        <xdr:cNvSpPr/>
      </xdr:nvSpPr>
      <xdr:spPr>
        <a:xfrm>
          <a:off x="8421120" y="4962240"/>
          <a:ext cx="2757240" cy="18763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774720</xdr:colOff>
      <xdr:row>25</xdr:row>
      <xdr:rowOff>9000</xdr:rowOff>
    </xdr:from>
    <xdr:to>
      <xdr:col>9</xdr:col>
      <xdr:colOff>121320</xdr:colOff>
      <xdr:row>34</xdr:row>
      <xdr:rowOff>19080</xdr:rowOff>
    </xdr:to>
    <xdr:sp>
      <xdr:nvSpPr>
        <xdr:cNvPr id="85" name="Rectangle 86"/>
        <xdr:cNvSpPr/>
      </xdr:nvSpPr>
      <xdr:spPr>
        <a:xfrm>
          <a:off x="5563800" y="4600080"/>
          <a:ext cx="2032920" cy="1648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70920</xdr:colOff>
      <xdr:row>32</xdr:row>
      <xdr:rowOff>9360</xdr:rowOff>
    </xdr:from>
    <xdr:to>
      <xdr:col>8</xdr:col>
      <xdr:colOff>675000</xdr:colOff>
      <xdr:row>32</xdr:row>
      <xdr:rowOff>9360</xdr:rowOff>
    </xdr:to>
    <xdr:sp>
      <xdr:nvSpPr>
        <xdr:cNvPr id="86" name="Line 87"/>
        <xdr:cNvSpPr/>
      </xdr:nvSpPr>
      <xdr:spPr>
        <a:xfrm>
          <a:off x="5755320" y="5876640"/>
          <a:ext cx="14994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252000</xdr:colOff>
      <xdr:row>61</xdr:row>
      <xdr:rowOff>0</xdr:rowOff>
    </xdr:from>
    <xdr:to>
      <xdr:col>22</xdr:col>
      <xdr:colOff>634680</xdr:colOff>
      <xdr:row>66</xdr:row>
      <xdr:rowOff>47160</xdr:rowOff>
    </xdr:to>
    <xdr:sp>
      <xdr:nvSpPr>
        <xdr:cNvPr id="87" name="Rectangle 88"/>
        <xdr:cNvSpPr/>
      </xdr:nvSpPr>
      <xdr:spPr>
        <a:xfrm>
          <a:off x="17817840" y="11153880"/>
          <a:ext cx="1278360" cy="9615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734400</xdr:colOff>
      <xdr:row>65</xdr:row>
      <xdr:rowOff>142920</xdr:rowOff>
    </xdr:from>
    <xdr:to>
      <xdr:col>21</xdr:col>
      <xdr:colOff>71640</xdr:colOff>
      <xdr:row>66</xdr:row>
      <xdr:rowOff>95400</xdr:rowOff>
    </xdr:to>
    <xdr:sp>
      <xdr:nvSpPr>
        <xdr:cNvPr id="88" name="Line 89"/>
        <xdr:cNvSpPr/>
      </xdr:nvSpPr>
      <xdr:spPr>
        <a:xfrm flipH="1">
          <a:off x="17213760" y="12011040"/>
          <a:ext cx="42372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10440</xdr:colOff>
      <xdr:row>13</xdr:row>
      <xdr:rowOff>76320</xdr:rowOff>
    </xdr:from>
    <xdr:to>
      <xdr:col>16</xdr:col>
      <xdr:colOff>342720</xdr:colOff>
      <xdr:row>14</xdr:row>
      <xdr:rowOff>66240</xdr:rowOff>
    </xdr:to>
    <xdr:sp>
      <xdr:nvSpPr>
        <xdr:cNvPr id="89" name="Line 90"/>
        <xdr:cNvSpPr/>
      </xdr:nvSpPr>
      <xdr:spPr>
        <a:xfrm>
          <a:off x="13833720" y="2486160"/>
          <a:ext cx="332280" cy="171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513360</xdr:colOff>
      <xdr:row>11</xdr:row>
      <xdr:rowOff>152640</xdr:rowOff>
    </xdr:from>
    <xdr:to>
      <xdr:col>16</xdr:col>
      <xdr:colOff>1080</xdr:colOff>
      <xdr:row>14</xdr:row>
      <xdr:rowOff>9000</xdr:rowOff>
    </xdr:to>
    <xdr:sp>
      <xdr:nvSpPr>
        <xdr:cNvPr id="90" name="Oval 91"/>
        <xdr:cNvSpPr/>
      </xdr:nvSpPr>
      <xdr:spPr>
        <a:xfrm>
          <a:off x="13441320" y="2200680"/>
          <a:ext cx="383040" cy="399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110880</xdr:colOff>
      <xdr:row>9</xdr:row>
      <xdr:rowOff>0</xdr:rowOff>
    </xdr:from>
    <xdr:to>
      <xdr:col>16</xdr:col>
      <xdr:colOff>322560</xdr:colOff>
      <xdr:row>11</xdr:row>
      <xdr:rowOff>171720</xdr:rowOff>
    </xdr:to>
    <xdr:sp>
      <xdr:nvSpPr>
        <xdr:cNvPr id="91" name="Rectangle 92"/>
        <xdr:cNvSpPr/>
      </xdr:nvSpPr>
      <xdr:spPr>
        <a:xfrm>
          <a:off x="13038840" y="1685880"/>
          <a:ext cx="1107000" cy="533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80640</xdr:colOff>
      <xdr:row>13</xdr:row>
      <xdr:rowOff>-360</xdr:rowOff>
    </xdr:from>
    <xdr:to>
      <xdr:col>16</xdr:col>
      <xdr:colOff>272880</xdr:colOff>
      <xdr:row>13</xdr:row>
      <xdr:rowOff>95040</xdr:rowOff>
    </xdr:to>
    <xdr:sp>
      <xdr:nvSpPr>
        <xdr:cNvPr id="92" name="Line 93"/>
        <xdr:cNvSpPr/>
      </xdr:nvSpPr>
      <xdr:spPr>
        <a:xfrm flipH="1" flipV="1">
          <a:off x="13903920" y="2409480"/>
          <a:ext cx="1922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150480</xdr:colOff>
      <xdr:row>38</xdr:row>
      <xdr:rowOff>0</xdr:rowOff>
    </xdr:from>
    <xdr:to>
      <xdr:col>12</xdr:col>
      <xdr:colOff>402840</xdr:colOff>
      <xdr:row>41</xdr:row>
      <xdr:rowOff>28080</xdr:rowOff>
    </xdr:to>
    <xdr:sp>
      <xdr:nvSpPr>
        <xdr:cNvPr id="93" name="Rectangle 94"/>
        <xdr:cNvSpPr/>
      </xdr:nvSpPr>
      <xdr:spPr>
        <a:xfrm>
          <a:off x="9416520" y="6953400"/>
          <a:ext cx="1228320" cy="570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312120</xdr:colOff>
      <xdr:row>34</xdr:row>
      <xdr:rowOff>142560</xdr:rowOff>
    </xdr:from>
    <xdr:to>
      <xdr:col>12</xdr:col>
      <xdr:colOff>695160</xdr:colOff>
      <xdr:row>37</xdr:row>
      <xdr:rowOff>9000</xdr:rowOff>
    </xdr:to>
    <xdr:sp>
      <xdr:nvSpPr>
        <xdr:cNvPr id="94" name="Oval 95"/>
        <xdr:cNvSpPr/>
      </xdr:nvSpPr>
      <xdr:spPr>
        <a:xfrm>
          <a:off x="10554120" y="6372000"/>
          <a:ext cx="383040" cy="409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50760</xdr:colOff>
      <xdr:row>36</xdr:row>
      <xdr:rowOff>66600</xdr:rowOff>
    </xdr:from>
    <xdr:to>
      <xdr:col>12</xdr:col>
      <xdr:colOff>242280</xdr:colOff>
      <xdr:row>37</xdr:row>
      <xdr:rowOff>152640</xdr:rowOff>
    </xdr:to>
    <xdr:sp>
      <xdr:nvSpPr>
        <xdr:cNvPr id="95" name="Line 96"/>
        <xdr:cNvSpPr/>
      </xdr:nvSpPr>
      <xdr:spPr>
        <a:xfrm flipH="1">
          <a:off x="10292760" y="6657840"/>
          <a:ext cx="191520" cy="267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573480</xdr:colOff>
      <xdr:row>77</xdr:row>
      <xdr:rowOff>28080</xdr:rowOff>
    </xdr:from>
    <xdr:to>
      <xdr:col>29</xdr:col>
      <xdr:colOff>31320</xdr:colOff>
      <xdr:row>79</xdr:row>
      <xdr:rowOff>9000</xdr:rowOff>
    </xdr:to>
    <xdr:sp>
      <xdr:nvSpPr>
        <xdr:cNvPr id="96" name="AutoShape 97"/>
        <xdr:cNvSpPr/>
      </xdr:nvSpPr>
      <xdr:spPr>
        <a:xfrm>
          <a:off x="23864040" y="14087160"/>
          <a:ext cx="353160" cy="3427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29880</xdr:colOff>
      <xdr:row>78</xdr:row>
      <xdr:rowOff>19080</xdr:rowOff>
    </xdr:from>
    <xdr:to>
      <xdr:col>28</xdr:col>
      <xdr:colOff>664560</xdr:colOff>
      <xdr:row>85</xdr:row>
      <xdr:rowOff>180720</xdr:rowOff>
    </xdr:to>
    <xdr:sp>
      <xdr:nvSpPr>
        <xdr:cNvPr id="97" name="Rectangle 98"/>
        <xdr:cNvSpPr/>
      </xdr:nvSpPr>
      <xdr:spPr>
        <a:xfrm>
          <a:off x="22707000" y="14258880"/>
          <a:ext cx="1248120" cy="1438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77</xdr:row>
      <xdr:rowOff>19080</xdr:rowOff>
    </xdr:from>
    <xdr:to>
      <xdr:col>25</xdr:col>
      <xdr:colOff>755640</xdr:colOff>
      <xdr:row>86</xdr:row>
      <xdr:rowOff>19080</xdr:rowOff>
    </xdr:to>
    <xdr:sp>
      <xdr:nvSpPr>
        <xdr:cNvPr id="98" name="Rectangle 99"/>
        <xdr:cNvSpPr/>
      </xdr:nvSpPr>
      <xdr:spPr>
        <a:xfrm>
          <a:off x="18461520" y="14078160"/>
          <a:ext cx="3471840" cy="1638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332280</xdr:colOff>
      <xdr:row>77</xdr:row>
      <xdr:rowOff>28080</xdr:rowOff>
    </xdr:from>
    <xdr:to>
      <xdr:col>28</xdr:col>
      <xdr:colOff>423000</xdr:colOff>
      <xdr:row>78</xdr:row>
      <xdr:rowOff>19080</xdr:rowOff>
    </xdr:to>
    <xdr:sp>
      <xdr:nvSpPr>
        <xdr:cNvPr id="99" name="Line 100"/>
        <xdr:cNvSpPr/>
      </xdr:nvSpPr>
      <xdr:spPr>
        <a:xfrm>
          <a:off x="23622840" y="14087160"/>
          <a:ext cx="90720" cy="171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422280</xdr:colOff>
      <xdr:row>65</xdr:row>
      <xdr:rowOff>28440</xdr:rowOff>
    </xdr:from>
    <xdr:to>
      <xdr:col>27</xdr:col>
      <xdr:colOff>151200</xdr:colOff>
      <xdr:row>65</xdr:row>
      <xdr:rowOff>161280</xdr:rowOff>
    </xdr:to>
    <xdr:sp>
      <xdr:nvSpPr>
        <xdr:cNvPr id="100" name="Line 101"/>
        <xdr:cNvSpPr/>
      </xdr:nvSpPr>
      <xdr:spPr>
        <a:xfrm flipH="1" flipV="1">
          <a:off x="22465800" y="11896560"/>
          <a:ext cx="36252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201240</xdr:colOff>
      <xdr:row>41</xdr:row>
      <xdr:rowOff>19080</xdr:rowOff>
    </xdr:from>
    <xdr:to>
      <xdr:col>14</xdr:col>
      <xdr:colOff>20880</xdr:colOff>
      <xdr:row>62</xdr:row>
      <xdr:rowOff>95400</xdr:rowOff>
    </xdr:to>
    <xdr:sp>
      <xdr:nvSpPr>
        <xdr:cNvPr id="101" name="AutoShape 102"/>
        <xdr:cNvSpPr/>
      </xdr:nvSpPr>
      <xdr:spPr>
        <a:xfrm>
          <a:off x="4990320" y="7515360"/>
          <a:ext cx="7063200" cy="3914640"/>
        </a:xfrm>
        <a:custGeom>
          <a:avLst/>
          <a:gdLst/>
          <a:ahLst/>
          <a:rect l="l" t="t" r="r" b="b"/>
          <a:pathLst>
            <a:path w="702" h="411">
              <a:moveTo>
                <a:pt x="702" y="0"/>
              </a:moveTo>
              <a:lnTo>
                <a:pt x="27" y="384"/>
              </a:lnTo>
              <a:lnTo>
                <a:pt x="0" y="411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131040</xdr:colOff>
      <xdr:row>51</xdr:row>
      <xdr:rowOff>76680</xdr:rowOff>
    </xdr:from>
    <xdr:to>
      <xdr:col>27</xdr:col>
      <xdr:colOff>332640</xdr:colOff>
      <xdr:row>66</xdr:row>
      <xdr:rowOff>114480</xdr:rowOff>
    </xdr:to>
    <xdr:sp>
      <xdr:nvSpPr>
        <xdr:cNvPr id="102" name="Line 103"/>
        <xdr:cNvSpPr/>
      </xdr:nvSpPr>
      <xdr:spPr>
        <a:xfrm>
          <a:off x="14849640" y="9392040"/>
          <a:ext cx="8160120" cy="279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331920</xdr:colOff>
      <xdr:row>66</xdr:row>
      <xdr:rowOff>142560</xdr:rowOff>
    </xdr:from>
    <xdr:to>
      <xdr:col>28</xdr:col>
      <xdr:colOff>483480</xdr:colOff>
      <xdr:row>78</xdr:row>
      <xdr:rowOff>28440</xdr:rowOff>
    </xdr:to>
    <xdr:sp>
      <xdr:nvSpPr>
        <xdr:cNvPr id="103" name="Line 104"/>
        <xdr:cNvSpPr/>
      </xdr:nvSpPr>
      <xdr:spPr>
        <a:xfrm>
          <a:off x="23009040" y="12210840"/>
          <a:ext cx="765000" cy="2057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874440</xdr:colOff>
      <xdr:row>64</xdr:row>
      <xdr:rowOff>19080</xdr:rowOff>
    </xdr:from>
    <xdr:to>
      <xdr:col>6</xdr:col>
      <xdr:colOff>101160</xdr:colOff>
      <xdr:row>75</xdr:row>
      <xdr:rowOff>76320</xdr:rowOff>
    </xdr:to>
    <xdr:sp>
      <xdr:nvSpPr>
        <xdr:cNvPr id="104" name="Line 105"/>
        <xdr:cNvSpPr/>
      </xdr:nvSpPr>
      <xdr:spPr>
        <a:xfrm flipH="1">
          <a:off x="4778280" y="11706120"/>
          <a:ext cx="111960" cy="20671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874800</xdr:colOff>
      <xdr:row>75</xdr:row>
      <xdr:rowOff>47520</xdr:rowOff>
    </xdr:from>
    <xdr:to>
      <xdr:col>7</xdr:col>
      <xdr:colOff>333360</xdr:colOff>
      <xdr:row>84</xdr:row>
      <xdr:rowOff>19080</xdr:rowOff>
    </xdr:to>
    <xdr:sp>
      <xdr:nvSpPr>
        <xdr:cNvPr id="105" name="Line 106"/>
        <xdr:cNvSpPr/>
      </xdr:nvSpPr>
      <xdr:spPr>
        <a:xfrm>
          <a:off x="4778640" y="13744440"/>
          <a:ext cx="1239120" cy="1609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382320</xdr:colOff>
      <xdr:row>84</xdr:row>
      <xdr:rowOff>47160</xdr:rowOff>
    </xdr:from>
    <xdr:to>
      <xdr:col>9</xdr:col>
      <xdr:colOff>533880</xdr:colOff>
      <xdr:row>86</xdr:row>
      <xdr:rowOff>28440</xdr:rowOff>
    </xdr:to>
    <xdr:sp>
      <xdr:nvSpPr>
        <xdr:cNvPr id="106" name="Line 107"/>
        <xdr:cNvSpPr/>
      </xdr:nvSpPr>
      <xdr:spPr>
        <a:xfrm>
          <a:off x="6066720" y="15382440"/>
          <a:ext cx="1942560" cy="343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70920</xdr:colOff>
      <xdr:row>84</xdr:row>
      <xdr:rowOff>66600</xdr:rowOff>
    </xdr:from>
    <xdr:to>
      <xdr:col>10</xdr:col>
      <xdr:colOff>181800</xdr:colOff>
      <xdr:row>93</xdr:row>
      <xdr:rowOff>190440</xdr:rowOff>
    </xdr:to>
    <xdr:sp>
      <xdr:nvSpPr>
        <xdr:cNvPr id="107" name="AutoShape 108"/>
        <xdr:cNvSpPr/>
      </xdr:nvSpPr>
      <xdr:spPr>
        <a:xfrm>
          <a:off x="5755320" y="15401880"/>
          <a:ext cx="2797200" cy="1752480"/>
        </a:xfrm>
        <a:custGeom>
          <a:avLst/>
          <a:gdLst/>
          <a:ahLst/>
          <a:rect l="l" t="t" r="r" b="b"/>
          <a:pathLst>
            <a:path w="278" h="184">
              <a:moveTo>
                <a:pt x="223" y="34"/>
              </a:moveTo>
              <a:cubicBezTo>
                <a:pt x="213" y="39"/>
                <a:pt x="204" y="44"/>
                <a:pt x="194" y="44"/>
              </a:cubicBezTo>
              <a:cubicBezTo>
                <a:pt x="184" y="44"/>
                <a:pt x="176" y="40"/>
                <a:pt x="165" y="34"/>
              </a:cubicBezTo>
              <a:cubicBezTo>
                <a:pt x="154" y="28"/>
                <a:pt x="148" y="10"/>
                <a:pt x="130" y="5"/>
              </a:cubicBezTo>
              <a:cubicBezTo>
                <a:pt x="112" y="0"/>
                <a:pt x="71" y="4"/>
                <a:pt x="55" y="6"/>
              </a:cubicBezTo>
              <a:cubicBezTo>
                <a:pt x="39" y="8"/>
                <a:pt x="42" y="8"/>
                <a:pt x="33" y="17"/>
              </a:cubicBezTo>
              <a:cubicBezTo>
                <a:pt x="24" y="26"/>
                <a:pt x="0" y="40"/>
                <a:pt x="0" y="58"/>
              </a:cubicBezTo>
              <a:cubicBezTo>
                <a:pt x="0" y="76"/>
                <a:pt x="13" y="112"/>
                <a:pt x="30" y="124"/>
              </a:cubicBezTo>
              <a:cubicBezTo>
                <a:pt x="47" y="136"/>
                <a:pt x="78" y="128"/>
                <a:pt x="100" y="131"/>
              </a:cubicBezTo>
              <a:cubicBezTo>
                <a:pt x="122" y="134"/>
                <a:pt x="140" y="134"/>
                <a:pt x="160" y="139"/>
              </a:cubicBezTo>
              <a:cubicBezTo>
                <a:pt x="180" y="144"/>
                <a:pt x="208" y="155"/>
                <a:pt x="221" y="160"/>
              </a:cubicBezTo>
              <a:cubicBezTo>
                <a:pt x="234" y="165"/>
                <a:pt x="232" y="168"/>
                <a:pt x="241" y="172"/>
              </a:cubicBezTo>
              <a:cubicBezTo>
                <a:pt x="250" y="176"/>
                <a:pt x="272" y="182"/>
                <a:pt x="278" y="184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50400</xdr:colOff>
      <xdr:row>94</xdr:row>
      <xdr:rowOff>0</xdr:rowOff>
    </xdr:from>
    <xdr:to>
      <xdr:col>33</xdr:col>
      <xdr:colOff>720</xdr:colOff>
      <xdr:row>95</xdr:row>
      <xdr:rowOff>66600</xdr:rowOff>
    </xdr:to>
    <xdr:sp>
      <xdr:nvSpPr>
        <xdr:cNvPr id="108" name="AutoShape 109"/>
        <xdr:cNvSpPr/>
      </xdr:nvSpPr>
      <xdr:spPr>
        <a:xfrm>
          <a:off x="8421120" y="17154360"/>
          <a:ext cx="18813600" cy="228600"/>
        </a:xfrm>
        <a:custGeom>
          <a:avLst/>
          <a:gdLst/>
          <a:ahLst/>
          <a:rect l="l" t="t" r="r" b="b"/>
          <a:pathLst>
            <a:path w="1904" h="24">
              <a:moveTo>
                <a:pt x="0" y="0"/>
              </a:moveTo>
              <a:lnTo>
                <a:pt x="803" y="3"/>
              </a:lnTo>
              <a:lnTo>
                <a:pt x="1904" y="24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221400</xdr:colOff>
      <xdr:row>78</xdr:row>
      <xdr:rowOff>28440</xdr:rowOff>
    </xdr:from>
    <xdr:to>
      <xdr:col>24</xdr:col>
      <xdr:colOff>725040</xdr:colOff>
      <xdr:row>80</xdr:row>
      <xdr:rowOff>28080</xdr:rowOff>
    </xdr:to>
    <xdr:sp>
      <xdr:nvSpPr>
        <xdr:cNvPr id="109" name="Rectangle 110"/>
        <xdr:cNvSpPr/>
      </xdr:nvSpPr>
      <xdr:spPr>
        <a:xfrm>
          <a:off x="20473560" y="14268240"/>
          <a:ext cx="5036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533160</xdr:colOff>
      <xdr:row>86</xdr:row>
      <xdr:rowOff>19080</xdr:rowOff>
    </xdr:from>
    <xdr:to>
      <xdr:col>32</xdr:col>
      <xdr:colOff>513360</xdr:colOff>
      <xdr:row>91</xdr:row>
      <xdr:rowOff>19080</xdr:rowOff>
    </xdr:to>
    <xdr:sp>
      <xdr:nvSpPr>
        <xdr:cNvPr id="110" name="Line 111"/>
        <xdr:cNvSpPr/>
      </xdr:nvSpPr>
      <xdr:spPr>
        <a:xfrm>
          <a:off x="8008560" y="15716160"/>
          <a:ext cx="19225440" cy="905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302040</xdr:colOff>
      <xdr:row>86</xdr:row>
      <xdr:rowOff>0</xdr:rowOff>
    </xdr:from>
    <xdr:to>
      <xdr:col>28</xdr:col>
      <xdr:colOff>242280</xdr:colOff>
      <xdr:row>90</xdr:row>
      <xdr:rowOff>19080</xdr:rowOff>
    </xdr:to>
    <xdr:sp>
      <xdr:nvSpPr>
        <xdr:cNvPr id="111" name="Line 112"/>
        <xdr:cNvSpPr/>
      </xdr:nvSpPr>
      <xdr:spPr>
        <a:xfrm flipH="1">
          <a:off x="22979160" y="15697080"/>
          <a:ext cx="553680" cy="7430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62</xdr:row>
      <xdr:rowOff>66960</xdr:rowOff>
    </xdr:from>
    <xdr:to>
      <xdr:col>6</xdr:col>
      <xdr:colOff>313200</xdr:colOff>
      <xdr:row>64</xdr:row>
      <xdr:rowOff>19080</xdr:rowOff>
    </xdr:to>
    <xdr:sp>
      <xdr:nvSpPr>
        <xdr:cNvPr id="112" name="AutoShape 113"/>
        <xdr:cNvSpPr/>
      </xdr:nvSpPr>
      <xdr:spPr>
        <a:xfrm>
          <a:off x="4789080" y="11401560"/>
          <a:ext cx="313200" cy="3045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50400</xdr:colOff>
      <xdr:row>88</xdr:row>
      <xdr:rowOff>38160</xdr:rowOff>
    </xdr:from>
    <xdr:to>
      <xdr:col>27</xdr:col>
      <xdr:colOff>720</xdr:colOff>
      <xdr:row>96</xdr:row>
      <xdr:rowOff>19080</xdr:rowOff>
    </xdr:to>
    <xdr:sp>
      <xdr:nvSpPr>
        <xdr:cNvPr id="113" name="Rectangle 114"/>
        <xdr:cNvSpPr/>
      </xdr:nvSpPr>
      <xdr:spPr>
        <a:xfrm>
          <a:off x="19407240" y="16097400"/>
          <a:ext cx="3270600" cy="14191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29880</xdr:colOff>
      <xdr:row>88</xdr:row>
      <xdr:rowOff>161640</xdr:rowOff>
    </xdr:from>
    <xdr:to>
      <xdr:col>27</xdr:col>
      <xdr:colOff>372600</xdr:colOff>
      <xdr:row>90</xdr:row>
      <xdr:rowOff>76320</xdr:rowOff>
    </xdr:to>
    <xdr:sp>
      <xdr:nvSpPr>
        <xdr:cNvPr id="114" name="AutoShape 115"/>
        <xdr:cNvSpPr/>
      </xdr:nvSpPr>
      <xdr:spPr>
        <a:xfrm>
          <a:off x="22707000" y="16220880"/>
          <a:ext cx="342720" cy="2764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85</xdr:row>
      <xdr:rowOff>76320</xdr:rowOff>
    </xdr:from>
    <xdr:to>
      <xdr:col>9</xdr:col>
      <xdr:colOff>333000</xdr:colOff>
      <xdr:row>87</xdr:row>
      <xdr:rowOff>28440</xdr:rowOff>
    </xdr:to>
    <xdr:sp>
      <xdr:nvSpPr>
        <xdr:cNvPr id="115" name="Oval 116"/>
        <xdr:cNvSpPr/>
      </xdr:nvSpPr>
      <xdr:spPr>
        <a:xfrm>
          <a:off x="7475400" y="15592680"/>
          <a:ext cx="333000" cy="3139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19800</xdr:colOff>
      <xdr:row>93</xdr:row>
      <xdr:rowOff>75960</xdr:rowOff>
    </xdr:from>
    <xdr:to>
      <xdr:col>10</xdr:col>
      <xdr:colOff>333000</xdr:colOff>
      <xdr:row>94</xdr:row>
      <xdr:rowOff>143280</xdr:rowOff>
    </xdr:to>
    <xdr:sp>
      <xdr:nvSpPr>
        <xdr:cNvPr id="116" name="Oval 117"/>
        <xdr:cNvSpPr/>
      </xdr:nvSpPr>
      <xdr:spPr>
        <a:xfrm>
          <a:off x="8390520" y="17039880"/>
          <a:ext cx="313200" cy="257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211320</xdr:colOff>
      <xdr:row>90</xdr:row>
      <xdr:rowOff>19080</xdr:rowOff>
    </xdr:from>
    <xdr:to>
      <xdr:col>11</xdr:col>
      <xdr:colOff>725040</xdr:colOff>
      <xdr:row>97</xdr:row>
      <xdr:rowOff>28440</xdr:rowOff>
    </xdr:to>
    <xdr:sp>
      <xdr:nvSpPr>
        <xdr:cNvPr id="117" name="Rectangle 118"/>
        <xdr:cNvSpPr/>
      </xdr:nvSpPr>
      <xdr:spPr>
        <a:xfrm>
          <a:off x="8582040" y="16440120"/>
          <a:ext cx="1409040" cy="1247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221040</xdr:colOff>
      <xdr:row>81</xdr:row>
      <xdr:rowOff>142560</xdr:rowOff>
    </xdr:from>
    <xdr:to>
      <xdr:col>10</xdr:col>
      <xdr:colOff>503640</xdr:colOff>
      <xdr:row>89</xdr:row>
      <xdr:rowOff>47520</xdr:rowOff>
    </xdr:to>
    <xdr:sp>
      <xdr:nvSpPr>
        <xdr:cNvPr id="118" name="Rectangle 119"/>
        <xdr:cNvSpPr/>
      </xdr:nvSpPr>
      <xdr:spPr>
        <a:xfrm>
          <a:off x="7696440" y="14934960"/>
          <a:ext cx="1177920" cy="135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734400</xdr:colOff>
      <xdr:row>88</xdr:row>
      <xdr:rowOff>28080</xdr:rowOff>
    </xdr:from>
    <xdr:to>
      <xdr:col>17</xdr:col>
      <xdr:colOff>585000</xdr:colOff>
      <xdr:row>94</xdr:row>
      <xdr:rowOff>66600</xdr:rowOff>
    </xdr:to>
    <xdr:sp>
      <xdr:nvSpPr>
        <xdr:cNvPr id="119" name="Line 120"/>
        <xdr:cNvSpPr/>
      </xdr:nvSpPr>
      <xdr:spPr>
        <a:xfrm flipH="1">
          <a:off x="14557680" y="16087320"/>
          <a:ext cx="745920" cy="11336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804600</xdr:colOff>
      <xdr:row>88</xdr:row>
      <xdr:rowOff>76320</xdr:rowOff>
    </xdr:from>
    <xdr:to>
      <xdr:col>19</xdr:col>
      <xdr:colOff>645120</xdr:colOff>
      <xdr:row>94</xdr:row>
      <xdr:rowOff>75960</xdr:rowOff>
    </xdr:to>
    <xdr:sp>
      <xdr:nvSpPr>
        <xdr:cNvPr id="120" name="Line 121"/>
        <xdr:cNvSpPr/>
      </xdr:nvSpPr>
      <xdr:spPr>
        <a:xfrm flipH="1">
          <a:off x="16388640" y="16135560"/>
          <a:ext cx="735840" cy="1094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201240</xdr:colOff>
      <xdr:row>80</xdr:row>
      <xdr:rowOff>19080</xdr:rowOff>
    </xdr:from>
    <xdr:to>
      <xdr:col>17</xdr:col>
      <xdr:colOff>383040</xdr:colOff>
      <xdr:row>87</xdr:row>
      <xdr:rowOff>38160</xdr:rowOff>
    </xdr:to>
    <xdr:sp>
      <xdr:nvSpPr>
        <xdr:cNvPr id="121" name="Rectangle 122"/>
        <xdr:cNvSpPr/>
      </xdr:nvSpPr>
      <xdr:spPr>
        <a:xfrm>
          <a:off x="14024520" y="14621040"/>
          <a:ext cx="1077120" cy="12952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50760</xdr:colOff>
      <xdr:row>93</xdr:row>
      <xdr:rowOff>95400</xdr:rowOff>
    </xdr:from>
    <xdr:to>
      <xdr:col>17</xdr:col>
      <xdr:colOff>272160</xdr:colOff>
      <xdr:row>94</xdr:row>
      <xdr:rowOff>124200</xdr:rowOff>
    </xdr:to>
    <xdr:sp>
      <xdr:nvSpPr>
        <xdr:cNvPr id="122" name="Oval 123"/>
        <xdr:cNvSpPr/>
      </xdr:nvSpPr>
      <xdr:spPr>
        <a:xfrm>
          <a:off x="14769360" y="17059320"/>
          <a:ext cx="221400" cy="219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381960</xdr:colOff>
      <xdr:row>87</xdr:row>
      <xdr:rowOff>28440</xdr:rowOff>
    </xdr:from>
    <xdr:to>
      <xdr:col>16</xdr:col>
      <xdr:colOff>675000</xdr:colOff>
      <xdr:row>88</xdr:row>
      <xdr:rowOff>114480</xdr:rowOff>
    </xdr:to>
    <xdr:sp>
      <xdr:nvSpPr>
        <xdr:cNvPr id="123" name="Oval 124"/>
        <xdr:cNvSpPr/>
      </xdr:nvSpPr>
      <xdr:spPr>
        <a:xfrm>
          <a:off x="14205240" y="15906600"/>
          <a:ext cx="293040" cy="2671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191160</xdr:colOff>
      <xdr:row>90</xdr:row>
      <xdr:rowOff>19080</xdr:rowOff>
    </xdr:from>
    <xdr:to>
      <xdr:col>18</xdr:col>
      <xdr:colOff>755640</xdr:colOff>
      <xdr:row>97</xdr:row>
      <xdr:rowOff>18720</xdr:rowOff>
    </xdr:to>
    <xdr:sp>
      <xdr:nvSpPr>
        <xdr:cNvPr id="124" name="Rectangle 125"/>
        <xdr:cNvSpPr/>
      </xdr:nvSpPr>
      <xdr:spPr>
        <a:xfrm>
          <a:off x="14909760" y="16440120"/>
          <a:ext cx="1429920" cy="1238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231120</xdr:colOff>
      <xdr:row>92</xdr:row>
      <xdr:rowOff>0</xdr:rowOff>
    </xdr:from>
    <xdr:to>
      <xdr:col>32</xdr:col>
      <xdr:colOff>433080</xdr:colOff>
      <xdr:row>98</xdr:row>
      <xdr:rowOff>161640</xdr:rowOff>
    </xdr:to>
    <xdr:sp>
      <xdr:nvSpPr>
        <xdr:cNvPr id="125" name="Rectangle 126"/>
        <xdr:cNvSpPr/>
      </xdr:nvSpPr>
      <xdr:spPr>
        <a:xfrm>
          <a:off x="26207640" y="16783200"/>
          <a:ext cx="946080" cy="11998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472680</xdr:colOff>
      <xdr:row>87</xdr:row>
      <xdr:rowOff>66600</xdr:rowOff>
    </xdr:from>
    <xdr:to>
      <xdr:col>28</xdr:col>
      <xdr:colOff>91800</xdr:colOff>
      <xdr:row>88</xdr:row>
      <xdr:rowOff>95400</xdr:rowOff>
    </xdr:to>
    <xdr:sp>
      <xdr:nvSpPr>
        <xdr:cNvPr id="126" name="Oval 127"/>
        <xdr:cNvSpPr/>
      </xdr:nvSpPr>
      <xdr:spPr>
        <a:xfrm>
          <a:off x="23149800" y="15944760"/>
          <a:ext cx="232560" cy="209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301680</xdr:colOff>
      <xdr:row>87</xdr:row>
      <xdr:rowOff>19080</xdr:rowOff>
    </xdr:from>
    <xdr:to>
      <xdr:col>27</xdr:col>
      <xdr:colOff>452520</xdr:colOff>
      <xdr:row>88</xdr:row>
      <xdr:rowOff>38160</xdr:rowOff>
    </xdr:to>
    <xdr:sp>
      <xdr:nvSpPr>
        <xdr:cNvPr id="127" name="Line 128"/>
        <xdr:cNvSpPr/>
      </xdr:nvSpPr>
      <xdr:spPr>
        <a:xfrm flipH="1">
          <a:off x="22978800" y="15897240"/>
          <a:ext cx="150840" cy="200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221040</xdr:colOff>
      <xdr:row>74</xdr:row>
      <xdr:rowOff>162000</xdr:rowOff>
    </xdr:from>
    <xdr:to>
      <xdr:col>12</xdr:col>
      <xdr:colOff>604080</xdr:colOff>
      <xdr:row>79</xdr:row>
      <xdr:rowOff>162000</xdr:rowOff>
    </xdr:to>
    <xdr:sp>
      <xdr:nvSpPr>
        <xdr:cNvPr id="128" name="Rectangle 129"/>
        <xdr:cNvSpPr/>
      </xdr:nvSpPr>
      <xdr:spPr>
        <a:xfrm>
          <a:off x="9487080" y="13677840"/>
          <a:ext cx="1359000" cy="905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372600</xdr:colOff>
      <xdr:row>69</xdr:row>
      <xdr:rowOff>162000</xdr:rowOff>
    </xdr:from>
    <xdr:to>
      <xdr:col>15</xdr:col>
      <xdr:colOff>684720</xdr:colOff>
      <xdr:row>75</xdr:row>
      <xdr:rowOff>28440</xdr:rowOff>
    </xdr:to>
    <xdr:sp>
      <xdr:nvSpPr>
        <xdr:cNvPr id="129" name="Rectangle 130"/>
        <xdr:cNvSpPr/>
      </xdr:nvSpPr>
      <xdr:spPr>
        <a:xfrm>
          <a:off x="12405240" y="12773160"/>
          <a:ext cx="1207440" cy="952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332280</xdr:colOff>
      <xdr:row>71</xdr:row>
      <xdr:rowOff>162000</xdr:rowOff>
    </xdr:from>
    <xdr:to>
      <xdr:col>18</xdr:col>
      <xdr:colOff>644400</xdr:colOff>
      <xdr:row>77</xdr:row>
      <xdr:rowOff>19080</xdr:rowOff>
    </xdr:to>
    <xdr:sp>
      <xdr:nvSpPr>
        <xdr:cNvPr id="130" name="Rectangle 131"/>
        <xdr:cNvSpPr/>
      </xdr:nvSpPr>
      <xdr:spPr>
        <a:xfrm>
          <a:off x="15050880" y="13134960"/>
          <a:ext cx="1177560" cy="9432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372600</xdr:colOff>
      <xdr:row>60</xdr:row>
      <xdr:rowOff>162000</xdr:rowOff>
    </xdr:from>
    <xdr:to>
      <xdr:col>19</xdr:col>
      <xdr:colOff>585000</xdr:colOff>
      <xdr:row>66</xdr:row>
      <xdr:rowOff>19080</xdr:rowOff>
    </xdr:to>
    <xdr:sp>
      <xdr:nvSpPr>
        <xdr:cNvPr id="131" name="Rectangle 132"/>
        <xdr:cNvSpPr/>
      </xdr:nvSpPr>
      <xdr:spPr>
        <a:xfrm>
          <a:off x="15956640" y="11134800"/>
          <a:ext cx="1107720" cy="9525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372600</xdr:colOff>
      <xdr:row>74</xdr:row>
      <xdr:rowOff>47520</xdr:rowOff>
    </xdr:from>
    <xdr:to>
      <xdr:col>14</xdr:col>
      <xdr:colOff>720</xdr:colOff>
      <xdr:row>75</xdr:row>
      <xdr:rowOff>28440</xdr:rowOff>
    </xdr:to>
    <xdr:sp>
      <xdr:nvSpPr>
        <xdr:cNvPr id="132" name="Line 133"/>
        <xdr:cNvSpPr/>
      </xdr:nvSpPr>
      <xdr:spPr>
        <a:xfrm flipH="1">
          <a:off x="11509920" y="13563360"/>
          <a:ext cx="523440" cy="162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220680</xdr:colOff>
      <xdr:row>86</xdr:row>
      <xdr:rowOff>47520</xdr:rowOff>
    </xdr:from>
    <xdr:to>
      <xdr:col>13</xdr:col>
      <xdr:colOff>744480</xdr:colOff>
      <xdr:row>86</xdr:row>
      <xdr:rowOff>75600</xdr:rowOff>
    </xdr:to>
    <xdr:sp>
      <xdr:nvSpPr>
        <xdr:cNvPr id="133" name="Line 134"/>
        <xdr:cNvSpPr/>
      </xdr:nvSpPr>
      <xdr:spPr>
        <a:xfrm flipH="1" flipV="1">
          <a:off x="11358000" y="15744600"/>
          <a:ext cx="523800" cy="2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332280</xdr:colOff>
      <xdr:row>93</xdr:row>
      <xdr:rowOff>75960</xdr:rowOff>
    </xdr:from>
    <xdr:to>
      <xdr:col>13</xdr:col>
      <xdr:colOff>875880</xdr:colOff>
      <xdr:row>93</xdr:row>
      <xdr:rowOff>75960</xdr:rowOff>
    </xdr:to>
    <xdr:sp>
      <xdr:nvSpPr>
        <xdr:cNvPr id="134" name="Line 135"/>
        <xdr:cNvSpPr/>
      </xdr:nvSpPr>
      <xdr:spPr>
        <a:xfrm flipH="1">
          <a:off x="11469600" y="17039880"/>
          <a:ext cx="543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372600</xdr:colOff>
      <xdr:row>83</xdr:row>
      <xdr:rowOff>19080</xdr:rowOff>
    </xdr:from>
    <xdr:to>
      <xdr:col>32</xdr:col>
      <xdr:colOff>453600</xdr:colOff>
      <xdr:row>90</xdr:row>
      <xdr:rowOff>181080</xdr:rowOff>
    </xdr:to>
    <xdr:sp>
      <xdr:nvSpPr>
        <xdr:cNvPr id="135" name="Rectangle 136"/>
        <xdr:cNvSpPr/>
      </xdr:nvSpPr>
      <xdr:spPr>
        <a:xfrm>
          <a:off x="25453800" y="15173280"/>
          <a:ext cx="1720440" cy="14288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704160</xdr:colOff>
      <xdr:row>87</xdr:row>
      <xdr:rowOff>114120</xdr:rowOff>
    </xdr:from>
    <xdr:to>
      <xdr:col>19</xdr:col>
      <xdr:colOff>333000</xdr:colOff>
      <xdr:row>87</xdr:row>
      <xdr:rowOff>142560</xdr:rowOff>
    </xdr:to>
    <xdr:sp>
      <xdr:nvSpPr>
        <xdr:cNvPr id="136" name="Line 137"/>
        <xdr:cNvSpPr/>
      </xdr:nvSpPr>
      <xdr:spPr>
        <a:xfrm flipH="1" flipV="1">
          <a:off x="16288200" y="15992280"/>
          <a:ext cx="524160" cy="28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85</xdr:row>
      <xdr:rowOff>76320</xdr:rowOff>
    </xdr:from>
    <xdr:to>
      <xdr:col>9</xdr:col>
      <xdr:colOff>333000</xdr:colOff>
      <xdr:row>86</xdr:row>
      <xdr:rowOff>142920</xdr:rowOff>
    </xdr:to>
    <xdr:sp>
      <xdr:nvSpPr>
        <xdr:cNvPr id="137" name="Oval 138"/>
        <xdr:cNvSpPr/>
      </xdr:nvSpPr>
      <xdr:spPr>
        <a:xfrm>
          <a:off x="7495200" y="15592680"/>
          <a:ext cx="313200" cy="24732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402120</xdr:colOff>
      <xdr:row>101</xdr:row>
      <xdr:rowOff>19080</xdr:rowOff>
    </xdr:from>
    <xdr:to>
      <xdr:col>21</xdr:col>
      <xdr:colOff>31680</xdr:colOff>
      <xdr:row>107</xdr:row>
      <xdr:rowOff>76320</xdr:rowOff>
    </xdr:to>
    <xdr:sp>
      <xdr:nvSpPr>
        <xdr:cNvPr id="138" name="Rectangle 139"/>
        <xdr:cNvSpPr/>
      </xdr:nvSpPr>
      <xdr:spPr>
        <a:xfrm>
          <a:off x="11539440" y="18259560"/>
          <a:ext cx="6058080" cy="11145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20520</xdr:colOff>
      <xdr:row>65</xdr:row>
      <xdr:rowOff>190800</xdr:rowOff>
    </xdr:from>
    <xdr:to>
      <xdr:col>27</xdr:col>
      <xdr:colOff>20880</xdr:colOff>
      <xdr:row>75</xdr:row>
      <xdr:rowOff>19080</xdr:rowOff>
    </xdr:to>
    <xdr:sp>
      <xdr:nvSpPr>
        <xdr:cNvPr id="139" name="Rectangle 140"/>
        <xdr:cNvSpPr/>
      </xdr:nvSpPr>
      <xdr:spPr>
        <a:xfrm>
          <a:off x="21198240" y="12058920"/>
          <a:ext cx="1499760" cy="16570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19800</xdr:colOff>
      <xdr:row>64</xdr:row>
      <xdr:rowOff>19080</xdr:rowOff>
    </xdr:from>
    <xdr:to>
      <xdr:col>24</xdr:col>
      <xdr:colOff>875880</xdr:colOff>
      <xdr:row>72</xdr:row>
      <xdr:rowOff>19080</xdr:rowOff>
    </xdr:to>
    <xdr:sp>
      <xdr:nvSpPr>
        <xdr:cNvPr id="140" name="Rectangle 141"/>
        <xdr:cNvSpPr/>
      </xdr:nvSpPr>
      <xdr:spPr>
        <a:xfrm>
          <a:off x="19376640" y="11706120"/>
          <a:ext cx="1751400" cy="1467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19800</xdr:colOff>
      <xdr:row>70</xdr:row>
      <xdr:rowOff>28080</xdr:rowOff>
    </xdr:from>
    <xdr:to>
      <xdr:col>24</xdr:col>
      <xdr:colOff>866160</xdr:colOff>
      <xdr:row>70</xdr:row>
      <xdr:rowOff>28080</xdr:rowOff>
    </xdr:to>
    <xdr:sp>
      <xdr:nvSpPr>
        <xdr:cNvPr id="141" name="Line 142"/>
        <xdr:cNvSpPr/>
      </xdr:nvSpPr>
      <xdr:spPr>
        <a:xfrm>
          <a:off x="19376640" y="12820320"/>
          <a:ext cx="17416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30600</xdr:colOff>
      <xdr:row>73</xdr:row>
      <xdr:rowOff>19080</xdr:rowOff>
    </xdr:from>
    <xdr:to>
      <xdr:col>27</xdr:col>
      <xdr:colOff>30600</xdr:colOff>
      <xdr:row>73</xdr:row>
      <xdr:rowOff>19080</xdr:rowOff>
    </xdr:to>
    <xdr:sp>
      <xdr:nvSpPr>
        <xdr:cNvPr id="142" name="Line 143"/>
        <xdr:cNvSpPr/>
      </xdr:nvSpPr>
      <xdr:spPr>
        <a:xfrm>
          <a:off x="21208320" y="13354200"/>
          <a:ext cx="14994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80640</xdr:colOff>
      <xdr:row>63</xdr:row>
      <xdr:rowOff>123840</xdr:rowOff>
    </xdr:from>
    <xdr:to>
      <xdr:col>18</xdr:col>
      <xdr:colOff>534240</xdr:colOff>
      <xdr:row>68</xdr:row>
      <xdr:rowOff>162000</xdr:rowOff>
    </xdr:to>
    <xdr:sp>
      <xdr:nvSpPr>
        <xdr:cNvPr id="143" name="Line 144"/>
        <xdr:cNvSpPr/>
      </xdr:nvSpPr>
      <xdr:spPr>
        <a:xfrm>
          <a:off x="15664680" y="11649240"/>
          <a:ext cx="453600" cy="942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774720</xdr:colOff>
      <xdr:row>71</xdr:row>
      <xdr:rowOff>47520</xdr:rowOff>
    </xdr:from>
    <xdr:to>
      <xdr:col>17</xdr:col>
      <xdr:colOff>333000</xdr:colOff>
      <xdr:row>76</xdr:row>
      <xdr:rowOff>85320</xdr:rowOff>
    </xdr:to>
    <xdr:sp>
      <xdr:nvSpPr>
        <xdr:cNvPr id="144" name="Line 145"/>
        <xdr:cNvSpPr/>
      </xdr:nvSpPr>
      <xdr:spPr>
        <a:xfrm>
          <a:off x="14598000" y="13020480"/>
          <a:ext cx="453600" cy="942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30600</xdr:colOff>
      <xdr:row>64</xdr:row>
      <xdr:rowOff>76320</xdr:rowOff>
    </xdr:from>
    <xdr:to>
      <xdr:col>18</xdr:col>
      <xdr:colOff>383040</xdr:colOff>
      <xdr:row>65</xdr:row>
      <xdr:rowOff>200160</xdr:rowOff>
    </xdr:to>
    <xdr:sp>
      <xdr:nvSpPr>
        <xdr:cNvPr id="145" name="AutoShape 146"/>
        <xdr:cNvSpPr/>
      </xdr:nvSpPr>
      <xdr:spPr>
        <a:xfrm>
          <a:off x="15614640" y="11763360"/>
          <a:ext cx="35244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835200</xdr:colOff>
      <xdr:row>73</xdr:row>
      <xdr:rowOff>28080</xdr:rowOff>
    </xdr:from>
    <xdr:to>
      <xdr:col>17</xdr:col>
      <xdr:colOff>292680</xdr:colOff>
      <xdr:row>74</xdr:row>
      <xdr:rowOff>153000</xdr:rowOff>
    </xdr:to>
    <xdr:sp>
      <xdr:nvSpPr>
        <xdr:cNvPr id="146" name="AutoShape 147"/>
        <xdr:cNvSpPr/>
      </xdr:nvSpPr>
      <xdr:spPr>
        <a:xfrm>
          <a:off x="14658480" y="13363200"/>
          <a:ext cx="352800" cy="30564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784440</xdr:colOff>
      <xdr:row>71</xdr:row>
      <xdr:rowOff>28440</xdr:rowOff>
    </xdr:from>
    <xdr:to>
      <xdr:col>16</xdr:col>
      <xdr:colOff>242280</xdr:colOff>
      <xdr:row>72</xdr:row>
      <xdr:rowOff>152640</xdr:rowOff>
    </xdr:to>
    <xdr:sp>
      <xdr:nvSpPr>
        <xdr:cNvPr id="147" name="AutoShape 148"/>
        <xdr:cNvSpPr/>
      </xdr:nvSpPr>
      <xdr:spPr>
        <a:xfrm>
          <a:off x="13712400" y="13001400"/>
          <a:ext cx="353160" cy="30528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673920</xdr:colOff>
      <xdr:row>75</xdr:row>
      <xdr:rowOff>114480</xdr:rowOff>
    </xdr:from>
    <xdr:to>
      <xdr:col>13</xdr:col>
      <xdr:colOff>132120</xdr:colOff>
      <xdr:row>77</xdr:row>
      <xdr:rowOff>57240</xdr:rowOff>
    </xdr:to>
    <xdr:sp>
      <xdr:nvSpPr>
        <xdr:cNvPr id="148" name="AutoShape 149"/>
        <xdr:cNvSpPr/>
      </xdr:nvSpPr>
      <xdr:spPr>
        <a:xfrm>
          <a:off x="10915920" y="13811400"/>
          <a:ext cx="353520" cy="30492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785160</xdr:colOff>
      <xdr:row>65</xdr:row>
      <xdr:rowOff>47520</xdr:rowOff>
    </xdr:from>
    <xdr:to>
      <xdr:col>18</xdr:col>
      <xdr:colOff>72000</xdr:colOff>
      <xdr:row>66</xdr:row>
      <xdr:rowOff>142560</xdr:rowOff>
    </xdr:to>
    <xdr:sp>
      <xdr:nvSpPr>
        <xdr:cNvPr id="149" name="Line 150"/>
        <xdr:cNvSpPr/>
      </xdr:nvSpPr>
      <xdr:spPr>
        <a:xfrm>
          <a:off x="15503760" y="11915640"/>
          <a:ext cx="152280" cy="295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30600</xdr:colOff>
      <xdr:row>71</xdr:row>
      <xdr:rowOff>95400</xdr:rowOff>
    </xdr:from>
    <xdr:to>
      <xdr:col>17</xdr:col>
      <xdr:colOff>171720</xdr:colOff>
      <xdr:row>72</xdr:row>
      <xdr:rowOff>123840</xdr:rowOff>
    </xdr:to>
    <xdr:sp>
      <xdr:nvSpPr>
        <xdr:cNvPr id="150" name="Line 151"/>
        <xdr:cNvSpPr/>
      </xdr:nvSpPr>
      <xdr:spPr>
        <a:xfrm flipH="1" flipV="1">
          <a:off x="14749200" y="13068360"/>
          <a:ext cx="141120" cy="209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30240</xdr:colOff>
      <xdr:row>95</xdr:row>
      <xdr:rowOff>76320</xdr:rowOff>
    </xdr:from>
    <xdr:to>
      <xdr:col>28</xdr:col>
      <xdr:colOff>574200</xdr:colOff>
      <xdr:row>95</xdr:row>
      <xdr:rowOff>76320</xdr:rowOff>
    </xdr:to>
    <xdr:sp>
      <xdr:nvSpPr>
        <xdr:cNvPr id="151" name="Line 152"/>
        <xdr:cNvSpPr/>
      </xdr:nvSpPr>
      <xdr:spPr>
        <a:xfrm flipH="1">
          <a:off x="23320800" y="17392680"/>
          <a:ext cx="5439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100440</xdr:colOff>
      <xdr:row>88</xdr:row>
      <xdr:rowOff>-360</xdr:rowOff>
    </xdr:from>
    <xdr:to>
      <xdr:col>29</xdr:col>
      <xdr:colOff>333000</xdr:colOff>
      <xdr:row>88</xdr:row>
      <xdr:rowOff>18720</xdr:rowOff>
    </xdr:to>
    <xdr:sp>
      <xdr:nvSpPr>
        <xdr:cNvPr id="152" name="Line 153"/>
        <xdr:cNvSpPr/>
      </xdr:nvSpPr>
      <xdr:spPr>
        <a:xfrm flipV="1">
          <a:off x="23391000" y="16058880"/>
          <a:ext cx="112788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352080</xdr:colOff>
      <xdr:row>72</xdr:row>
      <xdr:rowOff>19080</xdr:rowOff>
    </xdr:from>
    <xdr:to>
      <xdr:col>29</xdr:col>
      <xdr:colOff>603720</xdr:colOff>
      <xdr:row>87</xdr:row>
      <xdr:rowOff>152640</xdr:rowOff>
    </xdr:to>
    <xdr:sp>
      <xdr:nvSpPr>
        <xdr:cNvPr id="153" name="Line 154"/>
        <xdr:cNvSpPr/>
      </xdr:nvSpPr>
      <xdr:spPr>
        <a:xfrm flipH="1">
          <a:off x="24537960" y="13173120"/>
          <a:ext cx="251640" cy="2857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603360</xdr:colOff>
      <xdr:row>72</xdr:row>
      <xdr:rowOff>-360</xdr:rowOff>
    </xdr:from>
    <xdr:to>
      <xdr:col>30</xdr:col>
      <xdr:colOff>1080</xdr:colOff>
      <xdr:row>72</xdr:row>
      <xdr:rowOff>18720</xdr:rowOff>
    </xdr:to>
    <xdr:sp>
      <xdr:nvSpPr>
        <xdr:cNvPr id="154" name="Line 155"/>
        <xdr:cNvSpPr/>
      </xdr:nvSpPr>
      <xdr:spPr>
        <a:xfrm flipV="1">
          <a:off x="24789240" y="13153680"/>
          <a:ext cx="293040" cy="19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20160</xdr:colOff>
      <xdr:row>67</xdr:row>
      <xdr:rowOff>162000</xdr:rowOff>
    </xdr:from>
    <xdr:to>
      <xdr:col>32</xdr:col>
      <xdr:colOff>483840</xdr:colOff>
      <xdr:row>78</xdr:row>
      <xdr:rowOff>47520</xdr:rowOff>
    </xdr:to>
    <xdr:sp>
      <xdr:nvSpPr>
        <xdr:cNvPr id="155" name="Rectangle 156"/>
        <xdr:cNvSpPr/>
      </xdr:nvSpPr>
      <xdr:spPr>
        <a:xfrm>
          <a:off x="25101360" y="12411000"/>
          <a:ext cx="2103120" cy="1876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231840</xdr:colOff>
      <xdr:row>92</xdr:row>
      <xdr:rowOff>0</xdr:rowOff>
    </xdr:from>
    <xdr:to>
      <xdr:col>30</xdr:col>
      <xdr:colOff>433800</xdr:colOff>
      <xdr:row>98</xdr:row>
      <xdr:rowOff>18720</xdr:rowOff>
    </xdr:to>
    <xdr:sp>
      <xdr:nvSpPr>
        <xdr:cNvPr id="156" name="Rectangle 157"/>
        <xdr:cNvSpPr/>
      </xdr:nvSpPr>
      <xdr:spPr>
        <a:xfrm>
          <a:off x="24417720" y="16783200"/>
          <a:ext cx="1097280" cy="1056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Operations/WESTCOAS/WEI%20OPS%20Sheet/WEI_OPS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S_SHEET"/>
      <sheetName val="HISTORICS_CHART"/>
      <sheetName val="Rockies"/>
      <sheetName val="Map -All West"/>
      <sheetName val="NEW_MAP W States"/>
      <sheetName val="NEW_MAP"/>
      <sheetName val="EL Paso"/>
      <sheetName val="WEST MAP"/>
      <sheetName val="Original Historicals"/>
      <sheetName val="NWF"/>
      <sheetName val="WestCoast Historicals"/>
      <sheetName val="WEI Daily_Actuals"/>
      <sheetName val="WEI Daily_Estimates"/>
      <sheetName val="NWP_PGT_DAILY"/>
      <sheetName val="LookUps"/>
      <sheetName val="ROM Forecast"/>
      <sheetName val="Jan-Oct"/>
      <sheetName val="WINTER 99"/>
      <sheetName val="SUMMER 00"/>
      <sheetName val="PGT_Capabilites"/>
      <sheetName val="FR_GROWTH"/>
      <sheetName val="STORAGE"/>
      <sheetName val="OutageSchedule"/>
      <sheetName val="OLD_MAP"/>
      <sheetName val="NWP-PGT_HIST"/>
    </sheetNames>
    <sheetDataSet>
      <sheetData sheetId="0">
        <row r="1">
          <cell r="V1">
            <v>36586</v>
          </cell>
        </row>
        <row r="2">
          <cell r="V2">
            <v>36599</v>
          </cell>
        </row>
      </sheetData>
      <sheetData sheetId="1"/>
      <sheetData sheetId="2"/>
      <sheetData sheetId="3">
        <row r="67">
          <cell r="K67">
            <v>-147.294285714286</v>
          </cell>
        </row>
        <row r="68">
          <cell r="K68">
            <v>-142.569523809524</v>
          </cell>
        </row>
        <row r="69">
          <cell r="K69">
            <v>-611.347619047619</v>
          </cell>
        </row>
        <row r="72">
          <cell r="H72">
            <v>-979.529523809524</v>
          </cell>
        </row>
        <row r="72">
          <cell r="N72">
            <v>1783.45238095238</v>
          </cell>
          <cell r="O72">
            <v>2449.15142857143</v>
          </cell>
          <cell r="P72">
            <v>600.377142857143</v>
          </cell>
        </row>
        <row r="72">
          <cell r="W72">
            <v>236.065714285714</v>
          </cell>
          <cell r="X72">
            <v>283.11619047619</v>
          </cell>
        </row>
        <row r="73">
          <cell r="H73">
            <v>-1136.41428571429</v>
          </cell>
        </row>
        <row r="73">
          <cell r="N73">
            <v>1938.89904761905</v>
          </cell>
          <cell r="O73">
            <v>2585.73238095238</v>
          </cell>
          <cell r="P73">
            <v>579.197142857143</v>
          </cell>
        </row>
        <row r="73">
          <cell r="W73">
            <v>225.381904761905</v>
          </cell>
          <cell r="X73">
            <v>249.298095238095</v>
          </cell>
        </row>
        <row r="74">
          <cell r="H74">
            <v>-2318.09523809524</v>
          </cell>
        </row>
        <row r="74">
          <cell r="N74">
            <v>2100</v>
          </cell>
          <cell r="O74">
            <v>2850</v>
          </cell>
          <cell r="P74">
            <v>620</v>
          </cell>
        </row>
        <row r="74">
          <cell r="W74">
            <v>336.190476190476</v>
          </cell>
          <cell r="X74">
            <v>428.571428571429</v>
          </cell>
        </row>
        <row r="78">
          <cell r="H78">
            <v>-839.325714285714</v>
          </cell>
        </row>
        <row r="79">
          <cell r="H79">
            <v>-834.221904761905</v>
          </cell>
        </row>
        <row r="79">
          <cell r="K79">
            <v>-418.962857142857</v>
          </cell>
        </row>
        <row r="80">
          <cell r="H80">
            <v>-962.469523809524</v>
          </cell>
        </row>
        <row r="80">
          <cell r="K80">
            <v>-392.262857142857</v>
          </cell>
        </row>
        <row r="81">
          <cell r="K81">
            <v>-2725.22380952381</v>
          </cell>
        </row>
        <row r="88">
          <cell r="Y88">
            <v>-406.061904761905</v>
          </cell>
        </row>
        <row r="89">
          <cell r="Y89">
            <v>-393.568571428571</v>
          </cell>
        </row>
        <row r="100">
          <cell r="G100">
            <v>731.173333333333</v>
          </cell>
          <cell r="H100">
            <v>678.659047619048</v>
          </cell>
          <cell r="I100">
            <v>696.152023809524</v>
          </cell>
        </row>
        <row r="101">
          <cell r="I101">
            <v>-380.230535714286</v>
          </cell>
        </row>
        <row r="103">
          <cell r="I103">
            <v>597.050297619048</v>
          </cell>
        </row>
        <row r="104">
          <cell r="I104">
            <v>1892.37130952381</v>
          </cell>
        </row>
        <row r="105">
          <cell r="I105">
            <v>2563.17595238095</v>
          </cell>
        </row>
        <row r="107">
          <cell r="I107">
            <v>-972.364226190476</v>
          </cell>
        </row>
        <row r="109">
          <cell r="I109">
            <v>320.584702380952</v>
          </cell>
        </row>
      </sheetData>
      <sheetData sheetId="4"/>
      <sheetData sheetId="5"/>
      <sheetData sheetId="6">
        <row r="2">
          <cell r="AG2">
            <v>-162.352142857143</v>
          </cell>
        </row>
        <row r="3">
          <cell r="AG3">
            <v>-454.403392857143</v>
          </cell>
        </row>
        <row r="11">
          <cell r="AG11">
            <v>-837.640119047619</v>
          </cell>
        </row>
        <row r="37">
          <cell r="B37">
            <v>236.065714285714</v>
          </cell>
        </row>
        <row r="39">
          <cell r="B39">
            <v>386.527619047619</v>
          </cell>
          <cell r="C39">
            <v>387.346666666667</v>
          </cell>
        </row>
        <row r="40">
          <cell r="B40">
            <v>130.327619047619</v>
          </cell>
          <cell r="C40">
            <v>124.454285714286</v>
          </cell>
        </row>
        <row r="41">
          <cell r="B41">
            <v>18.052380952381</v>
          </cell>
          <cell r="C41">
            <v>18.0104761904762</v>
          </cell>
        </row>
        <row r="42">
          <cell r="B42">
            <v>55.8095238095238</v>
          </cell>
          <cell r="C42">
            <v>60.9533333333333</v>
          </cell>
        </row>
        <row r="43">
          <cell r="B43">
            <v>263.036190476191</v>
          </cell>
          <cell r="C43">
            <v>283.765714285714</v>
          </cell>
        </row>
        <row r="44">
          <cell r="B44">
            <v>286.191428571429</v>
          </cell>
          <cell r="C44">
            <v>296.955238095238</v>
          </cell>
        </row>
        <row r="45">
          <cell r="B45">
            <v>61.76</v>
          </cell>
          <cell r="C45">
            <v>72.0914285714286</v>
          </cell>
        </row>
        <row r="46">
          <cell r="B46">
            <v>794.268571428571</v>
          </cell>
          <cell r="C46">
            <v>845.206666666667</v>
          </cell>
        </row>
      </sheetData>
      <sheetData sheetId="7"/>
      <sheetData sheetId="8"/>
      <sheetData sheetId="9"/>
      <sheetData sheetId="10">
        <row r="37">
          <cell r="E37" t="str">
            <v>Sumas/   Sipi</v>
          </cell>
          <cell r="F37" t="str">
            <v>Chehalis</v>
          </cell>
          <cell r="G37" t="str">
            <v>Washougal </v>
          </cell>
          <cell r="H37" t="str">
            <v>Roosevelt</v>
          </cell>
          <cell r="I37" t="str">
            <v>Stanfield (R)</v>
          </cell>
          <cell r="J37" t="str">
            <v>Stanfield (D)</v>
          </cell>
          <cell r="K37" t="str">
            <v>Meacham</v>
          </cell>
          <cell r="L37" t="str">
            <v>Kemmerer</v>
          </cell>
          <cell r="M37" t="str">
            <v>Green River</v>
          </cell>
          <cell r="N37" t="str">
            <v>Opal</v>
          </cell>
          <cell r="O37" t="str">
            <v>La Plata B</v>
          </cell>
          <cell r="P37" t="str">
            <v>North of Chehalis</v>
          </cell>
          <cell r="Q37" t="str">
            <v>South of Chehalis</v>
          </cell>
          <cell r="R37" t="str">
            <v>Net Jackson Prairie - Balance</v>
          </cell>
          <cell r="S37" t="str">
            <v>Net Clay Basin - Balance</v>
          </cell>
          <cell r="T37" t="str">
            <v>% Full Clay</v>
          </cell>
        </row>
        <row r="38">
          <cell r="D38">
            <v>35612</v>
          </cell>
          <cell r="E38">
            <v>855273.151515152</v>
          </cell>
          <cell r="F38">
            <v>631175.545454545</v>
          </cell>
          <cell r="G38" t="str">
            <v>N/A</v>
          </cell>
          <cell r="H38">
            <v>249571.666666667</v>
          </cell>
          <cell r="I38">
            <v>335524.878787879</v>
          </cell>
          <cell r="J38">
            <v>120558</v>
          </cell>
          <cell r="K38">
            <v>495732.484848485</v>
          </cell>
          <cell r="L38">
            <v>289601.696969697</v>
          </cell>
          <cell r="M38" t="str">
            <v>N/A</v>
          </cell>
          <cell r="N38">
            <v>55992.7272727273</v>
          </cell>
          <cell r="O38">
            <v>268959.727272727</v>
          </cell>
          <cell r="P38">
            <v>224097.606060606</v>
          </cell>
          <cell r="Q38">
            <v>330953.181818182</v>
          </cell>
          <cell r="R38">
            <v>14342340</v>
          </cell>
          <cell r="S38">
            <v>32693117</v>
          </cell>
          <cell r="T38">
            <v>0.598980730562235</v>
          </cell>
        </row>
        <row r="39">
          <cell r="D39">
            <v>35643</v>
          </cell>
          <cell r="E39">
            <v>858874.193548387</v>
          </cell>
          <cell r="F39">
            <v>632651.903225806</v>
          </cell>
          <cell r="G39" t="str">
            <v>N/A</v>
          </cell>
          <cell r="H39">
            <v>258605.580645161</v>
          </cell>
          <cell r="I39">
            <v>366252.258064516</v>
          </cell>
          <cell r="J39">
            <v>172899.580645161</v>
          </cell>
          <cell r="K39">
            <v>460498.419354839</v>
          </cell>
          <cell r="L39">
            <v>233214</v>
          </cell>
          <cell r="M39" t="str">
            <v>N/A</v>
          </cell>
          <cell r="N39">
            <v>51910.7741935484</v>
          </cell>
          <cell r="O39">
            <v>283325.548387097</v>
          </cell>
          <cell r="P39">
            <v>226222.290322581</v>
          </cell>
          <cell r="Q39">
            <v>381460.709677419</v>
          </cell>
          <cell r="R39">
            <v>14112494</v>
          </cell>
          <cell r="S39">
            <v>38263295</v>
          </cell>
          <cell r="T39">
            <v>0.701033688308714</v>
          </cell>
        </row>
        <row r="40">
          <cell r="D40">
            <v>35674</v>
          </cell>
          <cell r="E40">
            <v>891227.5</v>
          </cell>
          <cell r="F40">
            <v>608396.166666667</v>
          </cell>
          <cell r="G40" t="str">
            <v>N/A</v>
          </cell>
          <cell r="H40">
            <v>171334.466666667</v>
          </cell>
          <cell r="I40">
            <v>342162.833333333</v>
          </cell>
          <cell r="J40">
            <v>168458.533333333</v>
          </cell>
          <cell r="K40">
            <v>355403.333333333</v>
          </cell>
          <cell r="L40">
            <v>114789.633333333</v>
          </cell>
          <cell r="M40" t="str">
            <v>N/A</v>
          </cell>
          <cell r="N40">
            <v>87213.4</v>
          </cell>
          <cell r="O40">
            <v>261692.6</v>
          </cell>
          <cell r="P40">
            <v>282831.333333333</v>
          </cell>
          <cell r="Q40">
            <v>390894.533333333</v>
          </cell>
          <cell r="R40">
            <v>15497509</v>
          </cell>
          <cell r="S40">
            <v>41094227</v>
          </cell>
          <cell r="T40">
            <v>0.752900070995076</v>
          </cell>
          <cell r="U40">
            <v>2389107.22222222</v>
          </cell>
          <cell r="V40">
            <v>13839.7712418301</v>
          </cell>
          <cell r="W40">
            <v>126814.77124183</v>
          </cell>
          <cell r="X40">
            <v>14491.339869281</v>
          </cell>
          <cell r="Y40">
            <v>64116.4052287582</v>
          </cell>
          <cell r="Z40">
            <v>508144.150326798</v>
          </cell>
          <cell r="AA40">
            <v>35776.6013071895</v>
          </cell>
          <cell r="AB40">
            <v>36252.9411764706</v>
          </cell>
          <cell r="AC40">
            <v>1123.26797385621</v>
          </cell>
          <cell r="AD40">
            <v>1831606.66666667</v>
          </cell>
        </row>
        <row r="41">
          <cell r="D41">
            <v>35704</v>
          </cell>
          <cell r="E41">
            <v>980636.1875</v>
          </cell>
          <cell r="F41">
            <v>610786.84375</v>
          </cell>
          <cell r="G41" t="str">
            <v>N/A</v>
          </cell>
          <cell r="H41">
            <v>176326.59375</v>
          </cell>
          <cell r="I41">
            <v>438367.65625</v>
          </cell>
          <cell r="J41">
            <v>165468.96875</v>
          </cell>
          <cell r="K41">
            <v>444942.46875</v>
          </cell>
          <cell r="L41">
            <v>160296.75</v>
          </cell>
          <cell r="M41" t="str">
            <v>N/A</v>
          </cell>
          <cell r="N41">
            <v>99804.65625</v>
          </cell>
          <cell r="O41">
            <v>281751.4375</v>
          </cell>
          <cell r="P41">
            <v>369849.34375</v>
          </cell>
          <cell r="Q41">
            <v>454691.9375</v>
          </cell>
          <cell r="R41">
            <v>14850095</v>
          </cell>
          <cell r="S41">
            <v>42187327</v>
          </cell>
          <cell r="T41">
            <v>0.772927094927287</v>
          </cell>
          <cell r="U41">
            <v>2445632.63757116</v>
          </cell>
          <cell r="V41">
            <v>2182.16318785579</v>
          </cell>
          <cell r="W41">
            <v>119422.327640734</v>
          </cell>
          <cell r="X41">
            <v>31554.6173308033</v>
          </cell>
          <cell r="Y41">
            <v>72315.8604924709</v>
          </cell>
          <cell r="Z41">
            <v>275759.032258065</v>
          </cell>
          <cell r="AA41">
            <v>6238.70967741936</v>
          </cell>
          <cell r="AB41">
            <v>43459.0449082859</v>
          </cell>
          <cell r="AC41">
            <v>2607.71663504111</v>
          </cell>
          <cell r="AD41">
            <v>1810501.07526882</v>
          </cell>
        </row>
        <row r="42">
          <cell r="D42">
            <v>35735</v>
          </cell>
          <cell r="E42">
            <v>1001267.97058824</v>
          </cell>
          <cell r="F42">
            <v>558900.441176471</v>
          </cell>
          <cell r="G42" t="str">
            <v>N/A</v>
          </cell>
          <cell r="H42">
            <v>65577</v>
          </cell>
          <cell r="I42">
            <v>508955.235294118</v>
          </cell>
          <cell r="J42">
            <v>162373.852941176</v>
          </cell>
          <cell r="K42">
            <v>365460.588235294</v>
          </cell>
          <cell r="L42">
            <v>41104.8823529412</v>
          </cell>
          <cell r="M42" t="str">
            <v>N/A</v>
          </cell>
          <cell r="N42">
            <v>115128.382352941</v>
          </cell>
          <cell r="O42">
            <v>228904.352941176</v>
          </cell>
          <cell r="P42">
            <v>442367.529411765</v>
          </cell>
          <cell r="Q42">
            <v>514247.705882353</v>
          </cell>
          <cell r="R42">
            <v>14069280</v>
          </cell>
          <cell r="S42">
            <v>39051612</v>
          </cell>
          <cell r="T42">
            <v>0.715476688423222</v>
          </cell>
          <cell r="U42">
            <v>2543997.88823912</v>
          </cell>
          <cell r="V42">
            <v>1994.96426250812</v>
          </cell>
          <cell r="W42">
            <v>102436.582196231</v>
          </cell>
          <cell r="X42">
            <v>44818.5834957765</v>
          </cell>
          <cell r="Y42">
            <v>74838.4385990196</v>
          </cell>
          <cell r="Z42">
            <v>345034.133333333</v>
          </cell>
          <cell r="AA42">
            <v>37127.7128005198</v>
          </cell>
          <cell r="AB42">
            <v>79490.0584795322</v>
          </cell>
          <cell r="AC42">
            <v>9508.73944119558</v>
          </cell>
          <cell r="AD42">
            <v>1742842.33268356</v>
          </cell>
        </row>
        <row r="43">
          <cell r="D43">
            <v>35765</v>
          </cell>
          <cell r="E43">
            <v>1007149.38709677</v>
          </cell>
          <cell r="F43">
            <v>450380.35483871</v>
          </cell>
          <cell r="G43" t="str">
            <v>N/A</v>
          </cell>
          <cell r="H43">
            <v>-135428.806451613</v>
          </cell>
          <cell r="I43">
            <v>516638.258064516</v>
          </cell>
          <cell r="J43">
            <v>58937.2258064516</v>
          </cell>
          <cell r="K43">
            <v>249539.096774194</v>
          </cell>
          <cell r="L43">
            <v>-146347.935483871</v>
          </cell>
          <cell r="M43" t="str">
            <v>N/A</v>
          </cell>
          <cell r="N43">
            <v>92421</v>
          </cell>
          <cell r="O43">
            <v>211843.838709677</v>
          </cell>
          <cell r="P43">
            <v>556769.032258065</v>
          </cell>
          <cell r="Q43">
            <v>638746</v>
          </cell>
          <cell r="R43">
            <v>12428238</v>
          </cell>
          <cell r="S43">
            <v>24946288</v>
          </cell>
          <cell r="T43">
            <v>0.457048675140273</v>
          </cell>
          <cell r="U43">
            <v>2560668.91552655</v>
          </cell>
          <cell r="V43">
            <v>1882.76641144722</v>
          </cell>
          <cell r="W43">
            <v>136725.30438057</v>
          </cell>
          <cell r="X43">
            <v>49314.5161290323</v>
          </cell>
          <cell r="Y43">
            <v>76636.9398769926</v>
          </cell>
          <cell r="Z43">
            <v>448936.35483871</v>
          </cell>
          <cell r="AA43">
            <v>38447.8787498431</v>
          </cell>
          <cell r="AB43">
            <v>93071.4823647546</v>
          </cell>
          <cell r="AC43">
            <v>21777.3314924062</v>
          </cell>
          <cell r="AD43">
            <v>1581043.08397138</v>
          </cell>
        </row>
        <row r="44">
          <cell r="D44">
            <v>35796</v>
          </cell>
          <cell r="E44">
            <v>957008.193548387</v>
          </cell>
          <cell r="F44">
            <v>401967.774193548</v>
          </cell>
          <cell r="G44" t="str">
            <v>N/A</v>
          </cell>
          <cell r="H44">
            <v>-224951.35483871</v>
          </cell>
          <cell r="I44">
            <v>517100.677419355</v>
          </cell>
          <cell r="J44">
            <v>45849.3870967742</v>
          </cell>
          <cell r="K44">
            <v>142643.741935484</v>
          </cell>
          <cell r="L44">
            <v>-211744.419354839</v>
          </cell>
          <cell r="M44" t="str">
            <v>N/A</v>
          </cell>
          <cell r="N44">
            <v>105174.290322581</v>
          </cell>
          <cell r="O44">
            <v>76886.1612903226</v>
          </cell>
          <cell r="P44">
            <v>555040.419354839</v>
          </cell>
          <cell r="Q44">
            <v>659515.806451613</v>
          </cell>
          <cell r="R44">
            <v>11417741</v>
          </cell>
          <cell r="S44">
            <v>16846419</v>
          </cell>
          <cell r="T44">
            <v>0.308648464445208</v>
          </cell>
          <cell r="U44">
            <v>2552613.06042885</v>
          </cell>
          <cell r="V44">
            <v>0</v>
          </cell>
          <cell r="W44">
            <v>131198.9876124</v>
          </cell>
          <cell r="X44">
            <v>42746.8716594353</v>
          </cell>
          <cell r="Y44">
            <v>76284.3803056027</v>
          </cell>
          <cell r="Z44">
            <v>462805.225429164</v>
          </cell>
          <cell r="AA44">
            <v>39961.0136452242</v>
          </cell>
          <cell r="AB44">
            <v>81017.0093693014</v>
          </cell>
          <cell r="AC44">
            <v>22820.0339558574</v>
          </cell>
          <cell r="AD44">
            <v>1566282.9340376</v>
          </cell>
        </row>
        <row r="45">
          <cell r="D45">
            <v>35827</v>
          </cell>
          <cell r="E45">
            <v>1032232.14285714</v>
          </cell>
          <cell r="F45">
            <v>552047.857142857</v>
          </cell>
          <cell r="G45" t="str">
            <v>N/A</v>
          </cell>
          <cell r="H45">
            <v>104691.964285714</v>
          </cell>
          <cell r="I45">
            <v>468909.571428571</v>
          </cell>
          <cell r="J45">
            <v>81490.5714285714</v>
          </cell>
          <cell r="K45">
            <v>452341.785714286</v>
          </cell>
          <cell r="L45">
            <v>89119.6071428571</v>
          </cell>
          <cell r="M45" t="str">
            <v>N/A</v>
          </cell>
          <cell r="N45">
            <v>79747.7142857143</v>
          </cell>
          <cell r="O45">
            <v>280234.857142857</v>
          </cell>
          <cell r="P45">
            <v>480184.285714286</v>
          </cell>
          <cell r="Q45">
            <v>540138.75</v>
          </cell>
          <cell r="R45">
            <v>8819821</v>
          </cell>
          <cell r="S45">
            <v>9736332</v>
          </cell>
          <cell r="T45">
            <v>0.178382356578495</v>
          </cell>
          <cell r="U45">
            <v>2575142.26538569</v>
          </cell>
          <cell r="V45">
            <v>31.2238930659983</v>
          </cell>
          <cell r="W45">
            <v>125230.089111668</v>
          </cell>
          <cell r="X45">
            <v>41232.4213311055</v>
          </cell>
          <cell r="Y45">
            <v>76445.0710108605</v>
          </cell>
          <cell r="Z45">
            <v>385052.353104985</v>
          </cell>
          <cell r="AA45">
            <v>38650.4803675856</v>
          </cell>
          <cell r="AB45">
            <v>70312.9351155667</v>
          </cell>
          <cell r="AC45">
            <v>10923.3848510164</v>
          </cell>
          <cell r="AD45">
            <v>1714796.679198</v>
          </cell>
        </row>
        <row r="46">
          <cell r="D46">
            <v>35855</v>
          </cell>
          <cell r="E46">
            <v>987495.78125</v>
          </cell>
          <cell r="F46">
            <v>528809.875</v>
          </cell>
          <cell r="G46" t="str">
            <v>N/A</v>
          </cell>
          <cell r="H46">
            <v>130381.84375</v>
          </cell>
          <cell r="I46">
            <v>433362.84375</v>
          </cell>
          <cell r="J46">
            <v>120068.75</v>
          </cell>
          <cell r="K46">
            <v>435132.1875</v>
          </cell>
          <cell r="L46">
            <v>125015.0625</v>
          </cell>
          <cell r="M46" t="str">
            <v>N/A</v>
          </cell>
          <cell r="N46">
            <v>83936.15625</v>
          </cell>
          <cell r="O46">
            <v>222606.40625</v>
          </cell>
          <cell r="P46">
            <v>458685.90625</v>
          </cell>
          <cell r="Q46">
            <v>527097.5625</v>
          </cell>
          <cell r="R46">
            <v>4702396</v>
          </cell>
          <cell r="S46">
            <v>8599617</v>
          </cell>
          <cell r="T46">
            <v>0.157556248711783</v>
          </cell>
          <cell r="U46">
            <v>2589499.02534113</v>
          </cell>
          <cell r="V46">
            <v>2276.30006916934</v>
          </cell>
          <cell r="W46">
            <v>135638.433000063</v>
          </cell>
          <cell r="X46">
            <v>33032.9183172986</v>
          </cell>
          <cell r="Y46">
            <v>64535.4650066025</v>
          </cell>
          <cell r="Z46">
            <v>321208.954285355</v>
          </cell>
          <cell r="AA46">
            <v>37994.0577249576</v>
          </cell>
          <cell r="AB46">
            <v>67527.1018046909</v>
          </cell>
          <cell r="AC46">
            <v>10300.5093378608</v>
          </cell>
          <cell r="AD46">
            <v>1814070.83569138</v>
          </cell>
        </row>
        <row r="47">
          <cell r="D47">
            <v>35886</v>
          </cell>
          <cell r="E47">
            <v>970074.133333333</v>
          </cell>
          <cell r="F47">
            <v>573334.133333333</v>
          </cell>
          <cell r="G47" t="str">
            <v>N/A</v>
          </cell>
          <cell r="H47">
            <v>121062.433333333</v>
          </cell>
          <cell r="I47">
            <v>384045.233333333</v>
          </cell>
          <cell r="J47">
            <v>100754.933333333</v>
          </cell>
          <cell r="K47">
            <v>415932.866666667</v>
          </cell>
          <cell r="L47">
            <v>131042.233333333</v>
          </cell>
          <cell r="M47" t="str">
            <v>N/A</v>
          </cell>
          <cell r="N47">
            <v>82021.6666666667</v>
          </cell>
          <cell r="O47">
            <v>272131.2</v>
          </cell>
          <cell r="P47">
            <v>396740</v>
          </cell>
          <cell r="Q47">
            <v>476660.733333333</v>
          </cell>
          <cell r="R47">
            <v>3970725</v>
          </cell>
          <cell r="S47">
            <v>9727812</v>
          </cell>
          <cell r="T47">
            <v>0.17822625901752</v>
          </cell>
          <cell r="U47">
            <v>2526886.25730994</v>
          </cell>
          <cell r="V47">
            <v>0</v>
          </cell>
          <cell r="W47">
            <v>133972.027290448</v>
          </cell>
          <cell r="X47">
            <v>16500.4548408057</v>
          </cell>
          <cell r="Y47">
            <v>73356.5302144249</v>
          </cell>
          <cell r="Z47">
            <v>287974.821312541</v>
          </cell>
          <cell r="AA47">
            <v>38812.3131903834</v>
          </cell>
          <cell r="AB47">
            <v>63464.2949967511</v>
          </cell>
          <cell r="AC47">
            <v>7705.91293047434</v>
          </cell>
          <cell r="AD47">
            <v>1805805.75048733</v>
          </cell>
        </row>
        <row r="48">
          <cell r="D48">
            <v>35916</v>
          </cell>
          <cell r="E48">
            <v>938892.625</v>
          </cell>
          <cell r="F48">
            <v>643346.71875</v>
          </cell>
          <cell r="G48" t="str">
            <v>N/A</v>
          </cell>
          <cell r="H48">
            <v>141928</v>
          </cell>
          <cell r="I48">
            <v>418867.09375</v>
          </cell>
          <cell r="J48">
            <v>89519.90625</v>
          </cell>
          <cell r="K48">
            <v>471558.75</v>
          </cell>
          <cell r="L48">
            <v>229368.03125</v>
          </cell>
          <cell r="M48" t="str">
            <v>N/A</v>
          </cell>
          <cell r="N48">
            <v>68395.53125</v>
          </cell>
          <cell r="O48">
            <v>242311.3125</v>
          </cell>
          <cell r="P48">
            <v>295545.90625</v>
          </cell>
          <cell r="Q48">
            <v>404136.09375</v>
          </cell>
          <cell r="R48">
            <v>7083769</v>
          </cell>
          <cell r="S48">
            <v>16942987</v>
          </cell>
          <cell r="T48">
            <v>0.310417716706745</v>
          </cell>
          <cell r="U48">
            <v>2380697.76142866</v>
          </cell>
          <cell r="V48">
            <v>0</v>
          </cell>
          <cell r="W48">
            <v>121333.459095768</v>
          </cell>
          <cell r="X48">
            <v>22696.3466012702</v>
          </cell>
          <cell r="Y48">
            <v>49492.9587105289</v>
          </cell>
          <cell r="Z48">
            <v>324758.316040999</v>
          </cell>
          <cell r="AA48">
            <v>5585.95862415896</v>
          </cell>
          <cell r="AB48">
            <v>66496.2271269572</v>
          </cell>
          <cell r="AC48">
            <v>2213.85902031063</v>
          </cell>
          <cell r="AD48">
            <v>1736943.24970131</v>
          </cell>
        </row>
        <row r="49">
          <cell r="D49">
            <v>35947</v>
          </cell>
          <cell r="E49">
            <v>925639.533333333</v>
          </cell>
          <cell r="F49">
            <v>668942.733333333</v>
          </cell>
          <cell r="G49" t="str">
            <v>N/A</v>
          </cell>
          <cell r="H49">
            <v>135630.533333333</v>
          </cell>
          <cell r="I49">
            <v>396473.3</v>
          </cell>
          <cell r="J49">
            <v>91851.5</v>
          </cell>
          <cell r="K49">
            <v>449592.866666667</v>
          </cell>
          <cell r="L49">
            <v>225772.633333333</v>
          </cell>
          <cell r="M49" t="str">
            <v>N/A</v>
          </cell>
          <cell r="N49">
            <v>88203.8</v>
          </cell>
          <cell r="O49">
            <v>232332.066666667</v>
          </cell>
          <cell r="P49">
            <v>256696.8</v>
          </cell>
          <cell r="Q49">
            <v>401115.466666667</v>
          </cell>
          <cell r="R49">
            <v>11049671</v>
          </cell>
          <cell r="S49">
            <v>25215047</v>
          </cell>
          <cell r="T49">
            <v>0.461972692087484</v>
          </cell>
          <cell r="U49">
            <v>2416840.82360571</v>
          </cell>
          <cell r="V49">
            <v>464.753566796368</v>
          </cell>
          <cell r="W49">
            <v>118869.520103761</v>
          </cell>
          <cell r="X49">
            <v>18151.4591439689</v>
          </cell>
          <cell r="Y49">
            <v>75963.8726445744</v>
          </cell>
          <cell r="Z49">
            <v>300860.505836576</v>
          </cell>
          <cell r="AA49">
            <v>18463.7483787289</v>
          </cell>
          <cell r="AB49">
            <v>41847.9896238651</v>
          </cell>
          <cell r="AC49">
            <v>3847.73022049287</v>
          </cell>
          <cell r="AD49">
            <v>1805338.0998703</v>
          </cell>
        </row>
        <row r="50">
          <cell r="D50">
            <v>35977</v>
          </cell>
          <cell r="E50">
            <v>886099.363636364</v>
          </cell>
          <cell r="F50">
            <v>647696.606060606</v>
          </cell>
          <cell r="G50" t="str">
            <v>N/A</v>
          </cell>
          <cell r="H50">
            <v>166959.333333333</v>
          </cell>
          <cell r="I50">
            <v>353859.333333333</v>
          </cell>
          <cell r="J50">
            <v>132082.545454545</v>
          </cell>
          <cell r="K50">
            <v>386520.727272727</v>
          </cell>
          <cell r="L50">
            <v>174971.515151515</v>
          </cell>
          <cell r="M50" t="str">
            <v>N/A</v>
          </cell>
          <cell r="N50">
            <v>102242.848484848</v>
          </cell>
          <cell r="O50">
            <v>271171</v>
          </cell>
          <cell r="P50">
            <v>238402.757575758</v>
          </cell>
          <cell r="Q50">
            <v>431467.939393939</v>
          </cell>
          <cell r="R50">
            <v>12675559</v>
          </cell>
          <cell r="S50">
            <v>32369470</v>
          </cell>
          <cell r="T50">
            <v>0.593051093553189</v>
          </cell>
          <cell r="U50">
            <v>2394254.85757404</v>
          </cell>
          <cell r="V50">
            <v>9579.07313085581</v>
          </cell>
          <cell r="W50">
            <v>108756.523926303</v>
          </cell>
          <cell r="X50">
            <v>11099.3837640697</v>
          </cell>
          <cell r="Y50">
            <v>76581.3138553257</v>
          </cell>
          <cell r="Z50">
            <v>219089.102685028</v>
          </cell>
          <cell r="AA50">
            <v>34363.8936049802</v>
          </cell>
          <cell r="AB50">
            <v>58663.2710809281</v>
          </cell>
          <cell r="AC50">
            <v>3691.37898509715</v>
          </cell>
          <cell r="AD50">
            <v>1801836.32019116</v>
          </cell>
        </row>
        <row r="51">
          <cell r="D51">
            <v>36008</v>
          </cell>
          <cell r="E51">
            <v>925050.3125</v>
          </cell>
          <cell r="F51">
            <v>625253.21875</v>
          </cell>
          <cell r="G51" t="str">
            <v>N/A</v>
          </cell>
          <cell r="H51">
            <v>16142.90625</v>
          </cell>
          <cell r="I51">
            <v>336520.71875</v>
          </cell>
          <cell r="J51">
            <v>109980</v>
          </cell>
          <cell r="K51">
            <v>232428.78125</v>
          </cell>
          <cell r="L51">
            <v>-1124.0625</v>
          </cell>
          <cell r="M51" t="str">
            <v>N/A</v>
          </cell>
          <cell r="N51">
            <v>101250.34375</v>
          </cell>
          <cell r="O51">
            <v>224665.40625</v>
          </cell>
          <cell r="P51">
            <v>299797.09375</v>
          </cell>
          <cell r="Q51">
            <v>493812.875</v>
          </cell>
          <cell r="R51">
            <v>16365077</v>
          </cell>
          <cell r="S51">
            <v>39432421</v>
          </cell>
          <cell r="T51">
            <v>0.722453608152983</v>
          </cell>
          <cell r="U51">
            <v>2391858.83166698</v>
          </cell>
          <cell r="V51">
            <v>16297.3967176005</v>
          </cell>
          <cell r="W51">
            <v>107177.985285795</v>
          </cell>
          <cell r="X51">
            <v>12875.6523926303</v>
          </cell>
          <cell r="Y51">
            <v>76232.3641429278</v>
          </cell>
          <cell r="Z51">
            <v>224958.058228007</v>
          </cell>
          <cell r="AA51">
            <v>35986.6377413067</v>
          </cell>
          <cell r="AB51">
            <v>59466.9559202666</v>
          </cell>
          <cell r="AC51">
            <v>2502.8925359995</v>
          </cell>
          <cell r="AD51">
            <v>1773045.80896686</v>
          </cell>
        </row>
        <row r="52">
          <cell r="D52">
            <v>36039</v>
          </cell>
          <cell r="E52">
            <v>931878.84375</v>
          </cell>
          <cell r="F52">
            <v>624814.09375</v>
          </cell>
          <cell r="G52" t="str">
            <v>N/A</v>
          </cell>
          <cell r="H52">
            <v>84922.5625</v>
          </cell>
          <cell r="I52">
            <v>359824.40625</v>
          </cell>
          <cell r="J52">
            <v>129284.59375</v>
          </cell>
          <cell r="K52">
            <v>297621.875</v>
          </cell>
          <cell r="L52">
            <v>45798.53125</v>
          </cell>
          <cell r="M52" t="str">
            <v>N/A</v>
          </cell>
          <cell r="N52">
            <v>103126.71875</v>
          </cell>
          <cell r="O52">
            <v>181243.875</v>
          </cell>
          <cell r="P52">
            <v>307064.75</v>
          </cell>
          <cell r="Q52">
            <v>480626.875</v>
          </cell>
          <cell r="R52">
            <v>18261546</v>
          </cell>
          <cell r="S52">
            <v>47767207</v>
          </cell>
          <cell r="T52">
            <v>0.875157806023131</v>
          </cell>
          <cell r="U52">
            <v>2450273.21660182</v>
          </cell>
          <cell r="V52">
            <v>17762.5162127108</v>
          </cell>
          <cell r="W52">
            <v>117733.69001297</v>
          </cell>
          <cell r="X52">
            <v>17226.6212710765</v>
          </cell>
          <cell r="Y52">
            <v>69846.2453510921</v>
          </cell>
          <cell r="Z52">
            <v>227068.936446174</v>
          </cell>
          <cell r="AA52">
            <v>38054.0531776913</v>
          </cell>
          <cell r="AB52">
            <v>44466.6666666667</v>
          </cell>
          <cell r="AC52">
            <v>1550.94033722438</v>
          </cell>
          <cell r="AD52">
            <v>1828484.30609598</v>
          </cell>
        </row>
        <row r="53">
          <cell r="D53">
            <v>36069</v>
          </cell>
          <cell r="E53">
            <v>880903.35483871</v>
          </cell>
          <cell r="F53">
            <v>427200.35483871</v>
          </cell>
          <cell r="G53" t="str">
            <v>N/A</v>
          </cell>
          <cell r="H53">
            <v>-66260</v>
          </cell>
          <cell r="I53">
            <v>329295.838709677</v>
          </cell>
          <cell r="J53">
            <v>141555.838709677</v>
          </cell>
          <cell r="K53">
            <v>66473.3870967742</v>
          </cell>
          <cell r="L53">
            <v>-216352.64516129</v>
          </cell>
          <cell r="M53" t="str">
            <v>N/A</v>
          </cell>
          <cell r="N53">
            <v>131657.64516129</v>
          </cell>
          <cell r="O53">
            <v>18236</v>
          </cell>
          <cell r="P53">
            <v>453703</v>
          </cell>
          <cell r="Q53">
            <v>524644.193548387</v>
          </cell>
          <cell r="R53">
            <v>17294847</v>
          </cell>
          <cell r="S53">
            <v>51669902</v>
          </cell>
          <cell r="T53">
            <v>0.946660290850796</v>
          </cell>
          <cell r="U53">
            <v>2363559.13978495</v>
          </cell>
          <cell r="V53">
            <v>18644.2809532793</v>
          </cell>
          <cell r="W53">
            <v>109989.278752437</v>
          </cell>
          <cell r="X53">
            <v>19145.3499339747</v>
          </cell>
          <cell r="Y53">
            <v>78998.023095268</v>
          </cell>
          <cell r="Z53">
            <v>185001.037540087</v>
          </cell>
          <cell r="AA53">
            <v>34573.571024335</v>
          </cell>
          <cell r="AB53">
            <v>65348.8021128089</v>
          </cell>
          <cell r="AC53">
            <v>4767.27661447526</v>
          </cell>
          <cell r="AD53">
            <v>1752867.00622524</v>
          </cell>
        </row>
        <row r="54">
          <cell r="D54">
            <v>36100</v>
          </cell>
          <cell r="E54">
            <v>927775</v>
          </cell>
          <cell r="F54">
            <v>399995.566666667</v>
          </cell>
          <cell r="G54" t="str">
            <v>N/A</v>
          </cell>
          <cell r="H54">
            <v>-216158.433333333</v>
          </cell>
          <cell r="I54">
            <v>302916.866666667</v>
          </cell>
          <cell r="J54">
            <v>56909.3666666667</v>
          </cell>
          <cell r="K54">
            <v>-31561.9333333333</v>
          </cell>
          <cell r="L54">
            <v>-378342.2</v>
          </cell>
          <cell r="M54" t="str">
            <v>N/A</v>
          </cell>
          <cell r="N54">
            <v>179859.2</v>
          </cell>
          <cell r="O54">
            <v>55664.2</v>
          </cell>
          <cell r="P54">
            <v>527779.433333333</v>
          </cell>
          <cell r="Q54">
            <v>624301.4</v>
          </cell>
          <cell r="R54">
            <v>17050425</v>
          </cell>
          <cell r="S54">
            <v>48952799</v>
          </cell>
          <cell r="T54">
            <v>0.896879404557426</v>
          </cell>
          <cell r="U54">
            <v>2474275.22697795</v>
          </cell>
          <cell r="V54">
            <v>16501.6212710765</v>
          </cell>
          <cell r="W54">
            <v>116004.766536965</v>
          </cell>
          <cell r="X54">
            <v>41481.5499351492</v>
          </cell>
          <cell r="Y54">
            <v>78874.8054474708</v>
          </cell>
          <cell r="Z54">
            <v>242691.828793774</v>
          </cell>
          <cell r="AA54">
            <v>39480.5447470817</v>
          </cell>
          <cell r="AB54">
            <v>91599.2542153048</v>
          </cell>
          <cell r="AC54">
            <v>11849.0920881971</v>
          </cell>
          <cell r="AD54">
            <v>1719766.18028534</v>
          </cell>
        </row>
        <row r="55">
          <cell r="D55">
            <v>36130</v>
          </cell>
          <cell r="E55">
            <v>765766.387096774</v>
          </cell>
          <cell r="F55">
            <v>166672</v>
          </cell>
          <cell r="G55" t="str">
            <v>N/A</v>
          </cell>
          <cell r="H55">
            <v>-353729.35483871</v>
          </cell>
          <cell r="I55">
            <v>357409.64516129</v>
          </cell>
          <cell r="J55">
            <v>15136.8064516129</v>
          </cell>
          <cell r="K55">
            <v>-75467.4193548387</v>
          </cell>
          <cell r="L55">
            <v>-472429.225806452</v>
          </cell>
          <cell r="M55" t="str">
            <v>N/A</v>
          </cell>
          <cell r="N55">
            <v>146782.064516129</v>
          </cell>
          <cell r="O55">
            <v>20800.8387096774</v>
          </cell>
          <cell r="P55">
            <v>599094.387096774</v>
          </cell>
          <cell r="Q55">
            <v>631059.193548387</v>
          </cell>
          <cell r="R55">
            <v>13620032</v>
          </cell>
          <cell r="S55">
            <v>39470628</v>
          </cell>
          <cell r="T55">
            <v>0.723153610443147</v>
          </cell>
          <cell r="U55">
            <v>2537112.18149868</v>
          </cell>
          <cell r="V55">
            <v>8833.31241370654</v>
          </cell>
          <cell r="W55">
            <v>117795.092255554</v>
          </cell>
          <cell r="X55">
            <v>42595.3621187398</v>
          </cell>
          <cell r="Y55">
            <v>78128.9694991841</v>
          </cell>
          <cell r="Z55">
            <v>361872.913267227</v>
          </cell>
          <cell r="AA55">
            <v>35952.2718714698</v>
          </cell>
          <cell r="AB55">
            <v>110278.712187775</v>
          </cell>
          <cell r="AC55">
            <v>15771.2752604494</v>
          </cell>
          <cell r="AD55">
            <v>1636545.24915276</v>
          </cell>
        </row>
        <row r="56">
          <cell r="D56">
            <v>36161</v>
          </cell>
          <cell r="E56">
            <v>813650.612903226</v>
          </cell>
          <cell r="F56">
            <v>210026.064516129</v>
          </cell>
          <cell r="G56" t="str">
            <v>N/A</v>
          </cell>
          <cell r="H56">
            <v>-330376.870967742</v>
          </cell>
          <cell r="I56">
            <v>414988.322580645</v>
          </cell>
          <cell r="J56">
            <v>11078.2903225806</v>
          </cell>
          <cell r="K56">
            <v>-8146.77419354839</v>
          </cell>
          <cell r="L56">
            <v>-390896.935483871</v>
          </cell>
          <cell r="M56" t="str">
            <v>N/A</v>
          </cell>
          <cell r="N56">
            <v>128685.935483871</v>
          </cell>
          <cell r="O56">
            <v>126649.419354839</v>
          </cell>
          <cell r="P56">
            <v>603624.548387097</v>
          </cell>
          <cell r="Q56">
            <v>583010.451612903</v>
          </cell>
          <cell r="R56">
            <v>12299199</v>
          </cell>
          <cell r="S56">
            <v>28248700</v>
          </cell>
          <cell r="T56">
            <v>0.517553189053017</v>
          </cell>
          <cell r="U56">
            <v>2459105.67188581</v>
          </cell>
          <cell r="V56">
            <v>0</v>
          </cell>
          <cell r="W56">
            <v>134533.672891907</v>
          </cell>
          <cell r="X56">
            <v>45070.0496761617</v>
          </cell>
          <cell r="Y56">
            <v>79075.0801735522</v>
          </cell>
          <cell r="Z56">
            <v>398894.86260454</v>
          </cell>
          <cell r="AA56">
            <v>18542.6334653839</v>
          </cell>
          <cell r="AB56">
            <v>86891.0897314972</v>
          </cell>
          <cell r="AC56">
            <v>14801.1067094259</v>
          </cell>
          <cell r="AD56">
            <v>1567568.88637364</v>
          </cell>
        </row>
        <row r="57">
          <cell r="D57">
            <v>36192</v>
          </cell>
          <cell r="E57">
            <v>884025.678571429</v>
          </cell>
          <cell r="F57">
            <v>276322.821428571</v>
          </cell>
          <cell r="G57" t="str">
            <v>N/A</v>
          </cell>
          <cell r="H57">
            <v>-207588.892857143</v>
          </cell>
          <cell r="I57">
            <v>326637.071428571</v>
          </cell>
          <cell r="J57">
            <v>32215.1785714286</v>
          </cell>
          <cell r="K57">
            <v>-5000.57142857143</v>
          </cell>
          <cell r="L57">
            <v>-383415.678571429</v>
          </cell>
          <cell r="M57" t="str">
            <v>N/A</v>
          </cell>
          <cell r="N57">
            <v>136072.142857143</v>
          </cell>
          <cell r="O57">
            <v>90052.2142857143</v>
          </cell>
          <cell r="P57">
            <v>607702.857142857</v>
          </cell>
          <cell r="Q57">
            <v>576795.535714286</v>
          </cell>
          <cell r="R57">
            <v>9698452</v>
          </cell>
          <cell r="S57">
            <v>21884339</v>
          </cell>
          <cell r="T57">
            <v>0.400949758387725</v>
          </cell>
          <cell r="U57">
            <v>2358355.64605959</v>
          </cell>
          <cell r="V57">
            <v>452.520189362295</v>
          </cell>
          <cell r="W57">
            <v>118051.656920078</v>
          </cell>
          <cell r="X57">
            <v>41091.4786967419</v>
          </cell>
          <cell r="Y57">
            <v>78412.1066555277</v>
          </cell>
          <cell r="Z57">
            <v>290499.234196603</v>
          </cell>
          <cell r="AA57">
            <v>17074.3525480368</v>
          </cell>
          <cell r="AB57">
            <v>75374.791144528</v>
          </cell>
          <cell r="AC57">
            <v>14612.4338624339</v>
          </cell>
          <cell r="AD57">
            <v>1613300.78668894</v>
          </cell>
        </row>
        <row r="58">
          <cell r="D58">
            <v>36220</v>
          </cell>
          <cell r="E58">
            <v>946870.64516129</v>
          </cell>
          <cell r="F58">
            <v>416234.838709677</v>
          </cell>
          <cell r="G58">
            <v>-298256.096774194</v>
          </cell>
          <cell r="H58">
            <v>-50873.5161290323</v>
          </cell>
          <cell r="I58">
            <v>220959.741935484</v>
          </cell>
          <cell r="J58">
            <v>159095.580645161</v>
          </cell>
          <cell r="K58">
            <v>-40409.5161290323</v>
          </cell>
          <cell r="L58">
            <v>-385462.870967742</v>
          </cell>
          <cell r="M58" t="str">
            <v>N/A</v>
          </cell>
          <cell r="N58">
            <v>165694.419354839</v>
          </cell>
          <cell r="O58">
            <v>109058.483870968</v>
          </cell>
          <cell r="P58">
            <v>530635.806451613</v>
          </cell>
          <cell r="Q58">
            <v>546329.806451613</v>
          </cell>
          <cell r="R58">
            <v>7242587</v>
          </cell>
          <cell r="S58">
            <v>15832898</v>
          </cell>
          <cell r="T58">
            <v>0.290079432039391</v>
          </cell>
          <cell r="U58">
            <v>2084618.62745098</v>
          </cell>
          <cell r="V58">
            <v>0</v>
          </cell>
          <cell r="W58">
            <v>122061.954459203</v>
          </cell>
          <cell r="X58">
            <v>41686.3377609108</v>
          </cell>
          <cell r="Y58">
            <v>68536.4010120177</v>
          </cell>
          <cell r="Z58">
            <v>63102.1505376344</v>
          </cell>
          <cell r="AA58">
            <v>4901.96078431373</v>
          </cell>
          <cell r="AB58">
            <v>58272.7071473751</v>
          </cell>
          <cell r="AC58">
            <v>11614.0417457306</v>
          </cell>
          <cell r="AD58">
            <v>1640072.67552182</v>
          </cell>
        </row>
        <row r="59">
          <cell r="D59">
            <v>36251</v>
          </cell>
          <cell r="E59">
            <v>940169.5</v>
          </cell>
          <cell r="F59">
            <v>507320.766666667</v>
          </cell>
          <cell r="G59">
            <v>-176450.333333333</v>
          </cell>
          <cell r="H59">
            <v>97635.4333333333</v>
          </cell>
          <cell r="I59">
            <v>218081.533333333</v>
          </cell>
          <cell r="J59">
            <v>153925.6</v>
          </cell>
          <cell r="K59">
            <v>119934.8</v>
          </cell>
          <cell r="L59">
            <v>-176547.4</v>
          </cell>
          <cell r="M59" t="str">
            <v>N/A</v>
          </cell>
          <cell r="N59">
            <v>187035.6</v>
          </cell>
          <cell r="O59">
            <v>152872.333333333</v>
          </cell>
          <cell r="P59">
            <v>432848.733333333</v>
          </cell>
          <cell r="Q59">
            <v>468218.2</v>
          </cell>
          <cell r="R59">
            <v>5486601</v>
          </cell>
          <cell r="S59">
            <v>15299909</v>
          </cell>
          <cell r="T59">
            <v>0.280314375357838</v>
          </cell>
          <cell r="U59">
            <v>2228513.82352941</v>
          </cell>
          <cell r="V59">
            <v>5125.65359477124</v>
          </cell>
          <cell r="W59">
            <v>99766.1764705882</v>
          </cell>
          <cell r="X59">
            <v>32067.091503268</v>
          </cell>
          <cell r="Y59">
            <v>69329.6405228758</v>
          </cell>
          <cell r="Z59">
            <v>64926.6013071896</v>
          </cell>
          <cell r="AA59">
            <v>23088.2352941176</v>
          </cell>
          <cell r="AB59">
            <v>67205.4901960784</v>
          </cell>
          <cell r="AC59">
            <v>8536.92810457516</v>
          </cell>
          <cell r="AD59">
            <v>1772550.35947712</v>
          </cell>
        </row>
        <row r="60">
          <cell r="D60">
            <v>36281</v>
          </cell>
          <cell r="E60">
            <v>998740.225806452</v>
          </cell>
          <cell r="F60">
            <v>635813.193548387</v>
          </cell>
          <cell r="G60">
            <v>-195961.612903226</v>
          </cell>
          <cell r="H60">
            <v>129374.387096774</v>
          </cell>
          <cell r="I60">
            <v>191466.903225806</v>
          </cell>
          <cell r="J60">
            <v>185433.290322581</v>
          </cell>
          <cell r="K60">
            <v>90766.1612903226</v>
          </cell>
          <cell r="L60">
            <v>-155720.903225806</v>
          </cell>
          <cell r="M60" t="str">
            <v>N/A</v>
          </cell>
          <cell r="N60">
            <v>115575.967741935</v>
          </cell>
          <cell r="O60">
            <v>60002.4516129032</v>
          </cell>
          <cell r="P60">
            <v>362927.032258065</v>
          </cell>
          <cell r="Q60">
            <v>437841.806451613</v>
          </cell>
          <cell r="R60">
            <v>7613108</v>
          </cell>
          <cell r="S60">
            <v>19394827</v>
          </cell>
          <cell r="T60">
            <v>0.355338637352571</v>
          </cell>
          <cell r="U60">
            <v>2052852.94117647</v>
          </cell>
          <cell r="V60">
            <v>3009.45604048071</v>
          </cell>
          <cell r="W60">
            <v>79373.7191650854</v>
          </cell>
          <cell r="X60">
            <v>25594.0227703985</v>
          </cell>
          <cell r="Y60">
            <v>62001.2650221379</v>
          </cell>
          <cell r="Z60">
            <v>9626.78684376977</v>
          </cell>
          <cell r="AA60">
            <v>32863.7571157495</v>
          </cell>
          <cell r="AB60">
            <v>61565.2435167616</v>
          </cell>
          <cell r="AC60">
            <v>559.993674889311</v>
          </cell>
          <cell r="AD60">
            <v>1705797.75458571</v>
          </cell>
        </row>
        <row r="61">
          <cell r="D61">
            <v>36312</v>
          </cell>
          <cell r="E61">
            <v>868232.433333333</v>
          </cell>
          <cell r="F61">
            <v>604192.5</v>
          </cell>
          <cell r="G61">
            <v>-141768.266666667</v>
          </cell>
          <cell r="H61">
            <v>68993.5666666667</v>
          </cell>
          <cell r="I61">
            <v>163323.766666667</v>
          </cell>
          <cell r="J61">
            <v>258383.133333333</v>
          </cell>
          <cell r="K61">
            <v>-50095.4666666667</v>
          </cell>
          <cell r="L61">
            <v>-263767</v>
          </cell>
          <cell r="M61" t="str">
            <v>N/A</v>
          </cell>
          <cell r="N61">
            <v>168768.8</v>
          </cell>
          <cell r="O61">
            <v>39556.7</v>
          </cell>
          <cell r="P61">
            <v>264039.933333333</v>
          </cell>
          <cell r="Q61">
            <v>441056.566666667</v>
          </cell>
          <cell r="R61">
            <v>10437379</v>
          </cell>
          <cell r="S61">
            <v>25779013</v>
          </cell>
          <cell r="T61">
            <v>0.472305287988091</v>
          </cell>
          <cell r="U61">
            <v>1898249.24836601</v>
          </cell>
          <cell r="V61">
            <v>1355.88235294118</v>
          </cell>
          <cell r="W61">
            <v>107502.614379085</v>
          </cell>
          <cell r="X61">
            <v>18525.1633986928</v>
          </cell>
          <cell r="Y61">
            <v>52833.0065359477</v>
          </cell>
          <cell r="Z61">
            <v>-91858.3986928104</v>
          </cell>
          <cell r="AA61">
            <v>8921.56862745098</v>
          </cell>
          <cell r="AB61">
            <v>49381.2418300654</v>
          </cell>
          <cell r="AC61">
            <v>2710.45751633987</v>
          </cell>
          <cell r="AD61">
            <v>1692788.62745098</v>
          </cell>
        </row>
        <row r="62">
          <cell r="D62">
            <v>36342</v>
          </cell>
          <cell r="E62">
            <v>874304.838709678</v>
          </cell>
          <cell r="F62">
            <v>622438.096774194</v>
          </cell>
          <cell r="G62">
            <v>-103180.161290323</v>
          </cell>
          <cell r="H62">
            <v>42305.1290322581</v>
          </cell>
          <cell r="I62">
            <v>155595.129032258</v>
          </cell>
          <cell r="J62">
            <v>160031.677419355</v>
          </cell>
          <cell r="K62">
            <v>22139.8064516129</v>
          </cell>
          <cell r="L62">
            <v>-174397.64516129</v>
          </cell>
          <cell r="M62" t="str">
            <v>N/A</v>
          </cell>
          <cell r="N62">
            <v>100156.387096774</v>
          </cell>
          <cell r="O62">
            <v>34554.8387096774</v>
          </cell>
          <cell r="P62">
            <v>251866.741935484</v>
          </cell>
          <cell r="Q62">
            <v>457714</v>
          </cell>
          <cell r="R62">
            <v>14232367</v>
          </cell>
          <cell r="S62">
            <v>33780609</v>
          </cell>
          <cell r="T62">
            <v>0.618905008588114</v>
          </cell>
          <cell r="U62">
            <v>2036812.77672359</v>
          </cell>
          <cell r="V62">
            <v>3081.40417457305</v>
          </cell>
          <cell r="W62">
            <v>92076.9133459836</v>
          </cell>
          <cell r="X62">
            <v>16549.6204933586</v>
          </cell>
          <cell r="Y62">
            <v>68298.3870967742</v>
          </cell>
          <cell r="Z62">
            <v>-3014.38962681847</v>
          </cell>
          <cell r="AA62">
            <v>26852.7514231499</v>
          </cell>
          <cell r="AB62">
            <v>52055.5344718533</v>
          </cell>
          <cell r="AC62">
            <v>2572.16951296648</v>
          </cell>
          <cell r="AD62">
            <v>1723474.09867173</v>
          </cell>
        </row>
        <row r="63">
          <cell r="D63">
            <v>36373</v>
          </cell>
          <cell r="E63">
            <v>844611.967741936</v>
          </cell>
          <cell r="F63">
            <v>598573.451612903</v>
          </cell>
          <cell r="G63">
            <v>-100940.967741935</v>
          </cell>
          <cell r="H63">
            <v>76656.4838709677</v>
          </cell>
          <cell r="I63">
            <v>189794.870967742</v>
          </cell>
          <cell r="J63">
            <v>176597.387096774</v>
          </cell>
          <cell r="K63">
            <v>51024.3548387097</v>
          </cell>
          <cell r="L63">
            <v>-133940.387096774</v>
          </cell>
          <cell r="M63" t="str">
            <v>N/A</v>
          </cell>
          <cell r="N63">
            <v>136846.64516129</v>
          </cell>
          <cell r="O63">
            <v>95498.7741935484</v>
          </cell>
          <cell r="P63">
            <v>246038.516129032</v>
          </cell>
          <cell r="Q63">
            <v>437753.387096774</v>
          </cell>
          <cell r="R63">
            <v>16841438</v>
          </cell>
          <cell r="S63">
            <v>38716439</v>
          </cell>
          <cell r="T63">
            <v>0.70933587999542</v>
          </cell>
          <cell r="U63">
            <v>2130697.41935484</v>
          </cell>
          <cell r="V63">
            <v>6632.25806451613</v>
          </cell>
          <cell r="W63">
            <v>86045.1612903226</v>
          </cell>
          <cell r="X63">
            <v>15561.2903225806</v>
          </cell>
          <cell r="Y63">
            <v>76270.9677419355</v>
          </cell>
          <cell r="Z63">
            <v>17948.3870967742</v>
          </cell>
          <cell r="AA63">
            <v>32596.7741935484</v>
          </cell>
          <cell r="AB63">
            <v>47851.6129032258</v>
          </cell>
          <cell r="AC63">
            <v>1264.51612903226</v>
          </cell>
          <cell r="AD63">
            <v>1791796.77419355</v>
          </cell>
        </row>
        <row r="64">
          <cell r="D64">
            <v>36404</v>
          </cell>
          <cell r="E64">
            <v>882665.233333333</v>
          </cell>
          <cell r="F64">
            <v>586397.966666667</v>
          </cell>
          <cell r="G64">
            <v>-252291.6</v>
          </cell>
          <cell r="H64">
            <v>25232.6333333333</v>
          </cell>
          <cell r="I64">
            <v>181781.566666667</v>
          </cell>
          <cell r="J64">
            <v>127677.866666667</v>
          </cell>
          <cell r="K64">
            <v>26474.3666666667</v>
          </cell>
          <cell r="L64">
            <v>-191102.733333333</v>
          </cell>
          <cell r="M64" t="str">
            <v>N/A</v>
          </cell>
          <cell r="N64">
            <v>135319.133333333</v>
          </cell>
          <cell r="O64">
            <v>72378.3333333333</v>
          </cell>
          <cell r="P64">
            <v>296267.266666667</v>
          </cell>
          <cell r="Q64">
            <v>508752.5</v>
          </cell>
          <cell r="R64">
            <v>18413823</v>
          </cell>
          <cell r="S64">
            <v>43656694</v>
          </cell>
          <cell r="T64">
            <v>0.799847823199359</v>
          </cell>
          <cell r="U64">
            <v>2265970</v>
          </cell>
          <cell r="V64">
            <v>20913.3333333333</v>
          </cell>
          <cell r="W64">
            <v>96766.8860171526</v>
          </cell>
          <cell r="X64">
            <v>16860</v>
          </cell>
          <cell r="Y64">
            <v>77593.3333333333</v>
          </cell>
          <cell r="Z64">
            <v>76620</v>
          </cell>
          <cell r="AA64">
            <v>34803.3333333333</v>
          </cell>
          <cell r="AB64">
            <v>47126.6666666667</v>
          </cell>
          <cell r="AC64">
            <v>2343.33333333333</v>
          </cell>
          <cell r="AD64">
            <v>1847336.66666667</v>
          </cell>
          <cell r="AE64">
            <v>-58174.1333333333</v>
          </cell>
          <cell r="AF64">
            <v>-52412.8333333333</v>
          </cell>
          <cell r="AG64">
            <v>-92559.0666666667</v>
          </cell>
          <cell r="AH64">
            <v>0</v>
          </cell>
        </row>
        <row r="65">
          <cell r="D65">
            <v>36434</v>
          </cell>
          <cell r="E65">
            <v>935267.161290323</v>
          </cell>
          <cell r="F65">
            <v>444297.677419355</v>
          </cell>
          <cell r="G65">
            <v>-152150.870967742</v>
          </cell>
          <cell r="H65">
            <v>-83498.1290322581</v>
          </cell>
          <cell r="I65">
            <v>183384.483870968</v>
          </cell>
          <cell r="J65">
            <v>157936.290322581</v>
          </cell>
          <cell r="K65">
            <v>-131296.032258065</v>
          </cell>
          <cell r="L65">
            <v>-419406.290322581</v>
          </cell>
          <cell r="M65" t="str">
            <v>N/A</v>
          </cell>
          <cell r="N65">
            <v>189918</v>
          </cell>
          <cell r="O65">
            <v>-67930.4516129032</v>
          </cell>
          <cell r="P65">
            <v>490969.483870968</v>
          </cell>
          <cell r="Q65">
            <v>552145.193548387</v>
          </cell>
          <cell r="R65">
            <v>17658992</v>
          </cell>
          <cell r="S65">
            <v>45401892</v>
          </cell>
          <cell r="T65">
            <v>0.831822136722776</v>
          </cell>
          <cell r="U65">
            <v>2296780</v>
          </cell>
          <cell r="V65">
            <v>27660</v>
          </cell>
          <cell r="W65">
            <v>123683.371628085</v>
          </cell>
          <cell r="X65">
            <v>27003.3333333333</v>
          </cell>
          <cell r="Y65">
            <v>78640</v>
          </cell>
          <cell r="Z65">
            <v>30663.3333333333</v>
          </cell>
          <cell r="AA65">
            <v>40133.3333333333</v>
          </cell>
          <cell r="AB65">
            <v>58543.3333333333</v>
          </cell>
          <cell r="AC65">
            <v>1510</v>
          </cell>
          <cell r="AD65">
            <v>1844340</v>
          </cell>
          <cell r="AE65">
            <v>-49787.4516129032</v>
          </cell>
          <cell r="AF65">
            <v>24349.3870967742</v>
          </cell>
          <cell r="AG65">
            <v>-110113.612903226</v>
          </cell>
          <cell r="AH65">
            <v>70137.8387096774</v>
          </cell>
        </row>
        <row r="66">
          <cell r="D66">
            <v>36465</v>
          </cell>
          <cell r="E66">
            <v>959348.666666667</v>
          </cell>
          <cell r="F66">
            <v>450683</v>
          </cell>
          <cell r="G66">
            <v>-76237.5333333333</v>
          </cell>
          <cell r="H66">
            <v>-167762.766666667</v>
          </cell>
          <cell r="I66">
            <v>302910.033333333</v>
          </cell>
          <cell r="J66">
            <v>86446.5</v>
          </cell>
          <cell r="K66">
            <v>-52367.7333333333</v>
          </cell>
          <cell r="L66">
            <v>-369933.033333333</v>
          </cell>
          <cell r="M66">
            <v>-31718.7727272727</v>
          </cell>
          <cell r="N66">
            <v>161365.166666667</v>
          </cell>
          <cell r="O66">
            <v>32474.7</v>
          </cell>
          <cell r="P66">
            <v>508665.666666667</v>
          </cell>
          <cell r="Q66">
            <v>616778.733333333</v>
          </cell>
          <cell r="R66">
            <v>17709003</v>
          </cell>
          <cell r="S66">
            <v>44169021</v>
          </cell>
          <cell r="T66">
            <v>0.809234324974236</v>
          </cell>
          <cell r="U66">
            <v>2387063.33333333</v>
          </cell>
          <cell r="V66">
            <v>6983.33333333333</v>
          </cell>
          <cell r="W66">
            <v>142933.480258237</v>
          </cell>
          <cell r="X66">
            <v>39606.6666666667</v>
          </cell>
          <cell r="Y66">
            <v>77846.6666666667</v>
          </cell>
          <cell r="Z66">
            <v>222303.333333333</v>
          </cell>
          <cell r="AA66">
            <v>36546.6666666667</v>
          </cell>
          <cell r="AB66">
            <v>64746.6666666667</v>
          </cell>
          <cell r="AC66">
            <v>2016.66666666667</v>
          </cell>
          <cell r="AD66">
            <v>1749083.33333333</v>
          </cell>
          <cell r="AE66">
            <v>11393.7333333333</v>
          </cell>
          <cell r="AF66">
            <v>-2886.86666666667</v>
          </cell>
          <cell r="AG66">
            <v>-135819.866666667</v>
          </cell>
          <cell r="AH66">
            <v>86356.5666666667</v>
          </cell>
        </row>
        <row r="67">
          <cell r="D67">
            <v>36495</v>
          </cell>
          <cell r="E67">
            <v>940706.451612903</v>
          </cell>
          <cell r="F67">
            <v>342371.290322581</v>
          </cell>
          <cell r="G67">
            <v>-184896.838709677</v>
          </cell>
          <cell r="H67">
            <v>-267165.451612903</v>
          </cell>
          <cell r="I67">
            <v>326105.483870968</v>
          </cell>
          <cell r="J67">
            <v>20145.3548387097</v>
          </cell>
          <cell r="K67">
            <v>-67658.1290322581</v>
          </cell>
          <cell r="L67">
            <v>-444855.35483871</v>
          </cell>
          <cell r="M67">
            <v>-162917.483870968</v>
          </cell>
          <cell r="N67">
            <v>160722.032258065</v>
          </cell>
          <cell r="O67">
            <v>167922.935483871</v>
          </cell>
          <cell r="P67">
            <v>598335.161290323</v>
          </cell>
          <cell r="Q67">
            <v>642078.64516129</v>
          </cell>
          <cell r="R67">
            <v>16595328</v>
          </cell>
          <cell r="S67">
            <v>30613074</v>
          </cell>
          <cell r="T67">
            <v>0.560871618000687</v>
          </cell>
          <cell r="U67">
            <v>2286597.47230293</v>
          </cell>
          <cell r="V67">
            <v>784.661606578115</v>
          </cell>
          <cell r="W67">
            <v>161831.432798654</v>
          </cell>
          <cell r="X67">
            <v>45897</v>
          </cell>
          <cell r="Y67">
            <v>55001.486401012</v>
          </cell>
          <cell r="Z67">
            <v>453720.864464738</v>
          </cell>
          <cell r="AA67">
            <v>473.118279569893</v>
          </cell>
          <cell r="AB67">
            <v>63497.3020685089</v>
          </cell>
          <cell r="AC67">
            <v>0</v>
          </cell>
          <cell r="AD67">
            <v>1774499.33166311</v>
          </cell>
          <cell r="AE67">
            <v>210642.35483871</v>
          </cell>
          <cell r="AF67">
            <v>61865.3548387097</v>
          </cell>
          <cell r="AG67">
            <v>-147531.741935484</v>
          </cell>
          <cell r="AH67">
            <v>99036.6129032258</v>
          </cell>
        </row>
        <row r="68">
          <cell r="D68">
            <v>36526</v>
          </cell>
          <cell r="E68">
            <v>815359.548387097</v>
          </cell>
          <cell r="F68">
            <v>150514.903225806</v>
          </cell>
          <cell r="G68">
            <v>-237312.08</v>
          </cell>
          <cell r="H68">
            <v>-333018.903225806</v>
          </cell>
          <cell r="I68">
            <v>357082.741935484</v>
          </cell>
          <cell r="J68">
            <v>18542.2</v>
          </cell>
          <cell r="K68">
            <v>-110432.806451613</v>
          </cell>
          <cell r="L68">
            <v>-483869.032258065</v>
          </cell>
          <cell r="M68">
            <v>-207313.935483871</v>
          </cell>
          <cell r="N68">
            <v>141476.258064516</v>
          </cell>
          <cell r="O68">
            <v>107368.548387097</v>
          </cell>
          <cell r="P68">
            <v>664844.64516129</v>
          </cell>
          <cell r="Q68">
            <v>720845.886451613</v>
          </cell>
          <cell r="R68">
            <v>13039716</v>
          </cell>
          <cell r="S68">
            <v>19882082</v>
          </cell>
          <cell r="T68">
            <v>0.364265787243788</v>
          </cell>
          <cell r="U68">
            <v>2569806.69962463</v>
          </cell>
          <cell r="V68">
            <v>10014.8479051081</v>
          </cell>
          <cell r="W68">
            <v>158915.344732167</v>
          </cell>
        </row>
        <row r="68">
          <cell r="Y68">
            <v>83489.7941370288</v>
          </cell>
          <cell r="Z68">
            <v>483869.032258065</v>
          </cell>
          <cell r="AA68">
            <v>40632.136190169</v>
          </cell>
          <cell r="AB68">
            <v>89184.5115732667</v>
          </cell>
          <cell r="AC68">
            <v>9949.39138285251</v>
          </cell>
          <cell r="AD68">
            <v>1713749.93743522</v>
          </cell>
          <cell r="AE68">
            <v>232132.903225806</v>
          </cell>
          <cell r="AF68">
            <v>223336</v>
          </cell>
          <cell r="AG68">
            <v>-141042.451612903</v>
          </cell>
          <cell r="AH68">
            <v>94916.064516129</v>
          </cell>
          <cell r="AI68">
            <v>-240572.451612903</v>
          </cell>
        </row>
        <row r="69">
          <cell r="D69">
            <v>36557</v>
          </cell>
          <cell r="E69">
            <v>901515.75862069</v>
          </cell>
          <cell r="F69">
            <v>308888.551724138</v>
          </cell>
          <cell r="G69">
            <v>-317320.931034483</v>
          </cell>
          <cell r="H69">
            <v>-265970.586206897</v>
          </cell>
          <cell r="I69">
            <v>270980.827586207</v>
          </cell>
          <cell r="J69">
            <v>13572.275862069</v>
          </cell>
          <cell r="K69">
            <v>-95253.4482758621</v>
          </cell>
          <cell r="L69">
            <v>-448507.310344828</v>
          </cell>
          <cell r="M69">
            <v>-185942.75862069</v>
          </cell>
          <cell r="N69">
            <v>127433.379310345</v>
          </cell>
          <cell r="O69">
            <v>131459.448275862</v>
          </cell>
          <cell r="P69">
            <v>592627.206896552</v>
          </cell>
          <cell r="Q69">
            <v>892180.068965517</v>
          </cell>
          <cell r="R69">
            <v>11311027</v>
          </cell>
          <cell r="S69">
            <v>11940408</v>
          </cell>
          <cell r="T69">
            <v>0.218763916180007</v>
          </cell>
          <cell r="U69">
            <v>2529117.79682981</v>
          </cell>
          <cell r="V69">
            <v>2372.00893925583</v>
          </cell>
          <cell r="W69">
            <v>172901.259272806</v>
          </cell>
        </row>
        <row r="69">
          <cell r="Y69">
            <v>80224.980805421</v>
          </cell>
          <cell r="Z69">
            <v>448507.310344828</v>
          </cell>
          <cell r="AA69">
            <v>39638.4384686852</v>
          </cell>
          <cell r="AB69">
            <v>83653.5482987406</v>
          </cell>
          <cell r="AC69">
            <v>3404.07772551021</v>
          </cell>
          <cell r="AD69">
            <v>1759869.70016793</v>
          </cell>
          <cell r="AE69">
            <v>205230.827586207</v>
          </cell>
          <cell r="AF69">
            <v>82091.8620689655</v>
          </cell>
          <cell r="AG69">
            <v>-140904.827586207</v>
          </cell>
          <cell r="AH69">
            <v>94086.7931034483</v>
          </cell>
          <cell r="AI69">
            <v>-219785.551724138</v>
          </cell>
        </row>
        <row r="70">
          <cell r="R70" t="str">
            <v>As of March 12, 2000</v>
          </cell>
          <cell r="S70">
            <v>9406004</v>
          </cell>
          <cell r="T70">
            <v>0.172330314897515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 t="str">
            <v>PGT</v>
          </cell>
        </row>
        <row r="3">
          <cell r="A3" t="str">
            <v>DATE</v>
          </cell>
          <cell r="B3" t="str">
            <v>KINGSGATE</v>
          </cell>
          <cell r="C3" t="str">
            <v>MALIN</v>
          </cell>
        </row>
        <row r="4">
          <cell r="A4">
            <v>36404</v>
          </cell>
          <cell r="B4">
            <v>2556731.75930407</v>
          </cell>
          <cell r="C4">
            <v>1937840.34137729</v>
          </cell>
        </row>
        <row r="5">
          <cell r="A5">
            <v>36405</v>
          </cell>
          <cell r="B5">
            <v>2556731.75930407</v>
          </cell>
          <cell r="C5">
            <v>1937840.34137729</v>
          </cell>
        </row>
        <row r="6">
          <cell r="A6">
            <v>36406</v>
          </cell>
          <cell r="B6">
            <v>2556731.75930407</v>
          </cell>
          <cell r="C6">
            <v>1937840.34137729</v>
          </cell>
        </row>
        <row r="7">
          <cell r="A7">
            <v>36407</v>
          </cell>
          <cell r="B7">
            <v>2556731.75930407</v>
          </cell>
          <cell r="C7">
            <v>1937840.34137729</v>
          </cell>
        </row>
        <row r="8">
          <cell r="A8">
            <v>36408</v>
          </cell>
          <cell r="B8">
            <v>2556731.75930407</v>
          </cell>
          <cell r="C8">
            <v>1937840.34137729</v>
          </cell>
        </row>
        <row r="9">
          <cell r="A9">
            <v>36409</v>
          </cell>
          <cell r="B9">
            <v>2556731.75930407</v>
          </cell>
          <cell r="C9">
            <v>1937840.34137729</v>
          </cell>
        </row>
        <row r="10">
          <cell r="A10">
            <v>36410</v>
          </cell>
          <cell r="B10">
            <v>2556731.75930407</v>
          </cell>
          <cell r="C10">
            <v>1937840.34137729</v>
          </cell>
        </row>
        <row r="11">
          <cell r="A11">
            <v>36411</v>
          </cell>
          <cell r="B11">
            <v>2556731.75930407</v>
          </cell>
          <cell r="C11">
            <v>1937840.34137729</v>
          </cell>
        </row>
        <row r="12">
          <cell r="A12">
            <v>36412</v>
          </cell>
          <cell r="B12">
            <v>2556731.75930407</v>
          </cell>
          <cell r="C12">
            <v>1937840.34137729</v>
          </cell>
        </row>
        <row r="13">
          <cell r="A13">
            <v>36413</v>
          </cell>
          <cell r="B13">
            <v>2556731.75930407</v>
          </cell>
          <cell r="C13">
            <v>1937840.34137729</v>
          </cell>
        </row>
        <row r="14">
          <cell r="A14">
            <v>36414</v>
          </cell>
          <cell r="B14">
            <v>2556731.75930407</v>
          </cell>
          <cell r="C14">
            <v>1937840.34137729</v>
          </cell>
        </row>
        <row r="15">
          <cell r="A15">
            <v>36415</v>
          </cell>
          <cell r="B15">
            <v>2556731.75930407</v>
          </cell>
          <cell r="C15">
            <v>1937840.34137729</v>
          </cell>
        </row>
        <row r="16">
          <cell r="A16">
            <v>36416</v>
          </cell>
          <cell r="B16">
            <v>2556731.75930407</v>
          </cell>
          <cell r="C16">
            <v>1937840.34137729</v>
          </cell>
        </row>
        <row r="17">
          <cell r="A17">
            <v>36417</v>
          </cell>
          <cell r="B17">
            <v>2556731.75930407</v>
          </cell>
          <cell r="C17">
            <v>1937840.34137729</v>
          </cell>
        </row>
        <row r="18">
          <cell r="A18">
            <v>36418</v>
          </cell>
          <cell r="B18">
            <v>2556731.75930407</v>
          </cell>
          <cell r="C18">
            <v>1937840.34137729</v>
          </cell>
        </row>
        <row r="19">
          <cell r="A19">
            <v>36419</v>
          </cell>
          <cell r="B19">
            <v>2556731.75930407</v>
          </cell>
          <cell r="C19">
            <v>1937840.34137729</v>
          </cell>
        </row>
        <row r="20">
          <cell r="A20">
            <v>36420</v>
          </cell>
          <cell r="B20">
            <v>2556731.75930407</v>
          </cell>
          <cell r="C20">
            <v>1937840.34137729</v>
          </cell>
        </row>
        <row r="21">
          <cell r="A21">
            <v>36421</v>
          </cell>
          <cell r="B21">
            <v>2556731.75930407</v>
          </cell>
          <cell r="C21">
            <v>1937840.34137729</v>
          </cell>
        </row>
        <row r="22">
          <cell r="A22">
            <v>36422</v>
          </cell>
          <cell r="B22">
            <v>2556731.75930407</v>
          </cell>
          <cell r="C22">
            <v>1937840.34137729</v>
          </cell>
        </row>
        <row r="23">
          <cell r="A23">
            <v>36423</v>
          </cell>
          <cell r="B23">
            <v>2556731.75930407</v>
          </cell>
          <cell r="C23">
            <v>1937840.34137729</v>
          </cell>
        </row>
        <row r="24">
          <cell r="A24">
            <v>36424</v>
          </cell>
          <cell r="B24">
            <v>2556731.75930407</v>
          </cell>
          <cell r="C24">
            <v>1937840.34137729</v>
          </cell>
        </row>
        <row r="25">
          <cell r="A25">
            <v>36425</v>
          </cell>
          <cell r="B25">
            <v>2556731.75930407</v>
          </cell>
          <cell r="C25">
            <v>1937840.34137729</v>
          </cell>
        </row>
        <row r="26">
          <cell r="A26">
            <v>36426</v>
          </cell>
          <cell r="B26">
            <v>2556731.75930407</v>
          </cell>
          <cell r="C26">
            <v>1937840.34137729</v>
          </cell>
        </row>
        <row r="27">
          <cell r="A27">
            <v>36427</v>
          </cell>
          <cell r="B27">
            <v>2556731.75930407</v>
          </cell>
          <cell r="C27">
            <v>1937840.34137729</v>
          </cell>
        </row>
        <row r="28">
          <cell r="A28">
            <v>36428</v>
          </cell>
          <cell r="B28">
            <v>2556731.75930407</v>
          </cell>
          <cell r="C28">
            <v>1937840.34137729</v>
          </cell>
        </row>
        <row r="29">
          <cell r="A29">
            <v>36429</v>
          </cell>
          <cell r="B29">
            <v>2556731.75930407</v>
          </cell>
          <cell r="C29">
            <v>1937840.34137729</v>
          </cell>
        </row>
        <row r="30">
          <cell r="A30">
            <v>36430</v>
          </cell>
          <cell r="B30">
            <v>2536440.23740483</v>
          </cell>
          <cell r="C30">
            <v>1937840.34137729</v>
          </cell>
        </row>
        <row r="31">
          <cell r="A31">
            <v>36431</v>
          </cell>
          <cell r="B31">
            <v>2536440.23740483</v>
          </cell>
          <cell r="C31">
            <v>1937840.34137729</v>
          </cell>
        </row>
        <row r="32">
          <cell r="A32">
            <v>36432</v>
          </cell>
          <cell r="B32">
            <v>2536440.23740483</v>
          </cell>
          <cell r="C32">
            <v>1937840.34137729</v>
          </cell>
        </row>
        <row r="33">
          <cell r="A33">
            <v>36433</v>
          </cell>
          <cell r="B33">
            <v>2536440.23740483</v>
          </cell>
          <cell r="C33">
            <v>1937840.34137729</v>
          </cell>
        </row>
        <row r="34">
          <cell r="A34">
            <v>36434</v>
          </cell>
          <cell r="B34">
            <v>2577023.28120331</v>
          </cell>
          <cell r="C34">
            <v>1958131.86327653</v>
          </cell>
        </row>
        <row r="35">
          <cell r="A35">
            <v>36435</v>
          </cell>
          <cell r="B35">
            <v>2577023.28120331</v>
          </cell>
          <cell r="C35">
            <v>1958131.86327653</v>
          </cell>
        </row>
        <row r="36">
          <cell r="A36">
            <v>36436</v>
          </cell>
          <cell r="B36">
            <v>2577023.28120331</v>
          </cell>
          <cell r="C36">
            <v>1958131.86327653</v>
          </cell>
        </row>
        <row r="37">
          <cell r="A37">
            <v>36437</v>
          </cell>
          <cell r="B37">
            <v>2577023.28120331</v>
          </cell>
          <cell r="C37">
            <v>1958131.86327653</v>
          </cell>
        </row>
        <row r="38">
          <cell r="A38">
            <v>36438</v>
          </cell>
          <cell r="B38">
            <v>2577023.28120331</v>
          </cell>
          <cell r="C38">
            <v>1958131.86327653</v>
          </cell>
        </row>
        <row r="39">
          <cell r="A39">
            <v>36439</v>
          </cell>
          <cell r="B39">
            <v>2577023.28120331</v>
          </cell>
          <cell r="C39">
            <v>1958131.86327653</v>
          </cell>
        </row>
        <row r="40">
          <cell r="A40">
            <v>36440</v>
          </cell>
          <cell r="B40">
            <v>2577023.28120331</v>
          </cell>
          <cell r="C40">
            <v>1958131.86327653</v>
          </cell>
        </row>
        <row r="41">
          <cell r="A41">
            <v>36441</v>
          </cell>
          <cell r="B41">
            <v>2577023.28120331</v>
          </cell>
          <cell r="C41">
            <v>1958131.86327653</v>
          </cell>
        </row>
        <row r="42">
          <cell r="A42">
            <v>36442</v>
          </cell>
          <cell r="B42">
            <v>2658189.36880026</v>
          </cell>
          <cell r="C42">
            <v>1958131.86327653</v>
          </cell>
        </row>
        <row r="43">
          <cell r="A43">
            <v>36443</v>
          </cell>
          <cell r="B43">
            <v>2658189.36880026</v>
          </cell>
          <cell r="C43">
            <v>1958131.86327653</v>
          </cell>
        </row>
        <row r="44">
          <cell r="A44">
            <v>36444</v>
          </cell>
          <cell r="B44">
            <v>2658189.36880026</v>
          </cell>
          <cell r="C44">
            <v>1958131.86327653</v>
          </cell>
        </row>
        <row r="45">
          <cell r="A45">
            <v>36445</v>
          </cell>
          <cell r="B45">
            <v>2658189.36880026</v>
          </cell>
          <cell r="C45">
            <v>1958131.86327653</v>
          </cell>
        </row>
        <row r="46">
          <cell r="A46">
            <v>36446</v>
          </cell>
          <cell r="B46">
            <v>2658189.36880026</v>
          </cell>
          <cell r="C46">
            <v>1958131.86327653</v>
          </cell>
        </row>
        <row r="47">
          <cell r="A47">
            <v>36447</v>
          </cell>
          <cell r="B47">
            <v>2658189.36880026</v>
          </cell>
          <cell r="C47">
            <v>1958131.86327653</v>
          </cell>
        </row>
        <row r="48">
          <cell r="A48">
            <v>36448</v>
          </cell>
          <cell r="B48">
            <v>2658189.36880026</v>
          </cell>
          <cell r="C48">
            <v>1958131.86327653</v>
          </cell>
        </row>
        <row r="49">
          <cell r="A49">
            <v>36449</v>
          </cell>
          <cell r="B49">
            <v>2658189.36880026</v>
          </cell>
          <cell r="C49">
            <v>1958131.86327653</v>
          </cell>
        </row>
        <row r="50">
          <cell r="A50">
            <v>36450</v>
          </cell>
          <cell r="B50">
            <v>2658189.36880026</v>
          </cell>
          <cell r="C50">
            <v>1958131.86327653</v>
          </cell>
        </row>
        <row r="51">
          <cell r="A51">
            <v>36451</v>
          </cell>
          <cell r="B51">
            <v>2658189.36880026</v>
          </cell>
          <cell r="C51">
            <v>1958131.86327653</v>
          </cell>
        </row>
        <row r="52">
          <cell r="A52">
            <v>36452</v>
          </cell>
          <cell r="B52">
            <v>2658189.36880026</v>
          </cell>
          <cell r="C52">
            <v>1958131.86327653</v>
          </cell>
        </row>
        <row r="53">
          <cell r="A53">
            <v>36453</v>
          </cell>
          <cell r="B53">
            <v>2658189.36880026</v>
          </cell>
          <cell r="C53">
            <v>1958131.86327653</v>
          </cell>
        </row>
        <row r="54">
          <cell r="A54">
            <v>36454</v>
          </cell>
          <cell r="B54">
            <v>2658189.36880026</v>
          </cell>
          <cell r="C54">
            <v>1958131.86327653</v>
          </cell>
        </row>
        <row r="55">
          <cell r="A55">
            <v>36455</v>
          </cell>
          <cell r="B55">
            <v>2658189.36880026</v>
          </cell>
          <cell r="C55">
            <v>1958131.86327653</v>
          </cell>
        </row>
        <row r="56">
          <cell r="A56">
            <v>36456</v>
          </cell>
          <cell r="B56">
            <v>2658189.36880026</v>
          </cell>
          <cell r="C56">
            <v>1958131.86327653</v>
          </cell>
        </row>
        <row r="57">
          <cell r="A57">
            <v>36457</v>
          </cell>
          <cell r="B57">
            <v>2658189.36880026</v>
          </cell>
          <cell r="C57">
            <v>1958131.86327653</v>
          </cell>
        </row>
        <row r="58">
          <cell r="A58">
            <v>36458</v>
          </cell>
          <cell r="B58">
            <v>2658189.36880026</v>
          </cell>
          <cell r="C58">
            <v>1958131.86327653</v>
          </cell>
        </row>
        <row r="59">
          <cell r="A59">
            <v>36459</v>
          </cell>
          <cell r="B59">
            <v>2658189.36880026</v>
          </cell>
          <cell r="C59">
            <v>1958131.86327653</v>
          </cell>
        </row>
        <row r="60">
          <cell r="A60">
            <v>36460</v>
          </cell>
          <cell r="B60">
            <v>2658189.36880026</v>
          </cell>
          <cell r="C60">
            <v>1958131.86327653</v>
          </cell>
        </row>
        <row r="61">
          <cell r="A61">
            <v>36461</v>
          </cell>
          <cell r="B61">
            <v>2658189.36880026</v>
          </cell>
          <cell r="C61">
            <v>1958131.86327653</v>
          </cell>
        </row>
        <row r="62">
          <cell r="A62">
            <v>36462</v>
          </cell>
          <cell r="B62">
            <v>2658189.36880026</v>
          </cell>
          <cell r="C62">
            <v>1958131.86327653</v>
          </cell>
        </row>
        <row r="63">
          <cell r="A63">
            <v>36463</v>
          </cell>
          <cell r="B63">
            <v>2658189.36880026</v>
          </cell>
          <cell r="C63">
            <v>1958131.86327653</v>
          </cell>
        </row>
        <row r="64">
          <cell r="A64">
            <v>36464</v>
          </cell>
          <cell r="B64">
            <v>2658189.36880026</v>
          </cell>
          <cell r="C64">
            <v>1958131.86327653</v>
          </cell>
        </row>
        <row r="65">
          <cell r="A65">
            <v>36465</v>
          </cell>
          <cell r="B65">
            <v>2759646.97829646</v>
          </cell>
          <cell r="C65">
            <v>1775508.16618338</v>
          </cell>
        </row>
        <row r="66">
          <cell r="A66">
            <v>36466</v>
          </cell>
          <cell r="B66">
            <v>2759646.97829646</v>
          </cell>
          <cell r="C66">
            <v>1775508.16618338</v>
          </cell>
        </row>
        <row r="67">
          <cell r="A67">
            <v>36467</v>
          </cell>
          <cell r="B67">
            <v>2759646.97829646</v>
          </cell>
          <cell r="C67">
            <v>1775508.16618338</v>
          </cell>
        </row>
        <row r="68">
          <cell r="A68">
            <v>36468</v>
          </cell>
          <cell r="B68">
            <v>2759646.97829646</v>
          </cell>
          <cell r="C68">
            <v>1750143.76380933</v>
          </cell>
        </row>
        <row r="69">
          <cell r="A69">
            <v>36469</v>
          </cell>
          <cell r="B69">
            <v>2759646.97829646</v>
          </cell>
          <cell r="C69">
            <v>1750143.76380933</v>
          </cell>
        </row>
        <row r="70">
          <cell r="A70">
            <v>36470</v>
          </cell>
          <cell r="B70">
            <v>2759646.97829646</v>
          </cell>
          <cell r="C70">
            <v>1775508.16618338</v>
          </cell>
        </row>
        <row r="70">
          <cell r="E70" t="str">
            <v>PGE California Malin Restriction</v>
          </cell>
        </row>
        <row r="71">
          <cell r="A71">
            <v>36471</v>
          </cell>
          <cell r="B71">
            <v>2759646.97829646</v>
          </cell>
          <cell r="C71">
            <v>1775508.16618338</v>
          </cell>
        </row>
        <row r="72">
          <cell r="A72">
            <v>36472</v>
          </cell>
          <cell r="B72">
            <v>2759646.97829646</v>
          </cell>
          <cell r="C72">
            <v>1750143.76380933</v>
          </cell>
        </row>
        <row r="73">
          <cell r="A73">
            <v>36473</v>
          </cell>
          <cell r="B73">
            <v>2759646.97829646</v>
          </cell>
          <cell r="C73">
            <v>1775508.16618338</v>
          </cell>
        </row>
        <row r="74">
          <cell r="A74">
            <v>36474</v>
          </cell>
          <cell r="B74">
            <v>2759646.97829646</v>
          </cell>
          <cell r="C74">
            <v>1826236.97093148</v>
          </cell>
        </row>
        <row r="75">
          <cell r="A75">
            <v>36475</v>
          </cell>
          <cell r="B75">
            <v>2759646.97829646</v>
          </cell>
          <cell r="C75">
            <v>1887111.5366292</v>
          </cell>
        </row>
        <row r="76">
          <cell r="A76">
            <v>36476</v>
          </cell>
          <cell r="B76">
            <v>2759646.97829646</v>
          </cell>
          <cell r="C76">
            <v>1887111.5366292</v>
          </cell>
        </row>
        <row r="77">
          <cell r="A77">
            <v>36477</v>
          </cell>
          <cell r="B77">
            <v>2759646.97829646</v>
          </cell>
          <cell r="C77">
            <v>1887111.5366292</v>
          </cell>
        </row>
        <row r="78">
          <cell r="A78">
            <v>36478</v>
          </cell>
          <cell r="B78">
            <v>2759646.97829646</v>
          </cell>
          <cell r="C78">
            <v>1887111.5366292</v>
          </cell>
        </row>
        <row r="79">
          <cell r="A79">
            <v>36479</v>
          </cell>
          <cell r="B79">
            <v>2759646.97829646</v>
          </cell>
          <cell r="C79">
            <v>1887111.5366292</v>
          </cell>
        </row>
        <row r="80">
          <cell r="A80">
            <v>36480</v>
          </cell>
          <cell r="B80">
            <v>2759646.97829646</v>
          </cell>
          <cell r="C80">
            <v>1887111.5366292</v>
          </cell>
        </row>
        <row r="81">
          <cell r="A81">
            <v>36481</v>
          </cell>
          <cell r="B81">
            <v>2759646.97829646</v>
          </cell>
          <cell r="C81">
            <v>1887111.5366292</v>
          </cell>
        </row>
        <row r="82">
          <cell r="A82">
            <v>36482</v>
          </cell>
          <cell r="B82">
            <v>2759646.97829646</v>
          </cell>
          <cell r="C82">
            <v>1887111.5366292</v>
          </cell>
        </row>
        <row r="83">
          <cell r="A83">
            <v>36483</v>
          </cell>
          <cell r="B83">
            <v>2759646.97829646</v>
          </cell>
          <cell r="C83">
            <v>1887111.5366292</v>
          </cell>
        </row>
        <row r="84">
          <cell r="A84">
            <v>36484</v>
          </cell>
          <cell r="B84">
            <v>2759646.97829646</v>
          </cell>
          <cell r="C84">
            <v>1836382.7318811</v>
          </cell>
          <cell r="D84" t="str">
            <v>Unscheduled Maintenance at Station 14</v>
          </cell>
        </row>
        <row r="85">
          <cell r="A85">
            <v>36485</v>
          </cell>
          <cell r="B85">
            <v>2759646.97829646</v>
          </cell>
          <cell r="C85">
            <v>1861747.13425515</v>
          </cell>
        </row>
        <row r="86">
          <cell r="A86">
            <v>36486</v>
          </cell>
          <cell r="B86">
            <v>2759646.97829646</v>
          </cell>
          <cell r="C86">
            <v>1887111.5366292</v>
          </cell>
        </row>
        <row r="87">
          <cell r="A87">
            <v>36487</v>
          </cell>
          <cell r="B87">
            <v>2759646.97829646</v>
          </cell>
          <cell r="C87">
            <v>1887111.5366292</v>
          </cell>
        </row>
        <row r="88">
          <cell r="A88">
            <v>36488</v>
          </cell>
          <cell r="B88">
            <v>2759646.97829646</v>
          </cell>
          <cell r="C88">
            <v>1887111.5366292</v>
          </cell>
        </row>
        <row r="89">
          <cell r="A89">
            <v>36489</v>
          </cell>
          <cell r="B89">
            <v>2759646.97829646</v>
          </cell>
          <cell r="C89">
            <v>1887111.5366292</v>
          </cell>
        </row>
        <row r="90">
          <cell r="A90">
            <v>36490</v>
          </cell>
          <cell r="B90">
            <v>2759646.97829646</v>
          </cell>
          <cell r="C90">
            <v>1887111.5366292</v>
          </cell>
        </row>
        <row r="91">
          <cell r="A91">
            <v>36491</v>
          </cell>
          <cell r="B91">
            <v>2759646.97829646</v>
          </cell>
          <cell r="C91">
            <v>1887111.5366292</v>
          </cell>
        </row>
        <row r="92">
          <cell r="A92">
            <v>36492</v>
          </cell>
          <cell r="B92">
            <v>2759646.97829646</v>
          </cell>
          <cell r="C92">
            <v>1887111.5366292</v>
          </cell>
        </row>
        <row r="93">
          <cell r="A93">
            <v>36493</v>
          </cell>
          <cell r="B93">
            <v>2759646.97829646</v>
          </cell>
          <cell r="C93">
            <v>1887111.5366292</v>
          </cell>
        </row>
        <row r="94">
          <cell r="A94">
            <v>36494</v>
          </cell>
          <cell r="B94">
            <v>2759646.97829646</v>
          </cell>
          <cell r="C94">
            <v>1887111.5366292</v>
          </cell>
        </row>
        <row r="95">
          <cell r="A95">
            <v>36495</v>
          </cell>
          <cell r="B95">
            <v>2759646.97829646</v>
          </cell>
          <cell r="C95">
            <v>1770435.28570857</v>
          </cell>
        </row>
        <row r="96">
          <cell r="A96">
            <v>36496</v>
          </cell>
          <cell r="B96">
            <v>2759646.97829646</v>
          </cell>
          <cell r="C96">
            <v>1770435.28570857</v>
          </cell>
        </row>
        <row r="97">
          <cell r="A97">
            <v>36497</v>
          </cell>
          <cell r="B97">
            <v>2759646.97829646</v>
          </cell>
          <cell r="C97">
            <v>1770435.28570857</v>
          </cell>
        </row>
        <row r="98">
          <cell r="A98">
            <v>36498</v>
          </cell>
          <cell r="B98">
            <v>2759646.97829646</v>
          </cell>
          <cell r="C98">
            <v>1770435.28570857</v>
          </cell>
        </row>
        <row r="99">
          <cell r="A99">
            <v>36499</v>
          </cell>
          <cell r="B99">
            <v>2759646.97829646</v>
          </cell>
          <cell r="C99">
            <v>1770435.28570857</v>
          </cell>
        </row>
        <row r="100">
          <cell r="A100">
            <v>36500</v>
          </cell>
          <cell r="B100">
            <v>2759646.97829646</v>
          </cell>
          <cell r="C100">
            <v>1770435.28570857</v>
          </cell>
        </row>
        <row r="100">
          <cell r="E100" t="str">
            <v>PGE California Restriction</v>
          </cell>
        </row>
        <row r="101">
          <cell r="A101">
            <v>36501</v>
          </cell>
          <cell r="B101">
            <v>2759646.97829646</v>
          </cell>
          <cell r="C101">
            <v>1770435.28570857</v>
          </cell>
        </row>
        <row r="102">
          <cell r="A102">
            <v>36502</v>
          </cell>
          <cell r="B102">
            <v>2759646.97829646</v>
          </cell>
          <cell r="C102">
            <v>1770435.28570857</v>
          </cell>
        </row>
        <row r="103">
          <cell r="A103">
            <v>36503</v>
          </cell>
          <cell r="B103">
            <v>2759646.97829646</v>
          </cell>
          <cell r="C103">
            <v>1770435.28570857</v>
          </cell>
        </row>
        <row r="104">
          <cell r="A104">
            <v>36504</v>
          </cell>
          <cell r="B104">
            <v>2759646.97829646</v>
          </cell>
          <cell r="C104">
            <v>1770435.28570857</v>
          </cell>
        </row>
        <row r="105">
          <cell r="A105">
            <v>36505</v>
          </cell>
          <cell r="B105">
            <v>2759646.97829646</v>
          </cell>
          <cell r="C105">
            <v>1770435.28570857</v>
          </cell>
        </row>
        <row r="106">
          <cell r="A106">
            <v>36506</v>
          </cell>
          <cell r="B106">
            <v>2759646.97829646</v>
          </cell>
          <cell r="C106">
            <v>1770435.28570857</v>
          </cell>
        </row>
        <row r="107">
          <cell r="A107">
            <v>36507</v>
          </cell>
          <cell r="B107">
            <v>2759646.97829646</v>
          </cell>
          <cell r="C107">
            <v>1887111.5366292</v>
          </cell>
        </row>
        <row r="108">
          <cell r="A108">
            <v>36508</v>
          </cell>
          <cell r="B108">
            <v>2759646.97829646</v>
          </cell>
          <cell r="C108">
            <v>1887111.5366292</v>
          </cell>
        </row>
        <row r="109">
          <cell r="A109">
            <v>36509</v>
          </cell>
          <cell r="B109">
            <v>2759646.97829646</v>
          </cell>
          <cell r="C109">
            <v>1887111.5366292</v>
          </cell>
        </row>
        <row r="110">
          <cell r="A110">
            <v>36510</v>
          </cell>
          <cell r="B110">
            <v>2759646.97829646</v>
          </cell>
          <cell r="C110">
            <v>1887111.5366292</v>
          </cell>
        </row>
        <row r="111">
          <cell r="A111">
            <v>36511</v>
          </cell>
          <cell r="B111">
            <v>2759646.97829646</v>
          </cell>
          <cell r="C111">
            <v>1887111.5366292</v>
          </cell>
        </row>
        <row r="112">
          <cell r="A112">
            <v>36512</v>
          </cell>
          <cell r="B112">
            <v>2759646.97829646</v>
          </cell>
          <cell r="C112">
            <v>1887111.5366292</v>
          </cell>
        </row>
        <row r="113">
          <cell r="A113">
            <v>36513</v>
          </cell>
          <cell r="B113">
            <v>2759646.97829646</v>
          </cell>
          <cell r="C113">
            <v>1887111.5366292</v>
          </cell>
        </row>
        <row r="114">
          <cell r="A114">
            <v>36514</v>
          </cell>
          <cell r="B114">
            <v>2759646.97829646</v>
          </cell>
          <cell r="C114">
            <v>1887111.5366292</v>
          </cell>
        </row>
        <row r="115">
          <cell r="A115">
            <v>36515</v>
          </cell>
          <cell r="B115">
            <v>2759646.97829646</v>
          </cell>
          <cell r="C115">
            <v>1887111.5366292</v>
          </cell>
        </row>
        <row r="116">
          <cell r="A116">
            <v>36516</v>
          </cell>
          <cell r="B116">
            <v>2759646.97829646</v>
          </cell>
          <cell r="C116">
            <v>1887111.5366292</v>
          </cell>
        </row>
        <row r="117">
          <cell r="A117">
            <v>36517</v>
          </cell>
          <cell r="B117">
            <v>2759646.97829646</v>
          </cell>
          <cell r="C117">
            <v>1887111.5366292</v>
          </cell>
        </row>
        <row r="118">
          <cell r="A118">
            <v>36518</v>
          </cell>
          <cell r="B118">
            <v>2759646.97829646</v>
          </cell>
          <cell r="C118">
            <v>1887111.5366292</v>
          </cell>
        </row>
        <row r="119">
          <cell r="A119">
            <v>36519</v>
          </cell>
          <cell r="B119">
            <v>2759646.97829646</v>
          </cell>
          <cell r="C119">
            <v>1887111.5366292</v>
          </cell>
        </row>
        <row r="120">
          <cell r="A120">
            <v>36520</v>
          </cell>
          <cell r="B120">
            <v>2759646.97829646</v>
          </cell>
          <cell r="C120">
            <v>1887111.5366292</v>
          </cell>
        </row>
        <row r="121">
          <cell r="A121">
            <v>36521</v>
          </cell>
          <cell r="B121">
            <v>2759646.97829646</v>
          </cell>
          <cell r="C121">
            <v>1887111.5366292</v>
          </cell>
        </row>
        <row r="122">
          <cell r="A122">
            <v>36522</v>
          </cell>
          <cell r="B122">
            <v>2759646.97829646</v>
          </cell>
          <cell r="C122">
            <v>1887111.5366292</v>
          </cell>
        </row>
        <row r="123">
          <cell r="A123">
            <v>36523</v>
          </cell>
          <cell r="B123">
            <v>2759646.97829646</v>
          </cell>
          <cell r="C123">
            <v>1887111.5366292</v>
          </cell>
        </row>
        <row r="124">
          <cell r="A124">
            <v>36524</v>
          </cell>
          <cell r="B124">
            <v>2759646.97829646</v>
          </cell>
          <cell r="C124">
            <v>1887111.5366292</v>
          </cell>
        </row>
        <row r="125">
          <cell r="A125">
            <v>36525</v>
          </cell>
          <cell r="B125">
            <v>2759646.97829646</v>
          </cell>
          <cell r="C125">
            <v>1887111.5366292</v>
          </cell>
        </row>
        <row r="126">
          <cell r="A126">
            <v>36526</v>
          </cell>
          <cell r="B126">
            <v>2759646.97829646</v>
          </cell>
          <cell r="C126">
            <v>1887111.5366292</v>
          </cell>
        </row>
        <row r="127">
          <cell r="A127">
            <v>36527</v>
          </cell>
          <cell r="B127">
            <v>2759646.97829646</v>
          </cell>
          <cell r="C127">
            <v>1887111.5366292</v>
          </cell>
        </row>
        <row r="128">
          <cell r="A128">
            <v>36528</v>
          </cell>
          <cell r="B128">
            <v>2759646.97829646</v>
          </cell>
          <cell r="C128">
            <v>1887111.5366292</v>
          </cell>
        </row>
        <row r="129">
          <cell r="A129">
            <v>36529</v>
          </cell>
          <cell r="B129">
            <v>2759646.97829646</v>
          </cell>
          <cell r="C129">
            <v>1887111.5366292</v>
          </cell>
        </row>
        <row r="130">
          <cell r="A130">
            <v>36530</v>
          </cell>
          <cell r="B130">
            <v>2759646.97829646</v>
          </cell>
          <cell r="C130">
            <v>1887111.5366292</v>
          </cell>
        </row>
        <row r="131">
          <cell r="A131">
            <v>36531</v>
          </cell>
          <cell r="B131">
            <v>2759646.97829646</v>
          </cell>
          <cell r="C131">
            <v>1887111.5366292</v>
          </cell>
        </row>
        <row r="132">
          <cell r="A132">
            <v>36532</v>
          </cell>
          <cell r="B132">
            <v>2759646.97829646</v>
          </cell>
          <cell r="C132">
            <v>1887111.5366292</v>
          </cell>
        </row>
        <row r="133">
          <cell r="A133">
            <v>36533</v>
          </cell>
          <cell r="B133">
            <v>2759646.97829646</v>
          </cell>
          <cell r="C133">
            <v>1887111.5366292</v>
          </cell>
        </row>
        <row r="134">
          <cell r="A134">
            <v>36534</v>
          </cell>
          <cell r="B134">
            <v>2759646.97829646</v>
          </cell>
          <cell r="C134">
            <v>1887111.5366292</v>
          </cell>
        </row>
        <row r="135">
          <cell r="A135">
            <v>36535</v>
          </cell>
          <cell r="B135">
            <v>2759646.97829646</v>
          </cell>
          <cell r="C135">
            <v>1887111.5366292</v>
          </cell>
        </row>
        <row r="136">
          <cell r="A136">
            <v>36536</v>
          </cell>
          <cell r="B136">
            <v>2759646.97829646</v>
          </cell>
          <cell r="C136">
            <v>1887111.5366292</v>
          </cell>
        </row>
        <row r="137">
          <cell r="A137">
            <v>36537</v>
          </cell>
          <cell r="B137">
            <v>2759646.97829646</v>
          </cell>
          <cell r="C137">
            <v>1887111.5366292</v>
          </cell>
        </row>
        <row r="138">
          <cell r="A138">
            <v>36538</v>
          </cell>
          <cell r="B138">
            <v>2759646.97829646</v>
          </cell>
          <cell r="C138">
            <v>1887111.5366292</v>
          </cell>
        </row>
        <row r="139">
          <cell r="A139">
            <v>36539</v>
          </cell>
          <cell r="B139">
            <v>2759646.97829646</v>
          </cell>
          <cell r="C139">
            <v>1887111.5366292</v>
          </cell>
        </row>
        <row r="140">
          <cell r="A140">
            <v>36540</v>
          </cell>
          <cell r="B140">
            <v>2759646.97829646</v>
          </cell>
          <cell r="C140">
            <v>1887111.5366292</v>
          </cell>
        </row>
        <row r="141">
          <cell r="A141">
            <v>36541</v>
          </cell>
          <cell r="B141">
            <v>2759646.97829646</v>
          </cell>
          <cell r="C141">
            <v>1887111.5366292</v>
          </cell>
        </row>
        <row r="142">
          <cell r="A142">
            <v>36542</v>
          </cell>
          <cell r="B142">
            <v>2759646.97829646</v>
          </cell>
          <cell r="C142">
            <v>1887111.5366292</v>
          </cell>
        </row>
        <row r="143">
          <cell r="A143">
            <v>36543</v>
          </cell>
          <cell r="B143">
            <v>2759646.97829646</v>
          </cell>
          <cell r="C143">
            <v>1887111.5366292</v>
          </cell>
        </row>
        <row r="144">
          <cell r="A144">
            <v>36544</v>
          </cell>
          <cell r="B144">
            <v>2759646.97829646</v>
          </cell>
          <cell r="C144">
            <v>1887111.5366292</v>
          </cell>
        </row>
        <row r="145">
          <cell r="A145">
            <v>36545</v>
          </cell>
          <cell r="B145">
            <v>2759646.97829646</v>
          </cell>
          <cell r="C145">
            <v>1887111.5366292</v>
          </cell>
        </row>
        <row r="146">
          <cell r="A146">
            <v>36546</v>
          </cell>
          <cell r="B146">
            <v>2759646.97829646</v>
          </cell>
          <cell r="C146">
            <v>1887111.5366292</v>
          </cell>
        </row>
        <row r="147">
          <cell r="A147">
            <v>36547</v>
          </cell>
          <cell r="B147">
            <v>2759646.97829646</v>
          </cell>
          <cell r="C147">
            <v>1887111.5366292</v>
          </cell>
        </row>
        <row r="148">
          <cell r="A148">
            <v>36548</v>
          </cell>
          <cell r="B148">
            <v>2759646.97829646</v>
          </cell>
          <cell r="C148">
            <v>1887111.5366292</v>
          </cell>
        </row>
        <row r="149">
          <cell r="A149">
            <v>36549</v>
          </cell>
          <cell r="B149">
            <v>2759646.97829646</v>
          </cell>
          <cell r="C149">
            <v>1887111.5366292</v>
          </cell>
        </row>
        <row r="150">
          <cell r="A150">
            <v>36550</v>
          </cell>
          <cell r="B150">
            <v>2759646.97829646</v>
          </cell>
          <cell r="C150">
            <v>1887111.5366292</v>
          </cell>
        </row>
        <row r="151">
          <cell r="A151">
            <v>36551</v>
          </cell>
          <cell r="B151">
            <v>2759646.97829646</v>
          </cell>
          <cell r="C151">
            <v>1887111.5366292</v>
          </cell>
        </row>
        <row r="152">
          <cell r="A152">
            <v>36552</v>
          </cell>
          <cell r="B152">
            <v>2759646.97829646</v>
          </cell>
          <cell r="C152">
            <v>1887111.5366292</v>
          </cell>
        </row>
        <row r="153">
          <cell r="A153">
            <v>36553</v>
          </cell>
          <cell r="B153">
            <v>2759646.97829646</v>
          </cell>
          <cell r="C153">
            <v>1887111.5366292</v>
          </cell>
        </row>
        <row r="154">
          <cell r="A154">
            <v>36554</v>
          </cell>
          <cell r="B154">
            <v>2759646.97829646</v>
          </cell>
          <cell r="C154">
            <v>1887111.5366292</v>
          </cell>
        </row>
        <row r="155">
          <cell r="A155">
            <v>36555</v>
          </cell>
          <cell r="B155">
            <v>2759646.97829646</v>
          </cell>
          <cell r="C155">
            <v>1887111.5366292</v>
          </cell>
        </row>
        <row r="156">
          <cell r="A156">
            <v>36556</v>
          </cell>
          <cell r="B156">
            <v>2759646.97829646</v>
          </cell>
          <cell r="C156">
            <v>1887111.5366292</v>
          </cell>
        </row>
        <row r="157">
          <cell r="A157">
            <v>36557</v>
          </cell>
          <cell r="B157">
            <v>2759646.97829646</v>
          </cell>
          <cell r="C157">
            <v>1887111.5366292</v>
          </cell>
        </row>
        <row r="158">
          <cell r="A158">
            <v>36558</v>
          </cell>
          <cell r="B158">
            <v>2759646.97829646</v>
          </cell>
          <cell r="C158">
            <v>1887111.5366292</v>
          </cell>
        </row>
        <row r="159">
          <cell r="A159">
            <v>36559</v>
          </cell>
          <cell r="B159">
            <v>2759646.97829646</v>
          </cell>
          <cell r="C159">
            <v>1887111.5366292</v>
          </cell>
        </row>
        <row r="160">
          <cell r="A160">
            <v>36560</v>
          </cell>
          <cell r="B160">
            <v>2759646.97829646</v>
          </cell>
          <cell r="C160">
            <v>1887111.5366292</v>
          </cell>
        </row>
        <row r="161">
          <cell r="A161">
            <v>36561</v>
          </cell>
          <cell r="B161">
            <v>2759646.97829646</v>
          </cell>
          <cell r="C161">
            <v>1887111.5366292</v>
          </cell>
        </row>
        <row r="162">
          <cell r="A162">
            <v>36562</v>
          </cell>
          <cell r="B162">
            <v>2759646.97829646</v>
          </cell>
          <cell r="C162">
            <v>1887111.5366292</v>
          </cell>
        </row>
        <row r="163">
          <cell r="A163">
            <v>36563</v>
          </cell>
          <cell r="B163">
            <v>2759646.97829646</v>
          </cell>
          <cell r="C163">
            <v>1887111.5366292</v>
          </cell>
        </row>
        <row r="164">
          <cell r="A164">
            <v>36564</v>
          </cell>
          <cell r="B164">
            <v>2759646.97829646</v>
          </cell>
          <cell r="C164">
            <v>1887111.5366292</v>
          </cell>
        </row>
        <row r="165">
          <cell r="A165">
            <v>36565</v>
          </cell>
          <cell r="B165">
            <v>2759646.97829646</v>
          </cell>
          <cell r="C165">
            <v>1887111.5366292</v>
          </cell>
        </row>
        <row r="166">
          <cell r="A166">
            <v>36566</v>
          </cell>
          <cell r="B166">
            <v>2759646.97829646</v>
          </cell>
          <cell r="C166">
            <v>1887111.5366292</v>
          </cell>
        </row>
        <row r="167">
          <cell r="A167">
            <v>36567</v>
          </cell>
          <cell r="B167">
            <v>2759646.97829646</v>
          </cell>
          <cell r="C167">
            <v>1887111.5366292</v>
          </cell>
        </row>
        <row r="168">
          <cell r="A168">
            <v>36568</v>
          </cell>
          <cell r="B168">
            <v>2759646.97829646</v>
          </cell>
          <cell r="C168">
            <v>1887111.5366292</v>
          </cell>
        </row>
        <row r="169">
          <cell r="A169">
            <v>36569</v>
          </cell>
          <cell r="B169">
            <v>2759646.97829646</v>
          </cell>
          <cell r="C169">
            <v>1887111.5366292</v>
          </cell>
        </row>
        <row r="170">
          <cell r="A170">
            <v>36570</v>
          </cell>
          <cell r="B170">
            <v>2759646.97829646</v>
          </cell>
          <cell r="C170">
            <v>1887111.5366292</v>
          </cell>
        </row>
        <row r="171">
          <cell r="A171">
            <v>36571</v>
          </cell>
          <cell r="B171">
            <v>2759646.97829646</v>
          </cell>
          <cell r="C171">
            <v>1887111.5366292</v>
          </cell>
        </row>
        <row r="172">
          <cell r="A172">
            <v>36572</v>
          </cell>
          <cell r="B172">
            <v>2759646.97829646</v>
          </cell>
          <cell r="C172">
            <v>1887111.5366292</v>
          </cell>
        </row>
        <row r="173">
          <cell r="A173">
            <v>36573</v>
          </cell>
          <cell r="B173">
            <v>2759646.97829646</v>
          </cell>
          <cell r="C173">
            <v>1887111.5366292</v>
          </cell>
        </row>
        <row r="174">
          <cell r="A174">
            <v>36574</v>
          </cell>
          <cell r="B174">
            <v>2759646.97829646</v>
          </cell>
          <cell r="C174">
            <v>1887111.5366292</v>
          </cell>
        </row>
        <row r="175">
          <cell r="A175">
            <v>36575</v>
          </cell>
          <cell r="B175">
            <v>2759646.97829646</v>
          </cell>
          <cell r="C175">
            <v>1887111.5366292</v>
          </cell>
        </row>
        <row r="176">
          <cell r="A176">
            <v>36576</v>
          </cell>
          <cell r="B176">
            <v>2759646.97829646</v>
          </cell>
          <cell r="C176">
            <v>1887111.5366292</v>
          </cell>
        </row>
        <row r="177">
          <cell r="A177">
            <v>36577</v>
          </cell>
          <cell r="B177">
            <v>2759646.97829646</v>
          </cell>
          <cell r="C177">
            <v>1887111.5366292</v>
          </cell>
        </row>
        <row r="178">
          <cell r="A178">
            <v>36578</v>
          </cell>
          <cell r="B178">
            <v>2759646.97829646</v>
          </cell>
          <cell r="C178">
            <v>1887111.5366292</v>
          </cell>
        </row>
        <row r="179">
          <cell r="A179">
            <v>36579</v>
          </cell>
          <cell r="B179">
            <v>2759646.97829646</v>
          </cell>
          <cell r="C179">
            <v>1887111.5366292</v>
          </cell>
        </row>
        <row r="180">
          <cell r="A180">
            <v>36580</v>
          </cell>
          <cell r="B180">
            <v>2759646.97829646</v>
          </cell>
          <cell r="C180">
            <v>1887111.5366292</v>
          </cell>
        </row>
        <row r="181">
          <cell r="A181">
            <v>36581</v>
          </cell>
          <cell r="B181">
            <v>2759646.97829646</v>
          </cell>
          <cell r="C181">
            <v>1887111.5366292</v>
          </cell>
        </row>
        <row r="182">
          <cell r="A182">
            <v>36582</v>
          </cell>
          <cell r="B182">
            <v>2759646.97829646</v>
          </cell>
          <cell r="C182">
            <v>1887111.5366292</v>
          </cell>
        </row>
        <row r="183">
          <cell r="A183">
            <v>36583</v>
          </cell>
          <cell r="B183">
            <v>2759646.97829646</v>
          </cell>
          <cell r="C183">
            <v>1887111.5366292</v>
          </cell>
        </row>
        <row r="184">
          <cell r="A184">
            <v>36584</v>
          </cell>
          <cell r="B184">
            <v>2759646.97829646</v>
          </cell>
          <cell r="C184">
            <v>1887111.5366292</v>
          </cell>
        </row>
        <row r="185">
          <cell r="A185">
            <v>36585</v>
          </cell>
          <cell r="B185">
            <v>2759646.97829646</v>
          </cell>
          <cell r="C185">
            <v>1887111.5366292</v>
          </cell>
        </row>
        <row r="186">
          <cell r="A186">
            <v>36586</v>
          </cell>
          <cell r="B186">
            <v>2708918.17354836</v>
          </cell>
          <cell r="C186">
            <v>1876965.77567958</v>
          </cell>
        </row>
        <row r="187">
          <cell r="A187">
            <v>36587</v>
          </cell>
          <cell r="B187">
            <v>2708918.17354836</v>
          </cell>
          <cell r="C187">
            <v>1876965.77567958</v>
          </cell>
        </row>
        <row r="188">
          <cell r="A188">
            <v>36588</v>
          </cell>
          <cell r="B188">
            <v>2708918.17354836</v>
          </cell>
          <cell r="C188">
            <v>1876965.77567958</v>
          </cell>
        </row>
        <row r="189">
          <cell r="A189">
            <v>36589</v>
          </cell>
          <cell r="B189">
            <v>2708918.17354836</v>
          </cell>
          <cell r="C189">
            <v>1876965.77567958</v>
          </cell>
        </row>
        <row r="190">
          <cell r="A190">
            <v>36590</v>
          </cell>
          <cell r="B190">
            <v>2708918.17354836</v>
          </cell>
          <cell r="C190">
            <v>1876965.77567958</v>
          </cell>
        </row>
        <row r="191">
          <cell r="A191">
            <v>36591</v>
          </cell>
          <cell r="B191">
            <v>2708918.17354836</v>
          </cell>
          <cell r="C191">
            <v>1876965.77567958</v>
          </cell>
        </row>
        <row r="192">
          <cell r="A192">
            <v>36592</v>
          </cell>
          <cell r="B192">
            <v>2708918.17354836</v>
          </cell>
          <cell r="C192">
            <v>1876965.77567958</v>
          </cell>
        </row>
        <row r="193">
          <cell r="A193">
            <v>36593</v>
          </cell>
          <cell r="B193">
            <v>2708918.17354836</v>
          </cell>
          <cell r="C193">
            <v>1876965.77567958</v>
          </cell>
        </row>
        <row r="194">
          <cell r="A194">
            <v>36594</v>
          </cell>
          <cell r="B194">
            <v>2708918.17354836</v>
          </cell>
          <cell r="C194">
            <v>1876965.77567958</v>
          </cell>
        </row>
        <row r="195">
          <cell r="A195">
            <v>36595</v>
          </cell>
          <cell r="B195">
            <v>2708918.17354836</v>
          </cell>
          <cell r="C195">
            <v>1876965.77567958</v>
          </cell>
        </row>
        <row r="196">
          <cell r="A196">
            <v>36596</v>
          </cell>
          <cell r="B196">
            <v>2708918.17354836</v>
          </cell>
          <cell r="C196">
            <v>1876965.77567958</v>
          </cell>
        </row>
        <row r="197">
          <cell r="A197">
            <v>36597</v>
          </cell>
          <cell r="B197">
            <v>2708918.17354836</v>
          </cell>
          <cell r="C197">
            <v>1876965.77567958</v>
          </cell>
        </row>
        <row r="198">
          <cell r="A198">
            <v>36598</v>
          </cell>
          <cell r="B198">
            <v>2708918.17354836</v>
          </cell>
          <cell r="C198">
            <v>1876965.77567958</v>
          </cell>
        </row>
        <row r="199">
          <cell r="A199">
            <v>36599</v>
          </cell>
          <cell r="B199">
            <v>2708918.17354836</v>
          </cell>
          <cell r="C199">
            <v>1876965.77567958</v>
          </cell>
        </row>
        <row r="200">
          <cell r="A200">
            <v>36600</v>
          </cell>
          <cell r="B200">
            <v>2708918.17354836</v>
          </cell>
          <cell r="C200">
            <v>1876965.77567958</v>
          </cell>
        </row>
        <row r="201">
          <cell r="A201">
            <v>36601</v>
          </cell>
          <cell r="B201">
            <v>2708918.17354836</v>
          </cell>
          <cell r="C201">
            <v>1876965.77567958</v>
          </cell>
        </row>
        <row r="202">
          <cell r="A202">
            <v>36602</v>
          </cell>
          <cell r="B202">
            <v>2708918.17354836</v>
          </cell>
          <cell r="C202">
            <v>1876965.77567958</v>
          </cell>
        </row>
        <row r="203">
          <cell r="A203">
            <v>36603</v>
          </cell>
          <cell r="B203">
            <v>2708918.17354836</v>
          </cell>
          <cell r="C203">
            <v>1876965.77567958</v>
          </cell>
        </row>
        <row r="204">
          <cell r="A204">
            <v>36604</v>
          </cell>
          <cell r="B204">
            <v>2708918.17354836</v>
          </cell>
          <cell r="C204">
            <v>1876965.77567958</v>
          </cell>
        </row>
        <row r="205">
          <cell r="A205">
            <v>36605</v>
          </cell>
          <cell r="B205">
            <v>2708918.17354836</v>
          </cell>
          <cell r="C205">
            <v>1876965.77567958</v>
          </cell>
        </row>
        <row r="206">
          <cell r="A206">
            <v>36606</v>
          </cell>
          <cell r="B206">
            <v>2708918.17354836</v>
          </cell>
          <cell r="C206">
            <v>1876965.77567958</v>
          </cell>
        </row>
        <row r="207">
          <cell r="A207">
            <v>36607</v>
          </cell>
          <cell r="B207">
            <v>2708918.17354836</v>
          </cell>
          <cell r="C207">
            <v>1876965.77567958</v>
          </cell>
        </row>
        <row r="208">
          <cell r="A208">
            <v>36608</v>
          </cell>
          <cell r="B208">
            <v>2708918.17354836</v>
          </cell>
          <cell r="C208">
            <v>1876965.77567958</v>
          </cell>
        </row>
        <row r="209">
          <cell r="A209">
            <v>36609</v>
          </cell>
          <cell r="B209">
            <v>2708918.17354836</v>
          </cell>
          <cell r="C209">
            <v>1876965.77567958</v>
          </cell>
        </row>
        <row r="210">
          <cell r="A210">
            <v>36610</v>
          </cell>
          <cell r="B210">
            <v>2708918.17354836</v>
          </cell>
          <cell r="C210">
            <v>1876965.77567958</v>
          </cell>
        </row>
        <row r="211">
          <cell r="A211">
            <v>36611</v>
          </cell>
          <cell r="B211">
            <v>2708918.17354836</v>
          </cell>
          <cell r="C211">
            <v>1876965.77567958</v>
          </cell>
        </row>
        <row r="212">
          <cell r="A212">
            <v>36612</v>
          </cell>
          <cell r="B212">
            <v>2708918.17354836</v>
          </cell>
          <cell r="C212">
            <v>1876965.77567958</v>
          </cell>
        </row>
        <row r="213">
          <cell r="A213">
            <v>36613</v>
          </cell>
          <cell r="B213">
            <v>2708918.17354836</v>
          </cell>
          <cell r="C213">
            <v>1876965.77567958</v>
          </cell>
        </row>
        <row r="214">
          <cell r="A214">
            <v>36614</v>
          </cell>
          <cell r="B214">
            <v>2708918.17354836</v>
          </cell>
          <cell r="C214">
            <v>1876965.77567958</v>
          </cell>
        </row>
        <row r="215">
          <cell r="A215">
            <v>36615</v>
          </cell>
          <cell r="B215">
            <v>2708918.17354836</v>
          </cell>
          <cell r="C215">
            <v>1876965.77567958</v>
          </cell>
        </row>
        <row r="216">
          <cell r="A216">
            <v>36616</v>
          </cell>
          <cell r="B216">
            <v>2708918.17354836</v>
          </cell>
          <cell r="C216">
            <v>1876965.77567958</v>
          </cell>
        </row>
      </sheetData>
      <sheetData sheetId="20"/>
      <sheetData sheetId="21"/>
      <sheetData sheetId="22"/>
      <sheetData sheetId="23"/>
      <sheetData sheetId="24">
        <row r="1">
          <cell r="B1">
            <v>2</v>
          </cell>
        </row>
        <row r="1">
          <cell r="D1">
            <v>4</v>
          </cell>
        </row>
        <row r="1">
          <cell r="F1">
            <v>6</v>
          </cell>
          <cell r="G1">
            <v>7</v>
          </cell>
          <cell r="H1">
            <v>8</v>
          </cell>
        </row>
        <row r="1">
          <cell r="J1">
            <v>10</v>
          </cell>
          <cell r="K1">
            <v>11</v>
          </cell>
        </row>
        <row r="1">
          <cell r="Q1">
            <v>17</v>
          </cell>
          <cell r="R1">
            <v>18</v>
          </cell>
        </row>
        <row r="1">
          <cell r="T1">
            <v>20</v>
          </cell>
        </row>
        <row r="1">
          <cell r="V1">
            <v>22</v>
          </cell>
          <cell r="W1">
            <v>23</v>
          </cell>
        </row>
        <row r="1">
          <cell r="Y1">
            <v>25</v>
          </cell>
        </row>
        <row r="5">
          <cell r="A5">
            <v>35582</v>
          </cell>
          <cell r="B5">
            <v>878058.0625</v>
          </cell>
        </row>
        <row r="5">
          <cell r="D5">
            <v>619644.4375</v>
          </cell>
          <cell r="E5" t="str">
            <v>N/A</v>
          </cell>
          <cell r="F5">
            <v>144083.28125</v>
          </cell>
          <cell r="G5">
            <v>322295.78125</v>
          </cell>
          <cell r="H5">
            <v>122698.84375</v>
          </cell>
          <cell r="I5">
            <v>365282.9375</v>
          </cell>
          <cell r="J5">
            <v>160695.78125</v>
          </cell>
          <cell r="K5">
            <v>81469.78125</v>
          </cell>
          <cell r="L5">
            <v>275932.34375</v>
          </cell>
          <cell r="M5">
            <v>13087646</v>
          </cell>
          <cell r="N5">
            <v>33420697</v>
          </cell>
          <cell r="O5">
            <v>2248617.866203</v>
          </cell>
          <cell r="P5">
            <v>-213.723577235772</v>
          </cell>
          <cell r="Q5">
            <v>-103696.582761687</v>
          </cell>
          <cell r="R5">
            <v>-20825.3480691057</v>
          </cell>
          <cell r="S5">
            <v>-124521.930830793</v>
          </cell>
          <cell r="T5">
            <v>-87.01171875</v>
          </cell>
          <cell r="U5">
            <v>440735.271944868</v>
          </cell>
          <cell r="V5">
            <v>-5055.31303988821</v>
          </cell>
          <cell r="W5">
            <v>-45039.1947726118</v>
          </cell>
          <cell r="X5">
            <v>0</v>
          </cell>
          <cell r="Y5">
            <v>-1795626.15523374</v>
          </cell>
        </row>
        <row r="6">
          <cell r="A6">
            <v>35612</v>
          </cell>
          <cell r="B6">
            <v>855273.151515152</v>
          </cell>
        </row>
        <row r="6">
          <cell r="D6">
            <v>631175.545454545</v>
          </cell>
          <cell r="E6" t="str">
            <v>N/A</v>
          </cell>
          <cell r="F6">
            <v>249571.666666667</v>
          </cell>
          <cell r="G6">
            <v>335524.878787879</v>
          </cell>
          <cell r="H6">
            <v>120558</v>
          </cell>
          <cell r="I6">
            <v>495732.484848485</v>
          </cell>
          <cell r="J6">
            <v>289601.696969697</v>
          </cell>
          <cell r="K6">
            <v>55992.7272727273</v>
          </cell>
          <cell r="L6">
            <v>268959.727272727</v>
          </cell>
          <cell r="M6">
            <v>14342340</v>
          </cell>
          <cell r="N6">
            <v>32693117</v>
          </cell>
          <cell r="O6">
            <v>2286597.47230293</v>
          </cell>
          <cell r="P6">
            <v>-784.661606578115</v>
          </cell>
          <cell r="Q6">
            <v>-97677.9767552183</v>
          </cell>
          <cell r="R6">
            <v>-17960.6704123182</v>
          </cell>
          <cell r="S6">
            <v>-115638.647167536</v>
          </cell>
          <cell r="T6">
            <v>-55001.486401012</v>
          </cell>
          <cell r="U6">
            <v>453720.864464738</v>
          </cell>
          <cell r="V6">
            <v>-473.118279569893</v>
          </cell>
          <cell r="W6">
            <v>-63497.3020685089</v>
          </cell>
          <cell r="X6">
            <v>0</v>
          </cell>
          <cell r="Y6">
            <v>-1774499.33166311</v>
          </cell>
        </row>
        <row r="7">
          <cell r="A7">
            <v>35643</v>
          </cell>
          <cell r="B7">
            <v>858874.193548387</v>
          </cell>
        </row>
        <row r="7">
          <cell r="D7">
            <v>632651.903225806</v>
          </cell>
          <cell r="E7" t="str">
            <v>N/A</v>
          </cell>
          <cell r="F7">
            <v>258605.580645161</v>
          </cell>
          <cell r="G7">
            <v>366252.258064516</v>
          </cell>
          <cell r="H7">
            <v>172899.580645161</v>
          </cell>
          <cell r="I7">
            <v>460498.419354839</v>
          </cell>
          <cell r="J7">
            <v>233214</v>
          </cell>
          <cell r="K7">
            <v>51910.7741935484</v>
          </cell>
          <cell r="L7">
            <v>283325.548387097</v>
          </cell>
          <cell r="M7">
            <v>14112494</v>
          </cell>
          <cell r="N7">
            <v>38263295</v>
          </cell>
          <cell r="O7">
            <v>2407178.52624921</v>
          </cell>
          <cell r="P7">
            <v>-15802.688172043</v>
          </cell>
          <cell r="Q7">
            <v>-111895.098039216</v>
          </cell>
          <cell r="R7">
            <v>-11317.8684376977</v>
          </cell>
          <cell r="S7">
            <v>-123212.966476913</v>
          </cell>
          <cell r="T7">
            <v>-72339.9430740038</v>
          </cell>
          <cell r="U7">
            <v>534663.219481341</v>
          </cell>
          <cell r="V7">
            <v>-35919.5129664769</v>
          </cell>
          <cell r="W7">
            <v>-56392.0303605313</v>
          </cell>
          <cell r="X7">
            <v>-221.378874130297</v>
          </cell>
          <cell r="Y7">
            <v>-1824005.53447185</v>
          </cell>
        </row>
        <row r="8">
          <cell r="A8">
            <v>35674</v>
          </cell>
          <cell r="B8">
            <v>891227.5</v>
          </cell>
        </row>
        <row r="8">
          <cell r="D8">
            <v>608396.166666667</v>
          </cell>
          <cell r="E8" t="str">
            <v>N/A</v>
          </cell>
          <cell r="F8">
            <v>171334.466666667</v>
          </cell>
          <cell r="G8">
            <v>342162.833333333</v>
          </cell>
          <cell r="H8">
            <v>168458.533333333</v>
          </cell>
          <cell r="I8">
            <v>355403.333333333</v>
          </cell>
          <cell r="J8">
            <v>114789.633333333</v>
          </cell>
          <cell r="K8">
            <v>87213.4</v>
          </cell>
          <cell r="L8">
            <v>261692.6</v>
          </cell>
          <cell r="M8">
            <v>15497509</v>
          </cell>
          <cell r="N8">
            <v>41094227</v>
          </cell>
          <cell r="O8">
            <v>2389107.22222222</v>
          </cell>
          <cell r="P8">
            <v>-13839.7712418301</v>
          </cell>
          <cell r="Q8">
            <v>-126814.77124183</v>
          </cell>
          <cell r="R8">
            <v>-14491.339869281</v>
          </cell>
          <cell r="S8">
            <v>-141306.111111111</v>
          </cell>
          <cell r="T8">
            <v>-64116.4052287582</v>
          </cell>
          <cell r="U8">
            <v>508144.150326798</v>
          </cell>
          <cell r="V8">
            <v>-35776.6013071895</v>
          </cell>
          <cell r="W8">
            <v>-36252.9411764706</v>
          </cell>
          <cell r="X8">
            <v>-1123.26797385621</v>
          </cell>
          <cell r="Y8">
            <v>-1831606.66666667</v>
          </cell>
        </row>
        <row r="9">
          <cell r="A9">
            <v>35704</v>
          </cell>
          <cell r="B9">
            <v>980636.1875</v>
          </cell>
        </row>
        <row r="9">
          <cell r="D9">
            <v>610786.84375</v>
          </cell>
          <cell r="E9" t="str">
            <v>N/A</v>
          </cell>
          <cell r="F9">
            <v>176326.59375</v>
          </cell>
          <cell r="G9">
            <v>438367.65625</v>
          </cell>
          <cell r="H9">
            <v>165468.96875</v>
          </cell>
          <cell r="I9">
            <v>444942.46875</v>
          </cell>
          <cell r="J9">
            <v>160296.75</v>
          </cell>
          <cell r="K9">
            <v>99804.65625</v>
          </cell>
          <cell r="L9">
            <v>281751.4375</v>
          </cell>
          <cell r="M9">
            <v>14850095</v>
          </cell>
          <cell r="N9">
            <v>42187327</v>
          </cell>
          <cell r="O9">
            <v>2445632.63757116</v>
          </cell>
          <cell r="P9">
            <v>-2182.16318785579</v>
          </cell>
          <cell r="Q9">
            <v>-119422.327640734</v>
          </cell>
          <cell r="R9">
            <v>-31554.6173308033</v>
          </cell>
          <cell r="S9">
            <v>-150976.944971537</v>
          </cell>
          <cell r="T9">
            <v>-72315.8604924709</v>
          </cell>
          <cell r="U9">
            <v>275759.032258065</v>
          </cell>
          <cell r="V9">
            <v>-6238.70967741936</v>
          </cell>
          <cell r="W9">
            <v>-43459.0449082859</v>
          </cell>
          <cell r="X9">
            <v>-2607.71663504111</v>
          </cell>
          <cell r="Y9">
            <v>-1810501.07526882</v>
          </cell>
        </row>
        <row r="10">
          <cell r="A10">
            <v>35735</v>
          </cell>
          <cell r="B10">
            <v>1001267.97058824</v>
          </cell>
        </row>
        <row r="10">
          <cell r="D10">
            <v>558900.441176471</v>
          </cell>
          <cell r="E10" t="str">
            <v>N/A</v>
          </cell>
          <cell r="F10">
            <v>65577</v>
          </cell>
          <cell r="G10">
            <v>508955.235294118</v>
          </cell>
          <cell r="H10">
            <v>162373.852941176</v>
          </cell>
          <cell r="I10">
            <v>365460.588235294</v>
          </cell>
          <cell r="J10">
            <v>41104.8823529412</v>
          </cell>
          <cell r="K10">
            <v>115128.382352941</v>
          </cell>
          <cell r="L10">
            <v>228904.352941176</v>
          </cell>
          <cell r="M10">
            <v>14069280</v>
          </cell>
          <cell r="N10">
            <v>39051612</v>
          </cell>
          <cell r="O10">
            <v>2543997.88823912</v>
          </cell>
          <cell r="P10">
            <v>-1994.96426250812</v>
          </cell>
          <cell r="Q10">
            <v>-102436.582196231</v>
          </cell>
          <cell r="R10">
            <v>-44818.5834957765</v>
          </cell>
          <cell r="S10">
            <v>-147255.165692008</v>
          </cell>
          <cell r="T10">
            <v>-74838.4385990196</v>
          </cell>
          <cell r="U10">
            <v>345034.133333333</v>
          </cell>
          <cell r="V10">
            <v>-37127.7128005198</v>
          </cell>
          <cell r="W10">
            <v>-79490.0584795322</v>
          </cell>
          <cell r="X10">
            <v>-9508.73944119558</v>
          </cell>
          <cell r="Y10">
            <v>-1742842.33268356</v>
          </cell>
        </row>
        <row r="11">
          <cell r="A11">
            <v>35765</v>
          </cell>
          <cell r="B11">
            <v>1007149.38709677</v>
          </cell>
        </row>
        <row r="11">
          <cell r="D11">
            <v>450380.35483871</v>
          </cell>
          <cell r="E11" t="str">
            <v>N/A</v>
          </cell>
          <cell r="F11">
            <v>-135428.806451613</v>
          </cell>
          <cell r="G11">
            <v>516638.258064516</v>
          </cell>
          <cell r="H11">
            <v>58937.2258064516</v>
          </cell>
          <cell r="I11">
            <v>249539.096774194</v>
          </cell>
          <cell r="J11">
            <v>-146347.935483871</v>
          </cell>
          <cell r="K11">
            <v>92421</v>
          </cell>
          <cell r="L11">
            <v>211843.838709677</v>
          </cell>
          <cell r="M11">
            <v>12428238</v>
          </cell>
          <cell r="N11">
            <v>24946288</v>
          </cell>
          <cell r="O11">
            <v>2560668.91552655</v>
          </cell>
          <cell r="P11">
            <v>-1882.76641144722</v>
          </cell>
          <cell r="Q11">
            <v>-136725.30438057</v>
          </cell>
          <cell r="R11">
            <v>-49314.5161290323</v>
          </cell>
          <cell r="S11">
            <v>-186039.820509602</v>
          </cell>
          <cell r="T11">
            <v>-76636.9398769926</v>
          </cell>
          <cell r="U11">
            <v>448936.35483871</v>
          </cell>
          <cell r="V11">
            <v>-38447.8787498431</v>
          </cell>
          <cell r="W11">
            <v>-93071.4823647546</v>
          </cell>
          <cell r="X11">
            <v>-21777.3314924062</v>
          </cell>
          <cell r="Y11">
            <v>-1581043.08397138</v>
          </cell>
        </row>
        <row r="12">
          <cell r="A12">
            <v>35796</v>
          </cell>
          <cell r="B12">
            <v>957008.193548387</v>
          </cell>
        </row>
        <row r="12">
          <cell r="D12">
            <v>401967.774193548</v>
          </cell>
          <cell r="E12" t="str">
            <v>N/A</v>
          </cell>
          <cell r="F12">
            <v>-224951.35483871</v>
          </cell>
          <cell r="G12">
            <v>517100.677419355</v>
          </cell>
          <cell r="H12">
            <v>45849.3870967742</v>
          </cell>
          <cell r="I12">
            <v>142643.741935484</v>
          </cell>
          <cell r="J12">
            <v>-211744.419354839</v>
          </cell>
          <cell r="K12">
            <v>105174.290322581</v>
          </cell>
          <cell r="L12">
            <v>68420.0857142857</v>
          </cell>
          <cell r="M12">
            <v>11417741</v>
          </cell>
          <cell r="N12">
            <v>16846419</v>
          </cell>
          <cell r="O12">
            <v>2552613.06042885</v>
          </cell>
          <cell r="P12">
            <v>0</v>
          </cell>
          <cell r="Q12">
            <v>-131198.9876124</v>
          </cell>
          <cell r="R12">
            <v>-42746.8716594353</v>
          </cell>
          <cell r="S12">
            <v>-173945.859271836</v>
          </cell>
          <cell r="T12">
            <v>-76284.3803056027</v>
          </cell>
          <cell r="U12">
            <v>462805.225429164</v>
          </cell>
          <cell r="V12">
            <v>-39961.0136452242</v>
          </cell>
          <cell r="W12">
            <v>-81017.0093693014</v>
          </cell>
          <cell r="X12">
            <v>-22820.0339558574</v>
          </cell>
          <cell r="Y12">
            <v>-1566282.9340376</v>
          </cell>
        </row>
        <row r="13">
          <cell r="A13">
            <v>35827</v>
          </cell>
          <cell r="B13">
            <v>1032232.14285714</v>
          </cell>
        </row>
        <row r="13">
          <cell r="D13">
            <v>552047.857142857</v>
          </cell>
          <cell r="E13" t="str">
            <v>N/A</v>
          </cell>
          <cell r="F13">
            <v>104691.964285714</v>
          </cell>
          <cell r="G13">
            <v>468909.571428571</v>
          </cell>
          <cell r="H13">
            <v>81490.5714285714</v>
          </cell>
          <cell r="I13">
            <v>452341.785714286</v>
          </cell>
          <cell r="J13">
            <v>89119.6071428571</v>
          </cell>
          <cell r="K13">
            <v>79747.7142857143</v>
          </cell>
          <cell r="L13">
            <v>280234.857142857</v>
          </cell>
          <cell r="M13">
            <v>8819821</v>
          </cell>
          <cell r="N13">
            <v>9736332</v>
          </cell>
          <cell r="O13">
            <v>2575142.26538569</v>
          </cell>
          <cell r="P13">
            <v>-31.2238930659983</v>
          </cell>
          <cell r="Q13">
            <v>-125230.089111668</v>
          </cell>
          <cell r="R13">
            <v>-41232.4213311056</v>
          </cell>
          <cell r="S13">
            <v>-166462.510442774</v>
          </cell>
          <cell r="T13">
            <v>-76445.0710108605</v>
          </cell>
          <cell r="U13">
            <v>385052.353104985</v>
          </cell>
          <cell r="V13">
            <v>-38650.4803675856</v>
          </cell>
          <cell r="W13">
            <v>-70312.9351155667</v>
          </cell>
          <cell r="X13">
            <v>-10923.3848510164</v>
          </cell>
          <cell r="Y13">
            <v>-1714796.679198</v>
          </cell>
        </row>
        <row r="14">
          <cell r="A14">
            <v>35855</v>
          </cell>
          <cell r="B14">
            <v>987495.78125</v>
          </cell>
        </row>
        <row r="14">
          <cell r="D14">
            <v>528809.875</v>
          </cell>
          <cell r="E14" t="str">
            <v>N/A</v>
          </cell>
          <cell r="F14">
            <v>130381.84375</v>
          </cell>
          <cell r="G14">
            <v>433362.84375</v>
          </cell>
          <cell r="H14">
            <v>120068.75</v>
          </cell>
          <cell r="I14">
            <v>435132.1875</v>
          </cell>
          <cell r="J14">
            <v>125015.0625</v>
          </cell>
          <cell r="K14">
            <v>83936.15625</v>
          </cell>
          <cell r="L14">
            <v>222606.40625</v>
          </cell>
          <cell r="M14">
            <v>4702396</v>
          </cell>
          <cell r="N14">
            <v>8599617</v>
          </cell>
          <cell r="O14">
            <v>2589499.02534113</v>
          </cell>
          <cell r="P14">
            <v>-2276.30006916934</v>
          </cell>
          <cell r="Q14">
            <v>-135638.433000063</v>
          </cell>
          <cell r="R14">
            <v>-33032.9183172986</v>
          </cell>
          <cell r="S14">
            <v>-168671.351317362</v>
          </cell>
          <cell r="T14">
            <v>-64535.4650066025</v>
          </cell>
          <cell r="U14">
            <v>321208.954285355</v>
          </cell>
          <cell r="V14">
            <v>-37994.0577249576</v>
          </cell>
          <cell r="W14">
            <v>-67527.1018046909</v>
          </cell>
          <cell r="X14">
            <v>-10300.5093378608</v>
          </cell>
          <cell r="Y14">
            <v>-1814070.83569138</v>
          </cell>
        </row>
        <row r="15">
          <cell r="A15">
            <v>35886</v>
          </cell>
          <cell r="B15">
            <v>970074.133333333</v>
          </cell>
        </row>
        <row r="15">
          <cell r="D15">
            <v>573334.133333333</v>
          </cell>
          <cell r="E15" t="str">
            <v>N/A</v>
          </cell>
          <cell r="F15">
            <v>121062.433333333</v>
          </cell>
          <cell r="G15">
            <v>384045.233333333</v>
          </cell>
          <cell r="H15">
            <v>100754.933333333</v>
          </cell>
          <cell r="I15">
            <v>415932.866666667</v>
          </cell>
          <cell r="J15">
            <v>131042.233333333</v>
          </cell>
          <cell r="K15">
            <v>82021.6666666667</v>
          </cell>
          <cell r="L15">
            <v>272131.2</v>
          </cell>
          <cell r="M15">
            <v>3970725</v>
          </cell>
          <cell r="N15">
            <v>9727812</v>
          </cell>
          <cell r="O15">
            <v>2526886.25730994</v>
          </cell>
          <cell r="P15">
            <v>0</v>
          </cell>
          <cell r="Q15">
            <v>-133972.027290448</v>
          </cell>
          <cell r="R15">
            <v>-16500.4548408057</v>
          </cell>
          <cell r="S15">
            <v>-150472.482131254</v>
          </cell>
          <cell r="T15">
            <v>-73356.5302144249</v>
          </cell>
          <cell r="U15">
            <v>287974.821312541</v>
          </cell>
          <cell r="V15">
            <v>-38812.3131903834</v>
          </cell>
          <cell r="W15">
            <v>-63464.2949967511</v>
          </cell>
          <cell r="X15">
            <v>-7705.91293047434</v>
          </cell>
          <cell r="Y15">
            <v>-1805805.75048733</v>
          </cell>
        </row>
        <row r="16">
          <cell r="A16">
            <v>35916</v>
          </cell>
          <cell r="B16">
            <v>938892.625</v>
          </cell>
        </row>
        <row r="16">
          <cell r="D16">
            <v>643346.71875</v>
          </cell>
          <cell r="E16" t="str">
            <v>N/A</v>
          </cell>
          <cell r="F16">
            <v>141928</v>
          </cell>
          <cell r="G16">
            <v>418867.09375</v>
          </cell>
          <cell r="H16">
            <v>89519.90625</v>
          </cell>
          <cell r="I16">
            <v>471558.75</v>
          </cell>
          <cell r="J16">
            <v>229368.03125</v>
          </cell>
          <cell r="K16">
            <v>68395.53125</v>
          </cell>
          <cell r="L16">
            <v>242311.3125</v>
          </cell>
          <cell r="M16">
            <v>7083769</v>
          </cell>
          <cell r="N16">
            <v>16942987</v>
          </cell>
          <cell r="O16">
            <v>2380697.76142866</v>
          </cell>
          <cell r="P16">
            <v>0</v>
          </cell>
          <cell r="Q16">
            <v>-121333.459095768</v>
          </cell>
          <cell r="R16">
            <v>-22696.3466012702</v>
          </cell>
          <cell r="S16">
            <v>-144029.805697038</v>
          </cell>
          <cell r="T16">
            <v>-49492.9587105289</v>
          </cell>
          <cell r="U16">
            <v>324758.316040999</v>
          </cell>
          <cell r="V16">
            <v>-5585.95862415896</v>
          </cell>
          <cell r="W16">
            <v>-66496.2271269572</v>
          </cell>
          <cell r="X16">
            <v>-2213.85902031063</v>
          </cell>
          <cell r="Y16">
            <v>-1736943.24970131</v>
          </cell>
        </row>
        <row r="17">
          <cell r="A17">
            <v>35947</v>
          </cell>
          <cell r="B17">
            <v>925639.533333333</v>
          </cell>
        </row>
        <row r="17">
          <cell r="D17">
            <v>668942.733333333</v>
          </cell>
          <cell r="E17" t="str">
            <v>N/A</v>
          </cell>
          <cell r="F17">
            <v>135630.533333333</v>
          </cell>
          <cell r="G17">
            <v>396473.3</v>
          </cell>
          <cell r="H17">
            <v>91851.5</v>
          </cell>
          <cell r="I17">
            <v>449592.866666667</v>
          </cell>
          <cell r="J17">
            <v>225772.633333333</v>
          </cell>
          <cell r="K17">
            <v>88203.8</v>
          </cell>
          <cell r="L17">
            <v>232332.066666667</v>
          </cell>
          <cell r="M17">
            <v>11049671</v>
          </cell>
          <cell r="N17">
            <v>25215047</v>
          </cell>
          <cell r="O17">
            <v>2416840.82360571</v>
          </cell>
          <cell r="P17">
            <v>-464.753566796368</v>
          </cell>
          <cell r="Q17">
            <v>-118869.520103761</v>
          </cell>
          <cell r="R17">
            <v>-18151.4591439689</v>
          </cell>
          <cell r="S17">
            <v>-137020.97924773</v>
          </cell>
          <cell r="T17">
            <v>-75963.8726445744</v>
          </cell>
          <cell r="U17">
            <v>300860.505836576</v>
          </cell>
          <cell r="V17">
            <v>-18463.7483787289</v>
          </cell>
          <cell r="W17">
            <v>-41847.9896238651</v>
          </cell>
          <cell r="X17">
            <v>-3847.73022049287</v>
          </cell>
          <cell r="Y17">
            <v>-1805338.0998703</v>
          </cell>
        </row>
        <row r="18">
          <cell r="A18">
            <v>35977</v>
          </cell>
          <cell r="B18">
            <v>886099.363636364</v>
          </cell>
        </row>
        <row r="18">
          <cell r="D18">
            <v>647696.606060606</v>
          </cell>
          <cell r="E18" t="str">
            <v>N/A</v>
          </cell>
          <cell r="F18">
            <v>166959.333333333</v>
          </cell>
          <cell r="G18">
            <v>353859.333333333</v>
          </cell>
          <cell r="H18">
            <v>132082.545454545</v>
          </cell>
          <cell r="I18">
            <v>386520.727272727</v>
          </cell>
          <cell r="J18">
            <v>174971.515151515</v>
          </cell>
          <cell r="K18">
            <v>102242.848484848</v>
          </cell>
          <cell r="L18">
            <v>271171</v>
          </cell>
          <cell r="M18">
            <v>12675559</v>
          </cell>
          <cell r="N18">
            <v>32369470</v>
          </cell>
          <cell r="O18">
            <v>2394254.85757404</v>
          </cell>
          <cell r="P18">
            <v>-9579.07313085581</v>
          </cell>
          <cell r="Q18">
            <v>-108756.523926303</v>
          </cell>
          <cell r="R18">
            <v>-11099.3837640697</v>
          </cell>
          <cell r="S18">
            <v>-119855.907690373</v>
          </cell>
          <cell r="T18">
            <v>-76581.3138553257</v>
          </cell>
          <cell r="U18">
            <v>219089.102685028</v>
          </cell>
          <cell r="V18">
            <v>-34363.8936049802</v>
          </cell>
          <cell r="W18">
            <v>-58663.2710809281</v>
          </cell>
          <cell r="X18">
            <v>-3691.37898509715</v>
          </cell>
          <cell r="Y18">
            <v>-1801836.32019116</v>
          </cell>
        </row>
        <row r="19">
          <cell r="A19">
            <v>36008</v>
          </cell>
          <cell r="B19">
            <v>925050.3125</v>
          </cell>
        </row>
        <row r="19">
          <cell r="D19">
            <v>625253.21875</v>
          </cell>
          <cell r="E19" t="str">
            <v>N/A</v>
          </cell>
          <cell r="F19">
            <v>16142.90625</v>
          </cell>
          <cell r="G19">
            <v>336520.71875</v>
          </cell>
          <cell r="H19">
            <v>109980</v>
          </cell>
          <cell r="I19">
            <v>232428.78125</v>
          </cell>
          <cell r="J19">
            <v>-1124.0625</v>
          </cell>
          <cell r="K19">
            <v>101250.34375</v>
          </cell>
          <cell r="L19">
            <v>224665.40625</v>
          </cell>
          <cell r="M19">
            <v>16365077</v>
          </cell>
          <cell r="N19">
            <v>39432421</v>
          </cell>
          <cell r="O19">
            <v>2391858.83166698</v>
          </cell>
          <cell r="P19">
            <v>-16297.3967176005</v>
          </cell>
          <cell r="Q19">
            <v>-107177.985285795</v>
          </cell>
          <cell r="R19">
            <v>-12875.6523926303</v>
          </cell>
          <cell r="S19">
            <v>-120053.637678425</v>
          </cell>
          <cell r="T19">
            <v>-76232.3641429278</v>
          </cell>
          <cell r="U19">
            <v>224958.058228007</v>
          </cell>
          <cell r="V19">
            <v>-35986.6377413067</v>
          </cell>
          <cell r="W19">
            <v>-59466.9559202666</v>
          </cell>
          <cell r="X19">
            <v>-2502.8925359995</v>
          </cell>
          <cell r="Y19">
            <v>-1773045.80896686</v>
          </cell>
        </row>
        <row r="20">
          <cell r="A20">
            <v>36039</v>
          </cell>
          <cell r="B20">
            <v>931878.84375</v>
          </cell>
        </row>
        <row r="20">
          <cell r="D20">
            <v>624814.09375</v>
          </cell>
          <cell r="E20" t="str">
            <v>N/A</v>
          </cell>
          <cell r="F20">
            <v>84922.5625</v>
          </cell>
          <cell r="G20">
            <v>359824.40625</v>
          </cell>
          <cell r="H20">
            <v>129284.59375</v>
          </cell>
          <cell r="I20">
            <v>297621.875</v>
          </cell>
          <cell r="J20">
            <v>45798.53125</v>
          </cell>
          <cell r="K20">
            <v>103126.71875</v>
          </cell>
          <cell r="L20">
            <v>181243.875</v>
          </cell>
          <cell r="M20">
            <v>18261546</v>
          </cell>
          <cell r="N20">
            <v>47767207</v>
          </cell>
          <cell r="O20">
            <v>2450273.21660182</v>
          </cell>
          <cell r="P20">
            <v>-17762.5162127108</v>
          </cell>
          <cell r="Q20">
            <v>-117733.69001297</v>
          </cell>
          <cell r="R20">
            <v>-17226.6212710765</v>
          </cell>
          <cell r="S20">
            <v>-134960.311284047</v>
          </cell>
          <cell r="T20">
            <v>-69846.2453510921</v>
          </cell>
          <cell r="U20">
            <v>227068.936446174</v>
          </cell>
          <cell r="V20">
            <v>-38054.0531776913</v>
          </cell>
          <cell r="W20">
            <v>-44466.6666666667</v>
          </cell>
          <cell r="X20">
            <v>-1550.94033722438</v>
          </cell>
          <cell r="Y20">
            <v>-1828484.30609598</v>
          </cell>
        </row>
        <row r="21">
          <cell r="A21">
            <v>36069</v>
          </cell>
          <cell r="B21">
            <v>880903.35483871</v>
          </cell>
        </row>
        <row r="21">
          <cell r="D21">
            <v>427200.35483871</v>
          </cell>
          <cell r="E21" t="str">
            <v>N/A</v>
          </cell>
          <cell r="F21">
            <v>-66260</v>
          </cell>
          <cell r="G21">
            <v>329295.838709677</v>
          </cell>
          <cell r="H21">
            <v>141555.838709677</v>
          </cell>
          <cell r="I21">
            <v>66473.3870967742</v>
          </cell>
          <cell r="J21">
            <v>-216352.64516129</v>
          </cell>
          <cell r="K21">
            <v>131657.64516129</v>
          </cell>
          <cell r="L21">
            <v>13269.3714285714</v>
          </cell>
          <cell r="M21">
            <v>17294847</v>
          </cell>
          <cell r="N21">
            <v>51669902</v>
          </cell>
          <cell r="O21">
            <v>2363559.13978495</v>
          </cell>
          <cell r="P21">
            <v>-18644.2809532793</v>
          </cell>
          <cell r="Q21">
            <v>-109989.278752437</v>
          </cell>
          <cell r="R21">
            <v>-19145.3499339747</v>
          </cell>
          <cell r="S21">
            <v>-129134.628686411</v>
          </cell>
          <cell r="T21">
            <v>-78998.023095268</v>
          </cell>
          <cell r="U21">
            <v>185001.037540087</v>
          </cell>
          <cell r="V21">
            <v>-34573.571024335</v>
          </cell>
          <cell r="W21">
            <v>-65348.8021128089</v>
          </cell>
          <cell r="X21">
            <v>-4767.27661447526</v>
          </cell>
          <cell r="Y21">
            <v>-1752867.00622524</v>
          </cell>
        </row>
        <row r="22">
          <cell r="A22">
            <v>36100</v>
          </cell>
          <cell r="B22">
            <v>927775</v>
          </cell>
        </row>
        <row r="22">
          <cell r="D22">
            <v>399995.566666667</v>
          </cell>
          <cell r="E22" t="str">
            <v>N/A</v>
          </cell>
          <cell r="F22">
            <v>-216158.433333333</v>
          </cell>
          <cell r="G22">
            <v>302916.866666667</v>
          </cell>
          <cell r="H22">
            <v>56909.3666666667</v>
          </cell>
          <cell r="I22">
            <v>-31561.9333333333</v>
          </cell>
          <cell r="J22">
            <v>-378342.2</v>
          </cell>
          <cell r="K22">
            <v>179859.2</v>
          </cell>
          <cell r="L22">
            <v>55664.2</v>
          </cell>
          <cell r="M22">
            <v>17050425</v>
          </cell>
          <cell r="N22">
            <v>48952799</v>
          </cell>
          <cell r="O22">
            <v>2474275.22697795</v>
          </cell>
          <cell r="P22">
            <v>-16501.6212710765</v>
          </cell>
          <cell r="Q22">
            <v>-116004.766536965</v>
          </cell>
          <cell r="R22">
            <v>-41481.5499351492</v>
          </cell>
          <cell r="S22">
            <v>-157486.316472114</v>
          </cell>
          <cell r="T22">
            <v>-78874.8054474708</v>
          </cell>
          <cell r="U22">
            <v>242691.828793774</v>
          </cell>
          <cell r="V22">
            <v>-39480.5447470817</v>
          </cell>
          <cell r="W22">
            <v>-91599.2542153048</v>
          </cell>
          <cell r="X22">
            <v>-11849.0920881971</v>
          </cell>
          <cell r="Y22">
            <v>-1719766.18028534</v>
          </cell>
        </row>
        <row r="23">
          <cell r="A23">
            <v>36130</v>
          </cell>
          <cell r="B23">
            <v>765766.387096774</v>
          </cell>
        </row>
        <row r="23">
          <cell r="D23">
            <v>166672</v>
          </cell>
          <cell r="E23" t="str">
            <v>N/A</v>
          </cell>
          <cell r="F23">
            <v>-353729.35483871</v>
          </cell>
          <cell r="G23">
            <v>357409.64516129</v>
          </cell>
          <cell r="H23">
            <v>15136.8064516129</v>
          </cell>
          <cell r="I23">
            <v>-75467.4193548387</v>
          </cell>
          <cell r="J23">
            <v>-472429.225806452</v>
          </cell>
          <cell r="K23">
            <v>146782.064516129</v>
          </cell>
          <cell r="L23">
            <v>20800.8387096774</v>
          </cell>
          <cell r="M23">
            <v>13620032</v>
          </cell>
          <cell r="N23">
            <v>39470628</v>
          </cell>
          <cell r="O23">
            <v>2537112.18149868</v>
          </cell>
          <cell r="P23">
            <v>-8833.31241370654</v>
          </cell>
          <cell r="Q23">
            <v>-117795.092255554</v>
          </cell>
          <cell r="R23">
            <v>-42595.3621187398</v>
          </cell>
          <cell r="S23">
            <v>-160390.454374294</v>
          </cell>
          <cell r="T23">
            <v>-78128.9694991841</v>
          </cell>
          <cell r="U23">
            <v>361872.913267227</v>
          </cell>
          <cell r="V23">
            <v>-35952.2718714698</v>
          </cell>
          <cell r="W23">
            <v>-110278.712187775</v>
          </cell>
          <cell r="X23">
            <v>-15771.2752604494</v>
          </cell>
          <cell r="Y23">
            <v>-1636545.24915276</v>
          </cell>
        </row>
        <row r="24">
          <cell r="A24">
            <v>36161</v>
          </cell>
          <cell r="B24">
            <v>813650.612903226</v>
          </cell>
        </row>
        <row r="24">
          <cell r="D24">
            <v>210026.064516129</v>
          </cell>
          <cell r="E24" t="str">
            <v>N/A</v>
          </cell>
          <cell r="F24">
            <v>-330376.870967742</v>
          </cell>
          <cell r="G24">
            <v>414988.322580645</v>
          </cell>
          <cell r="H24">
            <v>11078.2903225806</v>
          </cell>
          <cell r="I24">
            <v>-8146.77419354839</v>
          </cell>
          <cell r="J24">
            <v>-390896.935483871</v>
          </cell>
          <cell r="K24">
            <v>128685.935483871</v>
          </cell>
          <cell r="L24">
            <v>126649.419354839</v>
          </cell>
          <cell r="M24">
            <v>12299199</v>
          </cell>
          <cell r="N24">
            <v>28248700</v>
          </cell>
          <cell r="O24">
            <v>2459105.67188581</v>
          </cell>
          <cell r="P24">
            <v>0</v>
          </cell>
          <cell r="Q24">
            <v>-134533.672891907</v>
          </cell>
          <cell r="R24">
            <v>-45070.0496761618</v>
          </cell>
          <cell r="S24">
            <v>-179603.722568069</v>
          </cell>
          <cell r="T24">
            <v>-79075.0801735522</v>
          </cell>
          <cell r="U24">
            <v>398894.86260454</v>
          </cell>
          <cell r="V24">
            <v>-18542.6334653839</v>
          </cell>
          <cell r="W24">
            <v>-86891.0897314972</v>
          </cell>
          <cell r="X24">
            <v>-14801.1067094259</v>
          </cell>
          <cell r="Y24">
            <v>-1567568.88637364</v>
          </cell>
        </row>
        <row r="25">
          <cell r="A25">
            <v>36192</v>
          </cell>
          <cell r="B25">
            <v>884025.678571429</v>
          </cell>
        </row>
        <row r="25">
          <cell r="D25">
            <v>276322.821428571</v>
          </cell>
          <cell r="E25" t="str">
            <v>N/A</v>
          </cell>
          <cell r="F25">
            <v>-207588.892857143</v>
          </cell>
          <cell r="G25">
            <v>326637.071428571</v>
          </cell>
          <cell r="H25">
            <v>32215.1785714286</v>
          </cell>
          <cell r="I25">
            <v>-5000.57142857143</v>
          </cell>
          <cell r="J25">
            <v>-383415.678571429</v>
          </cell>
          <cell r="K25">
            <v>136072.142857143</v>
          </cell>
          <cell r="L25">
            <v>90421.0344827586</v>
          </cell>
          <cell r="M25">
            <v>9698452</v>
          </cell>
          <cell r="N25">
            <v>21884339</v>
          </cell>
          <cell r="O25">
            <v>2358355.64605959</v>
          </cell>
          <cell r="P25">
            <v>-452.520189362295</v>
          </cell>
          <cell r="Q25">
            <v>-118051.656920078</v>
          </cell>
          <cell r="R25">
            <v>-41091.4786967419</v>
          </cell>
          <cell r="S25">
            <v>-159143.13561682</v>
          </cell>
          <cell r="T25">
            <v>-78412.1066555277</v>
          </cell>
          <cell r="U25">
            <v>290499.234196603</v>
          </cell>
          <cell r="V25">
            <v>-17074.3525480368</v>
          </cell>
          <cell r="W25">
            <v>-75374.791144528</v>
          </cell>
          <cell r="X25">
            <v>-14612.4338624339</v>
          </cell>
          <cell r="Y25">
            <v>-1613300.78668894</v>
          </cell>
        </row>
        <row r="26">
          <cell r="A26">
            <v>36220</v>
          </cell>
          <cell r="B26">
            <v>946870.64516129</v>
          </cell>
        </row>
        <row r="26">
          <cell r="D26">
            <v>416234.838709677</v>
          </cell>
          <cell r="E26" t="str">
            <v>N/A</v>
          </cell>
          <cell r="F26">
            <v>-50873.5161290323</v>
          </cell>
          <cell r="G26">
            <v>220959.741935484</v>
          </cell>
          <cell r="H26">
            <v>159095.580645161</v>
          </cell>
          <cell r="I26">
            <v>-40409.5161290323</v>
          </cell>
          <cell r="J26">
            <v>-385462.870967742</v>
          </cell>
          <cell r="K26">
            <v>165694.419354839</v>
          </cell>
          <cell r="L26">
            <v>109058.483870968</v>
          </cell>
          <cell r="M26">
            <v>7242587</v>
          </cell>
          <cell r="N26">
            <v>15833336</v>
          </cell>
          <cell r="O26">
            <v>2084618.62745098</v>
          </cell>
          <cell r="P26">
            <v>0</v>
          </cell>
          <cell r="Q26">
            <v>-122061.954459203</v>
          </cell>
          <cell r="R26">
            <v>-41686.3377609108</v>
          </cell>
          <cell r="S26">
            <v>-163748.292220114</v>
          </cell>
          <cell r="T26">
            <v>-68536.4010120177</v>
          </cell>
          <cell r="U26">
            <v>63102.1505376344</v>
          </cell>
          <cell r="V26">
            <v>-4901.96078431373</v>
          </cell>
          <cell r="W26">
            <v>-58272.7071473751</v>
          </cell>
          <cell r="X26">
            <v>-11614.0417457306</v>
          </cell>
          <cell r="Y26">
            <v>-1640072.67552182</v>
          </cell>
        </row>
        <row r="27">
          <cell r="A27">
            <v>36251</v>
          </cell>
          <cell r="B27">
            <v>940169.5</v>
          </cell>
        </row>
        <row r="27">
          <cell r="D27">
            <v>507320.766666667</v>
          </cell>
          <cell r="E27">
            <v>176450.333333333</v>
          </cell>
          <cell r="F27">
            <v>97635.4333333333</v>
          </cell>
          <cell r="G27">
            <v>218081.533333333</v>
          </cell>
          <cell r="H27">
            <v>153925.6</v>
          </cell>
          <cell r="I27">
            <v>119934.8</v>
          </cell>
          <cell r="J27">
            <v>-176547.4</v>
          </cell>
          <cell r="K27">
            <v>187035.6</v>
          </cell>
          <cell r="L27">
            <v>152317.064516129</v>
          </cell>
          <cell r="M27">
            <v>5486601</v>
          </cell>
          <cell r="N27">
            <v>15299909</v>
          </cell>
          <cell r="O27">
            <v>2228513.82352941</v>
          </cell>
          <cell r="P27">
            <v>-5125.65359477124</v>
          </cell>
          <cell r="Q27">
            <v>-99766.1764705883</v>
          </cell>
          <cell r="R27">
            <v>-32067.091503268</v>
          </cell>
          <cell r="S27">
            <v>-131833.267973856</v>
          </cell>
          <cell r="T27">
            <v>-69329.6405228758</v>
          </cell>
          <cell r="U27">
            <v>64926.6013071896</v>
          </cell>
          <cell r="V27">
            <v>-23088.2352941176</v>
          </cell>
          <cell r="W27">
            <v>-67205.4901960784</v>
          </cell>
          <cell r="X27">
            <v>-8536.92810457516</v>
          </cell>
          <cell r="Y27">
            <v>-1772550.35947712</v>
          </cell>
        </row>
        <row r="28">
          <cell r="A28">
            <v>36281</v>
          </cell>
          <cell r="B28">
            <v>998740.225806452</v>
          </cell>
        </row>
        <row r="28">
          <cell r="D28">
            <v>635813.193548387</v>
          </cell>
          <cell r="E28">
            <v>195961.612903226</v>
          </cell>
          <cell r="F28">
            <v>129374.387096774</v>
          </cell>
          <cell r="G28">
            <v>191466.903225806</v>
          </cell>
          <cell r="H28">
            <v>185433.290322581</v>
          </cell>
          <cell r="I28">
            <v>90766.1612903226</v>
          </cell>
          <cell r="J28">
            <v>-155720.903225806</v>
          </cell>
          <cell r="K28">
            <v>115575.967741935</v>
          </cell>
          <cell r="L28">
            <v>60002.4516129032</v>
          </cell>
          <cell r="M28">
            <v>7613108</v>
          </cell>
          <cell r="N28">
            <v>19394827</v>
          </cell>
          <cell r="O28">
            <v>2052852.94117647</v>
          </cell>
          <cell r="P28">
            <v>-3009.45604048071</v>
          </cell>
          <cell r="Q28">
            <v>-79373.7191650854</v>
          </cell>
          <cell r="R28">
            <v>-25594.0227703985</v>
          </cell>
          <cell r="S28">
            <v>-104967.741935484</v>
          </cell>
          <cell r="T28">
            <v>-62001.2650221379</v>
          </cell>
          <cell r="U28">
            <v>9626.78684376977</v>
          </cell>
          <cell r="V28">
            <v>-32863.7571157495</v>
          </cell>
          <cell r="W28">
            <v>-61565.2435167616</v>
          </cell>
          <cell r="X28">
            <v>-559.993674889311</v>
          </cell>
          <cell r="Y28">
            <v>-1705797.75458571</v>
          </cell>
        </row>
        <row r="29">
          <cell r="A29">
            <v>36312</v>
          </cell>
          <cell r="B29">
            <v>868232.433333333</v>
          </cell>
        </row>
        <row r="29">
          <cell r="D29">
            <v>604192.5</v>
          </cell>
          <cell r="E29">
            <v>141768.266666667</v>
          </cell>
          <cell r="F29">
            <v>68993.5666666667</v>
          </cell>
          <cell r="G29">
            <v>163323.766666667</v>
          </cell>
          <cell r="H29">
            <v>258383.133333333</v>
          </cell>
          <cell r="I29">
            <v>-50095.4666666667</v>
          </cell>
          <cell r="J29">
            <v>-263767</v>
          </cell>
          <cell r="K29">
            <v>168768.8</v>
          </cell>
          <cell r="L29">
            <v>39582.2258064516</v>
          </cell>
          <cell r="M29">
            <v>10437379</v>
          </cell>
          <cell r="N29">
            <v>25779013</v>
          </cell>
          <cell r="O29">
            <v>1898249.24836601</v>
          </cell>
          <cell r="P29">
            <v>-1355.88235294118</v>
          </cell>
          <cell r="Q29">
            <v>-107502.614379085</v>
          </cell>
          <cell r="R29">
            <v>-18525.1633986928</v>
          </cell>
          <cell r="S29">
            <v>-126027.777777778</v>
          </cell>
          <cell r="T29">
            <v>-52833.0065359477</v>
          </cell>
          <cell r="U29">
            <v>-91858.3986928104</v>
          </cell>
          <cell r="V29">
            <v>-8921.56862745098</v>
          </cell>
          <cell r="W29">
            <v>-49381.2418300654</v>
          </cell>
          <cell r="X29">
            <v>-2710.45751633987</v>
          </cell>
          <cell r="Y29">
            <v>-1692788.62745098</v>
          </cell>
        </row>
        <row r="30">
          <cell r="A30">
            <v>36342</v>
          </cell>
          <cell r="B30">
            <v>874304.838709678</v>
          </cell>
        </row>
        <row r="30">
          <cell r="D30">
            <v>622438.096774194</v>
          </cell>
          <cell r="E30">
            <v>103180.161290323</v>
          </cell>
          <cell r="F30">
            <v>42305.1290322581</v>
          </cell>
          <cell r="G30">
            <v>155595.129032258</v>
          </cell>
          <cell r="H30">
            <v>160031.677419355</v>
          </cell>
          <cell r="I30">
            <v>22139.8064516129</v>
          </cell>
          <cell r="J30">
            <v>-174397.64516129</v>
          </cell>
          <cell r="K30">
            <v>100156.387096774</v>
          </cell>
          <cell r="L30">
            <v>31991.4375</v>
          </cell>
          <cell r="M30">
            <v>14232367</v>
          </cell>
          <cell r="N30">
            <v>33780609</v>
          </cell>
          <cell r="O30">
            <v>2036812.77672359</v>
          </cell>
          <cell r="P30">
            <v>-3081.40417457305</v>
          </cell>
          <cell r="Q30">
            <v>-92076.9133459836</v>
          </cell>
          <cell r="R30">
            <v>-16549.6204933586</v>
          </cell>
          <cell r="S30">
            <v>-108626.533839342</v>
          </cell>
          <cell r="T30">
            <v>-68298.3870967742</v>
          </cell>
          <cell r="U30">
            <v>-3014.38962681847</v>
          </cell>
          <cell r="V30">
            <v>-26852.7514231499</v>
          </cell>
          <cell r="W30">
            <v>-52055.5344718533</v>
          </cell>
          <cell r="X30">
            <v>-2572.16951296648</v>
          </cell>
          <cell r="Y30">
            <v>-1723474.09867173</v>
          </cell>
        </row>
        <row r="31">
          <cell r="A31">
            <v>36373</v>
          </cell>
          <cell r="B31">
            <v>844611.967741936</v>
          </cell>
        </row>
        <row r="31">
          <cell r="D31">
            <v>598573.451612903</v>
          </cell>
          <cell r="E31">
            <v>100940.967741935</v>
          </cell>
          <cell r="F31">
            <v>76656.4838709677</v>
          </cell>
          <cell r="G31">
            <v>189794.870967742</v>
          </cell>
          <cell r="H31">
            <v>176597.387096774</v>
          </cell>
          <cell r="I31">
            <v>51024.3548387097</v>
          </cell>
          <cell r="J31">
            <v>-133940.387096774</v>
          </cell>
          <cell r="K31">
            <v>136846.64516129</v>
          </cell>
          <cell r="L31">
            <v>94403.0909090909</v>
          </cell>
          <cell r="M31">
            <v>16841438</v>
          </cell>
          <cell r="N31">
            <v>38716439</v>
          </cell>
          <cell r="O31">
            <v>2130697.41935484</v>
          </cell>
          <cell r="P31">
            <v>-6632.25806451613</v>
          </cell>
          <cell r="Q31">
            <v>-83583.3333333333</v>
          </cell>
          <cell r="R31">
            <v>-15233.3333333333</v>
          </cell>
          <cell r="S31">
            <v>-101606.451612903</v>
          </cell>
          <cell r="T31">
            <v>-76270.9677419355</v>
          </cell>
          <cell r="U31">
            <v>17948.3870967742</v>
          </cell>
          <cell r="V31">
            <v>-32596.7741935484</v>
          </cell>
          <cell r="W31">
            <v>-47851.6129032258</v>
          </cell>
          <cell r="X31">
            <v>-1264.51612903226</v>
          </cell>
          <cell r="Y31">
            <v>-1791796.77419355</v>
          </cell>
        </row>
        <row r="32">
          <cell r="A32">
            <v>36404</v>
          </cell>
          <cell r="B32">
            <v>882665.233333333</v>
          </cell>
        </row>
        <row r="32">
          <cell r="D32">
            <v>586397.966666667</v>
          </cell>
          <cell r="E32">
            <v>252291.6</v>
          </cell>
          <cell r="F32">
            <v>25232.6333333333</v>
          </cell>
          <cell r="G32">
            <v>181781.566666667</v>
          </cell>
          <cell r="H32">
            <v>127677.866666667</v>
          </cell>
          <cell r="I32">
            <v>26474.3666666667</v>
          </cell>
          <cell r="J32">
            <v>-191102.733333333</v>
          </cell>
          <cell r="K32">
            <v>135319.133333333</v>
          </cell>
          <cell r="L32">
            <v>75119.3703703704</v>
          </cell>
          <cell r="M32">
            <v>18413823</v>
          </cell>
          <cell r="N32">
            <v>43656694</v>
          </cell>
          <cell r="O32">
            <v>2265970</v>
          </cell>
          <cell r="P32">
            <v>-20913.3333333333</v>
          </cell>
          <cell r="Q32">
            <v>-80525</v>
          </cell>
          <cell r="R32">
            <v>-17171.4285714286</v>
          </cell>
          <cell r="S32">
            <v>-95256.6666666667</v>
          </cell>
          <cell r="T32">
            <v>-77593.3333333333</v>
          </cell>
          <cell r="U32">
            <v>76620</v>
          </cell>
          <cell r="V32">
            <v>-34803.3333333333</v>
          </cell>
          <cell r="W32">
            <v>-47126.6666666667</v>
          </cell>
          <cell r="X32">
            <v>-2343.33333333333</v>
          </cell>
          <cell r="Y32">
            <v>-1847336.66666667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false" hidden="true" outlineLevel="0" max="1" min="1" style="1" width="12.7"/>
    <col collapsed="false" customWidth="true" hidden="false" outlineLevel="0" max="2" min="2" style="1" width="14.85"/>
    <col collapsed="false" customWidth="false" hidden="false" outlineLevel="0" max="3" min="3" style="1" width="12.7"/>
    <col collapsed="false" customWidth="true" hidden="false" outlineLevel="0" max="4" min="4" style="2" width="13.56"/>
    <col collapsed="false" customWidth="true" hidden="false" outlineLevel="0" max="5" min="5" style="1" width="14.28"/>
    <col collapsed="false" customWidth="true" hidden="false" outlineLevel="0" max="6" min="6" style="1" width="12.56"/>
    <col collapsed="false" customWidth="false" hidden="false" outlineLevel="0" max="11" min="7" style="1" width="12.7"/>
    <col collapsed="false" customWidth="true" hidden="false" outlineLevel="0" max="12" min="12" style="1" width="13.85"/>
    <col collapsed="false" customWidth="false" hidden="false" outlineLevel="0" max="17" min="13" style="1" width="12.7"/>
    <col collapsed="false" customWidth="true" hidden="false" outlineLevel="0" max="18" min="18" style="1" width="12.28"/>
    <col collapsed="false" customWidth="false" hidden="false" outlineLevel="0" max="19" min="19" style="1" width="12.7"/>
    <col collapsed="false" customWidth="true" hidden="false" outlineLevel="0" max="20" min="20" style="1" width="14.14"/>
    <col collapsed="false" customWidth="true" hidden="false" outlineLevel="0" max="21" min="21" style="1" width="1.28"/>
    <col collapsed="false" customWidth="false" hidden="false" outlineLevel="0" max="24" min="22" style="1" width="12.7"/>
    <col collapsed="false" customWidth="true" hidden="false" outlineLevel="0" max="25" min="25" style="1" width="13.14"/>
    <col collapsed="false" customWidth="true" hidden="false" outlineLevel="0" max="26" min="26" style="1" width="12.28"/>
    <col collapsed="false" customWidth="true" hidden="false" outlineLevel="0" max="27" min="27" style="1" width="8.99"/>
    <col collapsed="false" customWidth="true" hidden="false" outlineLevel="0" max="28" min="28" style="1" width="8.7"/>
    <col collapsed="false" customWidth="false" hidden="false" outlineLevel="0" max="31" min="29" style="1" width="12.7"/>
    <col collapsed="false" customWidth="true" hidden="false" outlineLevel="0" max="32" min="32" style="1" width="10.56"/>
    <col collapsed="false" customWidth="true" hidden="false" outlineLevel="0" max="33" min="33" style="1" width="7.28"/>
    <col collapsed="false" customWidth="false" hidden="false" outlineLevel="0" max="257" min="34" style="1" width="12.7"/>
  </cols>
  <sheetData>
    <row r="1" customFormat="false" ht="18" hidden="false" customHeight="false" outlineLevel="0" collapsed="false">
      <c r="B1" s="3" t="s">
        <v>0</v>
      </c>
      <c r="C1" s="4"/>
      <c r="D1" s="5"/>
      <c r="AJ1" s="2" t="s">
        <v>1</v>
      </c>
      <c r="AK1" s="6" t="n">
        <f aca="false">[2]OPS_SHEET!$V$1</f>
        <v>36586</v>
      </c>
    </row>
    <row r="2" customFormat="false" ht="12.75" hidden="false" customHeight="false" outlineLevel="0" collapsed="false">
      <c r="B2" s="7" t="n">
        <f aca="true">TODAY()</f>
        <v>45926</v>
      </c>
      <c r="AJ2" s="2" t="s">
        <v>2</v>
      </c>
      <c r="AK2" s="6" t="n">
        <f aca="false">[2]OPS_SHEET!$V$2</f>
        <v>36599</v>
      </c>
    </row>
    <row r="3" customFormat="false" ht="14.25" hidden="false" customHeight="false" outlineLevel="0" collapsed="false">
      <c r="A3" s="8"/>
      <c r="B3" s="9" t="n">
        <f aca="false">DATE(YEAR(B11),MONTH(B10),1)</f>
        <v>45505</v>
      </c>
      <c r="C3" s="9" t="n">
        <f aca="false">DATE(YEAR(B11),MONTH(B11)+1,1)</f>
        <v>45566</v>
      </c>
      <c r="D3" s="10"/>
      <c r="E3" s="11"/>
      <c r="F3" s="11"/>
      <c r="G3" s="11"/>
      <c r="H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AC3" s="11"/>
      <c r="AK3" s="12" t="b">
        <f aca="false">TRUE()</f>
        <v>1</v>
      </c>
    </row>
    <row r="4" customFormat="false" ht="14.25" hidden="false" customHeight="false" outlineLevel="0" collapsed="false">
      <c r="A4" s="8"/>
      <c r="B4" s="9" t="n">
        <f aca="false">DATE(YEAR(B12),MONTH(B10),1)</f>
        <v>45139</v>
      </c>
      <c r="C4" s="9" t="n">
        <f aca="false">DATE(YEAR(B12),MONTH(B12)+1,1)</f>
        <v>45200</v>
      </c>
      <c r="D4" s="10"/>
      <c r="E4" s="11"/>
      <c r="F4" s="11"/>
      <c r="G4" s="11"/>
      <c r="H4" s="11"/>
      <c r="L4" s="11"/>
      <c r="M4" s="11"/>
      <c r="N4" s="11"/>
      <c r="O4" s="11"/>
      <c r="P4" s="11"/>
      <c r="Q4" s="11"/>
      <c r="R4" s="13"/>
      <c r="S4" s="14" t="s">
        <v>3</v>
      </c>
      <c r="T4" s="11"/>
      <c r="U4" s="11"/>
      <c r="W4" s="11"/>
      <c r="X4" s="11"/>
      <c r="AC4" s="11"/>
    </row>
    <row r="5" customFormat="false" ht="15" hidden="false" customHeight="false" outlineLevel="0" collapsed="false">
      <c r="A5" s="11"/>
      <c r="C5" s="11"/>
      <c r="D5" s="10"/>
      <c r="E5" s="11"/>
      <c r="F5" s="11"/>
      <c r="G5" s="11"/>
      <c r="H5" s="11"/>
      <c r="J5" s="13"/>
      <c r="K5" s="15" t="s">
        <v>4</v>
      </c>
      <c r="L5" s="16" t="s">
        <v>5</v>
      </c>
      <c r="M5" s="11"/>
      <c r="N5" s="11"/>
      <c r="O5" s="11"/>
      <c r="P5" s="11"/>
      <c r="Q5" s="11"/>
      <c r="R5" s="17" t="n">
        <f aca="false">$B$2</f>
        <v>45926</v>
      </c>
      <c r="S5" s="18" t="e">
        <f aca="false">VLOOKUP($R5,[2]NWP_PGT_DAILY!$A$5:$AX$1000,44)/1000</f>
        <v>#N/A</v>
      </c>
      <c r="T5" s="11"/>
      <c r="U5" s="11"/>
      <c r="V5" s="19" t="s">
        <v>6</v>
      </c>
      <c r="W5" s="11"/>
      <c r="X5" s="11"/>
      <c r="Z5" s="20" t="s">
        <v>7</v>
      </c>
      <c r="AA5" s="20" t="s">
        <v>8</v>
      </c>
      <c r="AC5" s="11"/>
    </row>
    <row r="6" customFormat="false" ht="15.75" hidden="false" customHeight="false" outlineLevel="0" collapsed="false">
      <c r="B6" s="13"/>
      <c r="C6" s="21" t="s">
        <v>9</v>
      </c>
      <c r="D6" s="16" t="s">
        <v>10</v>
      </c>
      <c r="E6" s="16" t="s">
        <v>11</v>
      </c>
      <c r="F6" s="11"/>
      <c r="G6" s="11"/>
      <c r="H6" s="11"/>
      <c r="J6" s="17" t="n">
        <f aca="false">$B$2</f>
        <v>45926</v>
      </c>
      <c r="K6" s="22" t="e">
        <f aca="false">VLOOKUP($J$6,[2]NWP_PGT_DAILY!$A$5:$AX$1000,11)/1000</f>
        <v>#N/A</v>
      </c>
      <c r="L6" s="18" t="e">
        <f aca="false">VLOOKUP($J$6,[2]NWP_PGT_DAILY!$A$5:$AX$1000,12)/1000</f>
        <v>#N/A</v>
      </c>
      <c r="M6" s="11"/>
      <c r="N6" s="11"/>
      <c r="O6" s="11"/>
      <c r="P6" s="11"/>
      <c r="Q6" s="11"/>
      <c r="R6" s="17" t="n">
        <f aca="false">$B$2-1</f>
        <v>45925</v>
      </c>
      <c r="S6" s="18" t="e">
        <f aca="false">VLOOKUP($R6,[2]NWP_PGT_DAILY!$A$5:$BK$1000,44)/1000</f>
        <v>#N/A</v>
      </c>
      <c r="T6" s="11"/>
      <c r="U6" s="11"/>
      <c r="V6" s="23" t="s">
        <v>12</v>
      </c>
      <c r="W6" s="24" t="s">
        <v>13</v>
      </c>
      <c r="X6" s="25" t="s">
        <v>14</v>
      </c>
      <c r="Y6" s="25" t="s">
        <v>15</v>
      </c>
      <c r="Z6" s="26" t="s">
        <v>16</v>
      </c>
      <c r="AA6" s="27" t="s">
        <v>17</v>
      </c>
      <c r="AB6" s="24" t="s">
        <v>18</v>
      </c>
      <c r="AE6" s="28" t="s">
        <v>19</v>
      </c>
    </row>
    <row r="7" customFormat="false" ht="14.25" hidden="false" customHeight="false" outlineLevel="0" collapsed="false">
      <c r="B7" s="17" t="n">
        <f aca="false">$B$2</f>
        <v>45926</v>
      </c>
      <c r="C7" s="29" t="e">
        <f aca="false">VLOOKUP(B7,[2]NWP_PGT_DAILY!$A$5:$AX$1000,2)/1000</f>
        <v>#N/A</v>
      </c>
      <c r="D7" s="18" t="e">
        <f aca="false">VLOOKUP(B7,[2]NWP_PGT_DAILY!$A$5:$AX$1000,5)/1000</f>
        <v>#N/A</v>
      </c>
      <c r="E7" s="18" t="e">
        <f aca="false">SUM(C7:D7)</f>
        <v>#N/A</v>
      </c>
      <c r="F7" s="11"/>
      <c r="G7" s="11"/>
      <c r="H7" s="11"/>
      <c r="J7" s="17" t="n">
        <f aca="false">$B$2-1</f>
        <v>45925</v>
      </c>
      <c r="K7" s="22" t="e">
        <f aca="false">VLOOKUP($J$7,[2]NWP_PGT_DAILY!$A$5:$AX$1000,11)/1000</f>
        <v>#N/A</v>
      </c>
      <c r="L7" s="18" t="e">
        <f aca="false">VLOOKUP($J$7,[2]NWP_PGT_DAILY!$A$5:$AX$1000,12)/1000</f>
        <v>#N/A</v>
      </c>
      <c r="M7" s="11"/>
      <c r="N7" s="13" t="s">
        <v>20</v>
      </c>
      <c r="O7" s="30"/>
      <c r="Q7" s="11"/>
      <c r="R7" s="31" t="s">
        <v>21</v>
      </c>
      <c r="S7" s="18" t="e">
        <f aca="false">SUMIF([2]NWP_PGT_DAILY!$BP$5:$BP$1001,$AK$3,[2]NWP_PGT_DAILY!$AR$5:$AR$1001)/COUNTIF([2]NWP_PGT_DAILY!$BP$5:$BP$1001,$AK$3)/1000</f>
        <v>#DIV/0!</v>
      </c>
      <c r="T7" s="11"/>
      <c r="U7" s="11"/>
      <c r="V7" s="32" t="s">
        <v>22</v>
      </c>
      <c r="W7" s="4" t="s">
        <v>23</v>
      </c>
      <c r="X7" s="33" t="n">
        <v>36600</v>
      </c>
      <c r="Y7" s="33" t="n">
        <v>36604</v>
      </c>
      <c r="Z7" s="34"/>
      <c r="AA7" s="35" t="n">
        <v>130</v>
      </c>
      <c r="AB7" s="36" t="s">
        <v>24</v>
      </c>
      <c r="AE7" s="36" t="s">
        <v>25</v>
      </c>
    </row>
    <row r="8" customFormat="false" ht="14.25" hidden="false" customHeight="false" outlineLevel="0" collapsed="false">
      <c r="B8" s="17" t="n">
        <f aca="false">$B$2-1</f>
        <v>45925</v>
      </c>
      <c r="C8" s="29" t="e">
        <f aca="false">VLOOKUP(B8,[2]NWP_PGT_DAILY!$A$5:$AX$1000,2)/1000</f>
        <v>#N/A</v>
      </c>
      <c r="D8" s="18" t="e">
        <f aca="false">VLOOKUP(B8,[2]NWP_PGT_DAILY!$A$5:$AX$1000,5)/1000</f>
        <v>#N/A</v>
      </c>
      <c r="E8" s="18" t="e">
        <f aca="false">SUM(C8:D8)</f>
        <v>#N/A</v>
      </c>
      <c r="F8" s="11"/>
      <c r="G8" s="11"/>
      <c r="H8" s="11"/>
      <c r="J8" s="31" t="s">
        <v>21</v>
      </c>
      <c r="K8" s="22" t="e">
        <f aca="false">SUMIF([2]NWP_PGT_DAILY!$BP$5:$BP$1001,$AK$3,[2]NWP_PGT_DAILY!$K$5:$K$1001)/COUNTIF([2]NWP_PGT_DAILY!$BP$5:$BP$1001,$AK$3)/1000</f>
        <v>#DIV/0!</v>
      </c>
      <c r="L8" s="37" t="s">
        <v>26</v>
      </c>
      <c r="M8" s="11"/>
      <c r="N8" s="17" t="n">
        <f aca="false">$B$2</f>
        <v>45926</v>
      </c>
      <c r="O8" s="18" t="n">
        <f aca="false">C110</f>
        <v>102.207</v>
      </c>
      <c r="Q8" s="11"/>
      <c r="R8" s="38" t="n">
        <f aca="false">DATE(YEAR($B$2),MONTH($B$2),DAY(R9)-1)</f>
        <v>45900</v>
      </c>
      <c r="S8" s="18" t="n">
        <f aca="false">VLOOKUP(R8,'[2]WestCoast Historicals'!$D$40:$AD$70,18)/1000</f>
        <v>2529.11779682982</v>
      </c>
      <c r="T8" s="11"/>
      <c r="U8" s="11"/>
      <c r="V8" s="32" t="s">
        <v>22</v>
      </c>
      <c r="W8" s="4" t="s">
        <v>27</v>
      </c>
      <c r="X8" s="33" t="n">
        <v>36604</v>
      </c>
      <c r="Y8" s="33" t="n">
        <v>36606</v>
      </c>
      <c r="Z8" s="34"/>
      <c r="AA8" s="35" t="n">
        <v>130</v>
      </c>
      <c r="AB8" s="36" t="s">
        <v>28</v>
      </c>
      <c r="AE8" s="36" t="s">
        <v>29</v>
      </c>
      <c r="AG8" s="39"/>
    </row>
    <row r="9" customFormat="false" ht="14.25" hidden="false" customHeight="false" outlineLevel="0" collapsed="false">
      <c r="B9" s="31" t="s">
        <v>21</v>
      </c>
      <c r="C9" s="40" t="e">
        <f aca="false">SUMIF([2]NWP_PGT_DAILY!$BP$5:$BP$1001,$AK$3,[2]NWP_PGT_DAILY!$B$5:$B$1001)/COUNTIF([2]NWP_PGT_DAILY!$BP$5:$BP$1001,$AK$3)/1000</f>
        <v>#DIV/0!</v>
      </c>
      <c r="D9" s="41" t="e">
        <f aca="false">SUMIF([2]NWP_PGT_DAILY!$BP$5:$BP$1001,$AK$3,[2]NWP_PGT_DAILY!$E$5:$E$1001)/COUNTIF([2]NWP_PGT_DAILY!$BP$5:$BP$1001,$AK$3)/1000</f>
        <v>#DIV/0!</v>
      </c>
      <c r="E9" s="18" t="e">
        <f aca="false">SUM(C9:D9)</f>
        <v>#DIV/0!</v>
      </c>
      <c r="F9" s="11"/>
      <c r="G9" s="11"/>
      <c r="H9" s="11"/>
      <c r="J9" s="38" t="n">
        <f aca="false">DATE(YEAR($B$2),MONTH($B$2),DAY(J10)-1)</f>
        <v>45900</v>
      </c>
      <c r="K9" s="29" t="n">
        <f aca="false">VLOOKUP(J9,'[2]WestCoast Historicals'!$D$68:$AF$70,29)/1000</f>
        <v>82.0918620689655</v>
      </c>
      <c r="L9" s="42" t="n">
        <f aca="false">VLOOKUP(J9,'[2]WestCoast Historicals'!$D$40:$AD$70,15)/1000</f>
        <v>11311.027</v>
      </c>
      <c r="M9" s="11"/>
      <c r="N9" s="43" t="n">
        <f aca="false">$B$2-1</f>
        <v>45925</v>
      </c>
      <c r="O9" s="44" t="n">
        <f aca="false">D110</f>
        <v>79.583</v>
      </c>
      <c r="Q9" s="11"/>
      <c r="R9" s="38" t="n">
        <f aca="false">DATE(YEAR($B$2)-1,MONTH($B$2),1)</f>
        <v>45536</v>
      </c>
      <c r="S9" s="18" t="n">
        <f aca="false">VLOOKUP(R9,'[2]WestCoast Historicals'!$D$40:$AD$70,18)/1000</f>
        <v>2529.11779682982</v>
      </c>
      <c r="T9" s="11"/>
      <c r="U9" s="11"/>
      <c r="V9" s="45" t="s">
        <v>30</v>
      </c>
      <c r="W9" s="45"/>
      <c r="X9" s="46" t="n">
        <v>36606</v>
      </c>
      <c r="Y9" s="46" t="n">
        <v>36609</v>
      </c>
      <c r="Z9" s="34" t="n">
        <f aca="false">310/400</f>
        <v>0.775</v>
      </c>
      <c r="AA9" s="47" t="n">
        <v>90</v>
      </c>
      <c r="AB9" s="48" t="s">
        <v>31</v>
      </c>
      <c r="AE9" s="48"/>
    </row>
    <row r="10" customFormat="false" ht="14.25" hidden="false" customHeight="false" outlineLevel="0" collapsed="false">
      <c r="B10" s="38" t="n">
        <f aca="false">DATE(YEAR($B$2),MONTH($B$2),DAY(B11)-1)</f>
        <v>45900</v>
      </c>
      <c r="D10" s="49"/>
      <c r="E10" s="50" t="n">
        <f aca="false">VLOOKUP(B10,'[2]WestCoast Historicals'!$D$68:$AD$70,2)/1000</f>
        <v>901.51575862069</v>
      </c>
      <c r="F10" s="11"/>
      <c r="G10" s="11"/>
      <c r="H10" s="11"/>
      <c r="J10" s="38" t="n">
        <f aca="false">DATE(YEAR($B$2)-1,MONTH($B$2),1)</f>
        <v>45536</v>
      </c>
      <c r="K10" s="29" t="n">
        <f aca="false">-(VLOOKUP(J10,'[2]WestCoast Historicals'!$D$40:$AF$70,15)-VLOOKUP($B$3,'[2]WestCoast Historicals'!$D$45:$S$70,15))/(C3-B11)/1000</f>
        <v>-0</v>
      </c>
      <c r="L10" s="42" t="n">
        <f aca="false">VLOOKUP(J10,'[2]WestCoast Historicals'!$D$40:$AD$70,15)/1000</f>
        <v>11311.027</v>
      </c>
      <c r="M10" s="11"/>
      <c r="N10" s="11"/>
      <c r="O10" s="11"/>
      <c r="P10" s="51" t="s">
        <v>32</v>
      </c>
      <c r="Q10" s="11"/>
      <c r="R10" s="52" t="n">
        <f aca="false">DATE(YEAR($B$2)-2,MONTH($B$2),1)</f>
        <v>45170</v>
      </c>
      <c r="S10" s="44" t="n">
        <f aca="false">VLOOKUP(R10,'[2]WestCoast Historicals'!$D$40:$AD$70,18)/1000</f>
        <v>2529.11779682982</v>
      </c>
      <c r="T10" s="11"/>
      <c r="U10" s="11"/>
      <c r="V10" s="11"/>
      <c r="W10" s="11"/>
      <c r="X10" s="11"/>
      <c r="Y10" s="11"/>
      <c r="Z10" s="11"/>
      <c r="AA10" s="11"/>
      <c r="AB10" s="48" t="s">
        <v>33</v>
      </c>
      <c r="AE10" s="11"/>
    </row>
    <row r="11" customFormat="false" ht="14.25" hidden="false" customHeight="false" outlineLevel="0" collapsed="false">
      <c r="B11" s="38" t="n">
        <f aca="false">DATE(YEAR($B$2)-1,MONTH($B$2),1)</f>
        <v>45536</v>
      </c>
      <c r="C11" s="11"/>
      <c r="D11" s="53"/>
      <c r="E11" s="18" t="n">
        <f aca="false">VLOOKUP($B$11,'[2]NWP-PGT_HIST'!$A$5:$Y$32,'[2]NWP-PGT_HIST'!$B$1)/1000</f>
        <v>882.665233333333</v>
      </c>
      <c r="F11" s="11"/>
      <c r="I11" s="11"/>
      <c r="J11" s="38" t="n">
        <f aca="false">DATE(YEAR($B$2)-2,MONTH($B$2),1)</f>
        <v>45170</v>
      </c>
      <c r="K11" s="54" t="n">
        <f aca="false">-(VLOOKUP(J11,'[2]WestCoast Historicals'!$D$40:$AF$70,15)-VLOOKUP($B$4,'[2]WestCoast Historicals'!$D$45:$S$70,15))/(C4-B12)/1000</f>
        <v>-0</v>
      </c>
      <c r="L11" s="55" t="n">
        <f aca="false">VLOOKUP(J11,'[2]WestCoast Historicals'!$D$40:$AD$70,15)/1000</f>
        <v>11311.027</v>
      </c>
      <c r="M11" s="11"/>
      <c r="N11" s="11"/>
      <c r="O11" s="8"/>
      <c r="P11" s="56" t="n">
        <f aca="false">$B$2</f>
        <v>45926</v>
      </c>
      <c r="Q11" s="57" t="e">
        <f aca="false">VLOOKUP(P11,[2]NWP_PGT_DAILY!$A$1:$BL$1048576,[2]NWP_PGT_DAILY!$BB$1)/1000</f>
        <v>#VALUE!</v>
      </c>
      <c r="R11" s="58" t="s">
        <v>34</v>
      </c>
      <c r="S11" s="59" t="n">
        <f aca="false">VLOOKUP(R5,[2]PGT_Capabilites!A2:F1258,2)/1000</f>
        <v>2708.91817354836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customFormat="false" ht="14.25" hidden="false" customHeight="false" outlineLevel="0" collapsed="false">
      <c r="B12" s="38" t="n">
        <f aca="false">DATE(YEAR($B$2)-2,MONTH($B$2),1)</f>
        <v>45170</v>
      </c>
      <c r="C12" s="11"/>
      <c r="D12" s="53"/>
      <c r="E12" s="18" t="n">
        <f aca="false">VLOOKUP($B$12,'[2]NWP-PGT_HIST'!$A$5:$Y$32,'[2]NWP-PGT_HIST'!$B$1)/1000</f>
        <v>882.665233333333</v>
      </c>
      <c r="F12" s="11"/>
      <c r="I12" s="11"/>
      <c r="J12" s="60" t="s">
        <v>35</v>
      </c>
      <c r="K12" s="61"/>
      <c r="L12" s="62" t="n">
        <v>18000</v>
      </c>
      <c r="M12" s="11"/>
      <c r="N12" s="11"/>
      <c r="O12" s="8"/>
      <c r="P12" s="56" t="n">
        <f aca="false">$B$2-1</f>
        <v>45925</v>
      </c>
      <c r="Q12" s="57" t="e">
        <f aca="false">VLOOKUP(P12,[2]NWP_PGT_DAILY!$A$1:$BL$1048576,[2]NWP_PGT_DAILY!$BB$1)/1000</f>
        <v>#VALUE!</v>
      </c>
      <c r="R12" s="63" t="n">
        <f aca="false">R9</f>
        <v>45536</v>
      </c>
      <c r="S12" s="22" t="e">
        <f aca="false">S5-S9</f>
        <v>#N/A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customFormat="false" ht="14.25" hidden="false" customHeight="false" outlineLevel="0" collapsed="false">
      <c r="A13" s="11"/>
      <c r="B13" s="58" t="s">
        <v>34</v>
      </c>
      <c r="C13" s="64" t="n">
        <v>1181</v>
      </c>
      <c r="D13" s="65" t="n">
        <v>266</v>
      </c>
      <c r="E13" s="66" t="n">
        <f aca="false">C13+D13</f>
        <v>1447</v>
      </c>
      <c r="F13" s="11"/>
      <c r="H13" s="2" t="s">
        <v>36</v>
      </c>
      <c r="I13" s="2"/>
      <c r="J13" s="67" t="s">
        <v>37</v>
      </c>
      <c r="K13" s="68"/>
      <c r="L13" s="69"/>
      <c r="M13" s="11"/>
      <c r="N13" s="11"/>
      <c r="O13" s="10"/>
      <c r="P13" s="2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customFormat="false" ht="14.25" hidden="false" customHeight="false" outlineLevel="0" collapsed="false">
      <c r="A14" s="11"/>
      <c r="B14" s="11"/>
      <c r="C14" s="11"/>
      <c r="D14" s="10"/>
      <c r="G14" s="11"/>
      <c r="H14" s="70" t="n">
        <f aca="false">B2</f>
        <v>45926</v>
      </c>
      <c r="I14" s="71" t="n">
        <f aca="false">L108</f>
        <v>-230.041</v>
      </c>
      <c r="J14" s="63" t="n">
        <f aca="false">J10</f>
        <v>45536</v>
      </c>
      <c r="K14" s="72" t="e">
        <f aca="false">K6-K10</f>
        <v>#N/A</v>
      </c>
      <c r="L14" s="22"/>
      <c r="M14" s="11"/>
      <c r="N14" s="11"/>
      <c r="O14" s="73"/>
      <c r="P14" s="22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customFormat="false" ht="14.25" hidden="false" customHeight="false" outlineLevel="0" collapsed="false">
      <c r="A15" s="11"/>
      <c r="B15" s="11"/>
      <c r="C15" s="11"/>
      <c r="D15" s="10"/>
      <c r="G15" s="11"/>
      <c r="H15" s="74" t="n">
        <f aca="false">H14-1</f>
        <v>45925</v>
      </c>
      <c r="I15" s="71" t="n">
        <f aca="false">M108</f>
        <v>-204.172</v>
      </c>
      <c r="L15" s="11"/>
      <c r="M15" s="11"/>
      <c r="N15" s="11"/>
      <c r="O15" s="73"/>
      <c r="P15" s="2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customFormat="false" ht="15" hidden="false" customHeight="false" outlineLevel="0" collapsed="false">
      <c r="A16" s="11"/>
      <c r="B16" s="11"/>
      <c r="C16" s="75"/>
      <c r="D16" s="10"/>
      <c r="F16" s="13"/>
      <c r="G16" s="16" t="s">
        <v>38</v>
      </c>
      <c r="H16" s="76" t="n">
        <f aca="false">F21</f>
        <v>45536</v>
      </c>
      <c r="I16" s="71" t="n">
        <f aca="false">C113</f>
        <v>-165.112903225807</v>
      </c>
      <c r="L16" s="11"/>
      <c r="M16" s="11"/>
      <c r="N16" s="2" t="s">
        <v>39</v>
      </c>
      <c r="O16" s="2"/>
      <c r="P16" s="77"/>
      <c r="Q16" s="11"/>
      <c r="R16" s="11"/>
      <c r="S16" s="13"/>
      <c r="T16" s="14" t="s">
        <v>40</v>
      </c>
      <c r="U16" s="78"/>
      <c r="V16" s="11"/>
      <c r="W16" s="11"/>
      <c r="X16" s="11"/>
      <c r="Y16" s="11"/>
      <c r="Z16" s="11"/>
      <c r="AA16" s="11"/>
      <c r="AB16" s="11"/>
      <c r="AC16" s="11"/>
    </row>
    <row r="17" customFormat="false" ht="14.25" hidden="false" customHeight="false" outlineLevel="0" collapsed="false">
      <c r="A17" s="11"/>
      <c r="B17" s="11"/>
      <c r="C17" s="11"/>
      <c r="D17" s="10"/>
      <c r="F17" s="17" t="n">
        <f aca="false">$B$2</f>
        <v>45926</v>
      </c>
      <c r="G17" s="42" t="e">
        <f aca="false">VLOOKUP(F17,[2]NWP_PGT_DAILY!$A$5:$AX$1000,8)/1000</f>
        <v>#N/A</v>
      </c>
      <c r="H17" s="63" t="n">
        <f aca="false">H16</f>
        <v>45536</v>
      </c>
      <c r="I17" s="71" t="n">
        <f aca="false">I16-I14</f>
        <v>64.9280967741935</v>
      </c>
      <c r="L17" s="11"/>
      <c r="M17" s="11"/>
      <c r="N17" s="74" t="n">
        <f aca="true">TODAY()</f>
        <v>45926</v>
      </c>
      <c r="O17" s="71" t="n">
        <f aca="false">C111</f>
        <v>-160.181</v>
      </c>
      <c r="P17" s="11"/>
      <c r="Q17" s="11"/>
      <c r="R17" s="11"/>
      <c r="S17" s="17" t="n">
        <f aca="false">$B$2</f>
        <v>45926</v>
      </c>
      <c r="T17" s="18" t="e">
        <f aca="false">VLOOKUP($S17,[2]NWP_PGT_DAILY!$A$5:$BL$1000,52)/1000</f>
        <v>#N/A</v>
      </c>
      <c r="U17" s="22"/>
      <c r="V17" s="11"/>
      <c r="W17" s="11"/>
      <c r="X17" s="11"/>
      <c r="Y17" s="11"/>
      <c r="Z17" s="11"/>
      <c r="AA17" s="11"/>
      <c r="AB17" s="11"/>
      <c r="AC17" s="11"/>
    </row>
    <row r="18" customFormat="false" ht="14.25" hidden="false" customHeight="false" outlineLevel="0" collapsed="false">
      <c r="A18" s="11"/>
      <c r="B18" s="11"/>
      <c r="C18" s="11"/>
      <c r="D18" s="10"/>
      <c r="F18" s="17" t="n">
        <f aca="false">$B$2-1</f>
        <v>45925</v>
      </c>
      <c r="G18" s="42" t="e">
        <f aca="false">VLOOKUP(F18,[2]NWP_PGT_DAILY!$A$5:$AX$1000,8)/1000</f>
        <v>#N/A</v>
      </c>
      <c r="H18" s="11"/>
      <c r="L18" s="11"/>
      <c r="M18" s="11"/>
      <c r="N18" s="74" t="n">
        <f aca="false">N17-1</f>
        <v>45925</v>
      </c>
      <c r="O18" s="71" t="n">
        <f aca="false">D111</f>
        <v>-164.041</v>
      </c>
      <c r="P18" s="11"/>
      <c r="Q18" s="11"/>
      <c r="R18" s="11"/>
      <c r="S18" s="17" t="n">
        <f aca="false">$B$2-1</f>
        <v>45925</v>
      </c>
      <c r="T18" s="18" t="e">
        <f aca="false">VLOOKUP($S18,[2]NWP_PGT_DAILY!$A$5:$BL$1000,52)/1000</f>
        <v>#N/A</v>
      </c>
      <c r="U18" s="22"/>
      <c r="V18" s="11"/>
      <c r="W18" s="11"/>
      <c r="X18" s="11"/>
      <c r="Y18" s="11"/>
      <c r="Z18" s="11"/>
      <c r="AA18" s="11"/>
      <c r="AB18" s="11"/>
      <c r="AC18" s="11"/>
    </row>
    <row r="19" customFormat="false" ht="14.25" hidden="false" customHeight="false" outlineLevel="0" collapsed="false">
      <c r="A19" s="11"/>
      <c r="B19" s="11"/>
      <c r="C19" s="11"/>
      <c r="D19" s="10"/>
      <c r="F19" s="31" t="s">
        <v>21</v>
      </c>
      <c r="G19" s="42" t="e">
        <f aca="false">SUMIF([2]NWP_PGT_DAILY!$BP$5:$BP$1001,$AK$3,[2]NWP_PGT_DAILY!$H$5:$H$1001)/COUNTIF([2]NWP_PGT_DAILY!$BP$5:$BP$1001,$AK$3)/1000</f>
        <v>#DIV/0!</v>
      </c>
      <c r="H19" s="11"/>
      <c r="I19" s="11"/>
      <c r="K19" s="13"/>
      <c r="L19" s="16" t="s">
        <v>41</v>
      </c>
      <c r="M19" s="11"/>
      <c r="P19" s="11"/>
      <c r="Q19" s="11"/>
      <c r="R19" s="11"/>
      <c r="S19" s="31" t="s">
        <v>21</v>
      </c>
      <c r="T19" s="18" t="e">
        <f aca="false">SUMIF([2]NWP_PGT_DAILY!$BP$5:$BP$1001,$AK$3,[2]NWP_PGT_DAILY!$AZ$5:$AZ$1001)/COUNTIF([2]NWP_PGT_DAILY!$BP$5:$BP$1001,$AK$3)/1000</f>
        <v>#DIV/0!</v>
      </c>
      <c r="U19" s="22"/>
      <c r="V19" s="11"/>
      <c r="W19" s="11"/>
      <c r="X19" s="11"/>
      <c r="Y19" s="11"/>
      <c r="Z19" s="11"/>
      <c r="AA19" s="11"/>
      <c r="AB19" s="11"/>
      <c r="AC19" s="11"/>
    </row>
    <row r="20" customFormat="false" ht="14.25" hidden="false" customHeight="false" outlineLevel="0" collapsed="false">
      <c r="B20" s="11"/>
      <c r="C20" s="11"/>
      <c r="D20" s="10"/>
      <c r="F20" s="38" t="n">
        <f aca="false">DATE(YEAR($B$2),MONTH($B$2),DAY(F21)-1)</f>
        <v>45900</v>
      </c>
      <c r="G20" s="18" t="n">
        <f aca="false">VLOOKUP(F20,'[2]WestCoast Historicals'!$D$68:$AD$70,3)/1000</f>
        <v>308.888551724138</v>
      </c>
      <c r="H20" s="11"/>
      <c r="I20" s="11"/>
      <c r="K20" s="17" t="n">
        <f aca="false">$B$2</f>
        <v>45926</v>
      </c>
      <c r="L20" s="18" t="e">
        <f aca="false">VLOOKUP($K$20,[2]NWP_PGT_DAILY!$A$5:$AX$1000,18)/1000</f>
        <v>#N/A</v>
      </c>
      <c r="M20" s="11"/>
      <c r="N20" s="74"/>
      <c r="P20" s="11"/>
      <c r="Q20" s="11"/>
      <c r="R20" s="11"/>
      <c r="S20" s="38" t="n">
        <f aca="false">DATE(YEAR($B$2),MONTH($B$2),DAY(S21)-1)</f>
        <v>45900</v>
      </c>
      <c r="T20" s="18" t="n">
        <f aca="false">-VLOOKUP(S20,'[2]WestCoast Historicals'!$D$40:$AD$70,20)/1000</f>
        <v>-172.901259272806</v>
      </c>
      <c r="U20" s="22"/>
      <c r="V20" s="11"/>
      <c r="W20" s="11"/>
      <c r="X20" s="11"/>
      <c r="Y20" s="11"/>
      <c r="Z20" s="11"/>
      <c r="AA20" s="11"/>
      <c r="AB20" s="11"/>
      <c r="AC20" s="11"/>
    </row>
    <row r="21" customFormat="false" ht="14.25" hidden="false" customHeight="false" outlineLevel="0" collapsed="false">
      <c r="A21" s="11"/>
      <c r="B21" s="11"/>
      <c r="C21" s="11"/>
      <c r="D21" s="10"/>
      <c r="F21" s="38" t="n">
        <f aca="false">DATE(YEAR($B$2)-1,MONTH($B$2),1)</f>
        <v>45536</v>
      </c>
      <c r="G21" s="42" t="n">
        <f aca="false">VLOOKUP($F$21,'[2]NWP-PGT_HIST'!$A$5:$Y$32,'[2]NWP-PGT_HIST'!$D$1)/1000</f>
        <v>586.397966666667</v>
      </c>
      <c r="H21" s="11"/>
      <c r="I21" s="11"/>
      <c r="K21" s="17" t="n">
        <f aca="false">$B$2-1</f>
        <v>45925</v>
      </c>
      <c r="L21" s="18" t="e">
        <f aca="false">VLOOKUP($K$21,[2]NWP_PGT_DAILY!$A$5:$AX$1000,18)/1000</f>
        <v>#N/A</v>
      </c>
      <c r="M21" s="11"/>
      <c r="N21" s="11"/>
      <c r="O21" s="11"/>
      <c r="P21" s="11"/>
      <c r="Q21" s="2" t="s">
        <v>42</v>
      </c>
      <c r="R21" s="2"/>
      <c r="S21" s="38" t="n">
        <f aca="false">DATE(YEAR($B$2)-1,MONTH($B$2),1)</f>
        <v>45536</v>
      </c>
      <c r="T21" s="18" t="n">
        <f aca="false">VLOOKUP($S$21,'[2]NWP-PGT_HIST'!A5:$Y$32,'[2]NWP-PGT_HIST'!$Q$1)/1000+VLOOKUP($S$21,'[2]NWP-PGT_HIST'!A5:$Y$32,'[2]NWP-PGT_HIST'!$R$1)/1000</f>
        <v>-97.6964285714286</v>
      </c>
      <c r="U21" s="22"/>
      <c r="V21" s="11"/>
      <c r="W21" s="11"/>
      <c r="X21" s="11"/>
      <c r="Y21" s="11"/>
      <c r="Z21" s="11"/>
      <c r="AA21" s="11"/>
      <c r="AB21" s="11"/>
      <c r="AC21" s="11"/>
    </row>
    <row r="22" customFormat="false" ht="14.25" hidden="false" customHeight="false" outlineLevel="0" collapsed="false">
      <c r="A22" s="11"/>
      <c r="B22" s="11"/>
      <c r="C22" s="11"/>
      <c r="D22" s="10"/>
      <c r="F22" s="38" t="n">
        <f aca="false">DATE(YEAR($B$2)-2,MONTH($B$2),1)</f>
        <v>45170</v>
      </c>
      <c r="G22" s="42" t="n">
        <f aca="false">VLOOKUP($F$22,'[2]NWP-PGT_HIST'!$A$5:$Y$32,'[2]NWP-PGT_HIST'!$D$1)/1000</f>
        <v>586.397966666667</v>
      </c>
      <c r="H22" s="11"/>
      <c r="I22" s="11"/>
      <c r="K22" s="31" t="s">
        <v>21</v>
      </c>
      <c r="L22" s="41" t="e">
        <f aca="false">SUMIF([2]NWP_PGT_DAILY!$BP$5:$BP$1001,$AK$3,[2]NWP_PGT_DAILY!$R$5:$R$1001)/COUNTIF([2]NWP_PGT_DAILY!$BP$5:$BP$1001,$AK$3)/1000</f>
        <v>#DIV/0!</v>
      </c>
      <c r="N22" s="11"/>
      <c r="O22" s="11"/>
      <c r="P22" s="11"/>
      <c r="Q22" s="74" t="n">
        <f aca="true">TODAY()</f>
        <v>45926</v>
      </c>
      <c r="R22" s="71" t="e">
        <f aca="false">I108</f>
        <v>#VALUE!</v>
      </c>
      <c r="S22" s="52" t="n">
        <f aca="false">DATE(YEAR($B$2)-2,MONTH($B$2),1)</f>
        <v>45170</v>
      </c>
      <c r="T22" s="18" t="n">
        <f aca="false">VLOOKUP($S$22,'[2]NWP-PGT_HIST'!A6:$Y$32,'[2]NWP-PGT_HIST'!$Q$1)/1000+VLOOKUP($S$22,'[2]NWP-PGT_HIST'!A6:$Y$32,'[2]NWP-PGT_HIST'!$R$1)/1000</f>
        <v>-97.6964285714286</v>
      </c>
      <c r="U22" s="22"/>
      <c r="V22" s="11"/>
      <c r="W22" s="11"/>
      <c r="X22" s="11"/>
      <c r="Y22" s="11"/>
      <c r="Z22" s="11"/>
      <c r="AA22" s="11"/>
      <c r="AB22" s="11"/>
      <c r="AC22" s="11"/>
    </row>
    <row r="23" customFormat="false" ht="14.25" hidden="false" customHeight="false" outlineLevel="0" collapsed="false">
      <c r="A23" s="11"/>
      <c r="B23" s="11"/>
      <c r="C23" s="11"/>
      <c r="D23" s="10"/>
      <c r="E23" s="8"/>
      <c r="F23" s="79" t="s">
        <v>43</v>
      </c>
      <c r="G23" s="80" t="n">
        <v>700</v>
      </c>
      <c r="H23" s="2"/>
      <c r="I23" s="11"/>
      <c r="J23" s="11"/>
      <c r="K23" s="38" t="n">
        <f aca="false">DATE(YEAR($B$2),MONTH($B$2),DAY(K24)-1)</f>
        <v>45900</v>
      </c>
      <c r="L23" s="18" t="n">
        <f aca="false">VLOOKUP(K23,'[2]WestCoast Historicals'!$D$68:$AD$70,5)/1000</f>
        <v>-265.970586206897</v>
      </c>
      <c r="M23" s="11"/>
      <c r="N23" s="11"/>
      <c r="O23" s="11"/>
      <c r="P23" s="11"/>
      <c r="Q23" s="74" t="n">
        <f aca="false">Q22-1</f>
        <v>45925</v>
      </c>
      <c r="R23" s="71" t="e">
        <f aca="false">J108</f>
        <v>#VALUE!</v>
      </c>
      <c r="S23" s="58" t="s">
        <v>34</v>
      </c>
      <c r="T23" s="81" t="n">
        <v>-233</v>
      </c>
      <c r="U23" s="77"/>
      <c r="V23" s="11"/>
      <c r="W23" s="11"/>
      <c r="X23" s="11"/>
      <c r="Y23" s="11"/>
      <c r="Z23" s="11"/>
      <c r="AA23" s="11"/>
      <c r="AB23" s="11"/>
      <c r="AC23" s="11"/>
    </row>
    <row r="24" customFormat="false" ht="14.25" hidden="false" customHeight="false" outlineLevel="0" collapsed="false">
      <c r="A24" s="11"/>
      <c r="E24" s="10"/>
      <c r="F24" s="82" t="s">
        <v>44</v>
      </c>
      <c r="G24" s="83" t="n">
        <v>-500</v>
      </c>
      <c r="H24" s="22"/>
      <c r="J24" s="11"/>
      <c r="K24" s="38" t="n">
        <f aca="false">DATE(YEAR($B$2)-1,MONTH($B$2),1)</f>
        <v>45536</v>
      </c>
      <c r="L24" s="18" t="n">
        <f aca="false">VLOOKUP(K24,'[2]NWP-PGT_HIST'!$A$5:$Y$32,'[2]NWP-PGT_HIST'!$F$1)/1000</f>
        <v>25.2326333333333</v>
      </c>
      <c r="N24" s="11"/>
      <c r="O24" s="11"/>
      <c r="P24" s="11"/>
      <c r="Q24" s="10" t="s">
        <v>45</v>
      </c>
      <c r="R24" s="10"/>
      <c r="S24" s="63" t="n">
        <f aca="false">S21</f>
        <v>45536</v>
      </c>
      <c r="T24" s="22" t="e">
        <f aca="false">T21-T17</f>
        <v>#N/A</v>
      </c>
      <c r="U24" s="22"/>
      <c r="V24" s="11"/>
      <c r="W24" s="11"/>
      <c r="X24" s="11"/>
      <c r="Y24" s="11"/>
      <c r="Z24" s="11"/>
      <c r="AA24" s="11"/>
      <c r="AB24" s="11"/>
      <c r="AC24" s="11"/>
    </row>
    <row r="25" customFormat="false" ht="14.25" hidden="false" customHeight="false" outlineLevel="0" collapsed="false">
      <c r="A25" s="11"/>
      <c r="E25" s="11"/>
      <c r="F25" s="63" t="n">
        <f aca="false">F21</f>
        <v>45536</v>
      </c>
      <c r="G25" s="72" t="e">
        <f aca="false">G17-G21</f>
        <v>#N/A</v>
      </c>
      <c r="H25" s="22"/>
      <c r="J25" s="11"/>
      <c r="K25" s="52" t="n">
        <f aca="false">DATE(YEAR($B$2)-2,MONTH($B$2),1)</f>
        <v>45170</v>
      </c>
      <c r="L25" s="18" t="n">
        <f aca="false">VLOOKUP(K25,'[2]NWP-PGT_HIST'!$A$5:$Y$32,'[2]NWP-PGT_HIST'!$F$1)/1000</f>
        <v>25.2326333333333</v>
      </c>
      <c r="M25" s="11"/>
      <c r="N25" s="11"/>
      <c r="O25" s="11"/>
      <c r="P25" s="11"/>
      <c r="Q25" s="74" t="n">
        <f aca="false">Q22</f>
        <v>45926</v>
      </c>
      <c r="R25" s="71" t="e">
        <f aca="false">-0.024*S5</f>
        <v>#N/A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customFormat="false" ht="14.25" hidden="false" customHeight="false" outlineLevel="0" collapsed="false">
      <c r="A26" s="11"/>
      <c r="E26" s="11"/>
      <c r="F26" s="11"/>
      <c r="H26" s="2" t="s">
        <v>46</v>
      </c>
      <c r="I26" s="2"/>
      <c r="K26" s="79" t="s">
        <v>43</v>
      </c>
      <c r="L26" s="80" t="n">
        <v>400</v>
      </c>
      <c r="O26" s="11"/>
      <c r="P26" s="11"/>
      <c r="Q26" s="74" t="n">
        <f aca="false">Q23</f>
        <v>45925</v>
      </c>
      <c r="R26" s="71" t="e">
        <f aca="false">-0.024*S6</f>
        <v>#N/A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customFormat="false" ht="14.25" hidden="false" customHeight="false" outlineLevel="0" collapsed="false">
      <c r="A27" s="11"/>
      <c r="D27" s="1"/>
      <c r="E27" s="11"/>
      <c r="F27" s="11"/>
      <c r="H27" s="8" t="n">
        <f aca="false">$B$2</f>
        <v>45926</v>
      </c>
      <c r="I27" s="22" t="e">
        <f aca="false">VLOOKUP($H$27,[2]NWP_PGT_DAILY!$A$5:$AX$1000,15)/1000</f>
        <v>#N/A</v>
      </c>
      <c r="K27" s="82" t="s">
        <v>44</v>
      </c>
      <c r="L27" s="83" t="n">
        <v>-449</v>
      </c>
      <c r="O27" s="11"/>
      <c r="P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customFormat="false" ht="14.25" hidden="false" customHeight="false" outlineLevel="0" collapsed="false">
      <c r="A28" s="11"/>
      <c r="D28" s="1"/>
      <c r="E28" s="11"/>
      <c r="F28" s="11"/>
      <c r="H28" s="8" t="n">
        <f aca="false">$B$2-1</f>
        <v>45925</v>
      </c>
      <c r="I28" s="22" t="e">
        <f aca="false">VLOOKUP($H$28,[2]NWP_PGT_DAILY!$A$5:$AX$1000,15)/1000</f>
        <v>#N/A</v>
      </c>
      <c r="K28" s="63" t="n">
        <f aca="false">K24</f>
        <v>45536</v>
      </c>
      <c r="L28" s="72" t="e">
        <f aca="false">L24-L20</f>
        <v>#N/A</v>
      </c>
      <c r="O28" s="11"/>
      <c r="P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customFormat="false" ht="15" hidden="false" customHeight="false" outlineLevel="0" collapsed="false">
      <c r="A29" s="11"/>
      <c r="D29" s="1"/>
      <c r="E29" s="11"/>
      <c r="F29" s="11"/>
      <c r="H29" s="10" t="s">
        <v>21</v>
      </c>
      <c r="I29" s="22" t="e">
        <f aca="false">SUMIF([2]NWP_PGT_DAILY!$BP$5:$BP$1001,$AK$3,[2]NWP_PGT_DAILY!$O$5:$O$1001)/COUNTIF([2]NWP_PGT_DAILY!$BP$5:$BP$1001,$AK$3)/1000</f>
        <v>#DIV/0!</v>
      </c>
      <c r="L29" s="11"/>
      <c r="N29" s="84"/>
      <c r="O29" s="85" t="s">
        <v>47</v>
      </c>
      <c r="P29" s="84"/>
      <c r="Q29" s="85" t="s">
        <v>47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customFormat="false" ht="14.25" hidden="false" customHeight="false" outlineLevel="0" collapsed="false">
      <c r="A30" s="11"/>
      <c r="D30" s="1"/>
      <c r="E30" s="11"/>
      <c r="F30" s="11"/>
      <c r="H30" s="73" t="n">
        <f aca="false">DATE(YEAR($B$2),MONTH($B$2),DAY(H31)-1)</f>
        <v>45900</v>
      </c>
      <c r="I30" s="22" t="n">
        <f aca="false">VLOOKUP(H30,'[2]WestCoast Historicals'!$D$68:$AD$70,4)/1000</f>
        <v>-317.320931034483</v>
      </c>
      <c r="K30" s="11"/>
      <c r="L30" s="11"/>
      <c r="N30" s="86"/>
      <c r="O30" s="87" t="s">
        <v>48</v>
      </c>
      <c r="P30" s="86"/>
      <c r="Q30" s="88" t="s">
        <v>49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customFormat="false" ht="14.25" hidden="false" customHeight="false" outlineLevel="0" collapsed="false">
      <c r="A31" s="11"/>
      <c r="D31" s="1"/>
      <c r="E31" s="11"/>
      <c r="F31" s="11"/>
      <c r="H31" s="73" t="n">
        <f aca="false">DATE(YEAR($B$2)-1,MONTH($B$2),1)</f>
        <v>45536</v>
      </c>
      <c r="I31" s="22" t="n">
        <f aca="false">VLOOKUP(H31,'[2]WestCoast Historicals'!$D$46:$O$69,4)/1000</f>
        <v>-317.320931034483</v>
      </c>
      <c r="N31" s="89" t="n">
        <f aca="false">$B$2</f>
        <v>45926</v>
      </c>
      <c r="O31" s="90" t="e">
        <f aca="false">IF($L20&lt;0,VLOOKUP($N31,[2]NWP_PGT_DAILY!$A$5:BL1000,21)/1000,0)</f>
        <v>#N/A</v>
      </c>
      <c r="P31" s="89" t="n">
        <f aca="false">$B$2</f>
        <v>45926</v>
      </c>
      <c r="Q31" s="90" t="e">
        <f aca="false">IF($L20&gt;0,VLOOKUP($P31,[2]NWP_PGT_DAILY!$A$5:BQ1004,21)/1000,0)</f>
        <v>#N/A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customFormat="false" ht="14.25" hidden="false" customHeight="false" outlineLevel="0" collapsed="false">
      <c r="A32" s="11"/>
      <c r="B32" s="73"/>
      <c r="C32" s="11"/>
      <c r="D32" s="10"/>
      <c r="E32" s="11"/>
      <c r="F32" s="11"/>
      <c r="G32" s="11"/>
      <c r="H32" s="73" t="n">
        <f aca="false">DATE(YEAR($B$2)-2,MONTH($B$2),1)</f>
        <v>45170</v>
      </c>
      <c r="I32" s="22" t="n">
        <v>-263.340129032258</v>
      </c>
      <c r="L32" s="11"/>
      <c r="N32" s="89" t="n">
        <f aca="false">$B$2-1</f>
        <v>45925</v>
      </c>
      <c r="O32" s="90" t="e">
        <f aca="false">IF($L21&lt;0,VLOOKUP($N32,[2]NWP_PGT_DAILY!$A$5:BL1001,21)/1000,0)</f>
        <v>#N/A</v>
      </c>
      <c r="P32" s="89" t="n">
        <f aca="false">$B$2-1</f>
        <v>45925</v>
      </c>
      <c r="Q32" s="90" t="e">
        <f aca="false">IF($L21&gt;0,VLOOKUP($P32,[2]NWP_PGT_DAILY!$A$5:BQ1005,21)/1000,0)</f>
        <v>#N/A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customFormat="false" ht="14.25" hidden="false" customHeight="false" outlineLevel="0" collapsed="false">
      <c r="A33" s="11"/>
      <c r="B33" s="8"/>
      <c r="C33" s="11"/>
      <c r="D33" s="10"/>
      <c r="E33" s="11"/>
      <c r="F33" s="11"/>
      <c r="G33" s="11"/>
      <c r="H33" s="91" t="s">
        <v>50</v>
      </c>
      <c r="I33" s="92" t="n">
        <f aca="false">-460-487</f>
        <v>-947</v>
      </c>
      <c r="L33" s="11"/>
      <c r="N33" s="93" t="s">
        <v>21</v>
      </c>
      <c r="O33" s="90" t="e">
        <f aca="false">IF($L22&lt;0,SUMIF([2]NWP_PGT_DAILY!$BP$5:$BP$1001,$AK$3,[2]NWP_PGT_DAILY!$U$5:$U$1001)/COUNTIF([2]NWP_PGT_DAILY!$BP$5:$BP$1001,$AK$3)/1000,0)</f>
        <v>#DIV/0!</v>
      </c>
      <c r="P33" s="93" t="s">
        <v>21</v>
      </c>
      <c r="Q33" s="90" t="e">
        <f aca="false">IF($L22&gt;0,SUMIF([2]NWP_PGT_DAILY!$BP$5:$BP$1001,$AK$3,[2]NWP_PGT_DAILY!$U$5:$U$1001)/COUNTIF([2]NWP_PGT_DAILY!$BP$5:$BP$1001,$AK$3)/1000,0)</f>
        <v>#DIV/0!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customFormat="false" ht="14.25" hidden="false" customHeight="false" outlineLevel="0" collapsed="false">
      <c r="A34" s="11"/>
      <c r="B34" s="11"/>
      <c r="C34" s="11"/>
      <c r="D34" s="10"/>
      <c r="E34" s="11"/>
      <c r="F34" s="11"/>
      <c r="G34" s="11"/>
      <c r="H34" s="91" t="s">
        <v>51</v>
      </c>
      <c r="I34" s="61" t="n">
        <f aca="false">437+487</f>
        <v>924</v>
      </c>
      <c r="L34" s="11"/>
      <c r="N34" s="94" t="n">
        <f aca="false">DATE(YEAR($B$2),MONTH($B$2),DAY(N35)-1)</f>
        <v>45900</v>
      </c>
      <c r="O34" s="90" t="n">
        <f aca="false">(VLOOKUP(N34,'[2]WestCoast Historicals'!$D$68:$AD$70,6)-VLOOKUP(N34,'[2]WestCoast Historicals'!$D$68:$AE$69,7))/1000</f>
        <v>257.408551724138</v>
      </c>
      <c r="P34" s="94" t="n">
        <f aca="false">N34</f>
        <v>45900</v>
      </c>
      <c r="Q34" s="90" t="n">
        <f aca="false">IF(O34&gt;0,0,(VLOOKUP(P34,'[2]WestCoast Historicals'!$D$68:$AD$70,6)-VLOOKUP(P34,'[2]WestCoast Historicals'!$D$68:$AE$69,7))/1000)</f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customFormat="false" ht="14.25" hidden="false" customHeight="false" outlineLevel="0" collapsed="false">
      <c r="A35" s="11"/>
      <c r="B35" s="11"/>
      <c r="C35" s="11"/>
      <c r="D35" s="10"/>
      <c r="E35" s="11"/>
      <c r="F35" s="11"/>
      <c r="G35" s="11"/>
      <c r="H35" s="63" t="n">
        <f aca="false">H31</f>
        <v>45536</v>
      </c>
      <c r="I35" s="72" t="e">
        <f aca="false">I31-I27</f>
        <v>#N/A</v>
      </c>
      <c r="L35" s="11"/>
      <c r="N35" s="94" t="n">
        <f aca="false">DATE(YEAR($B$2)-1,MONTH($B$2),1)</f>
        <v>45536</v>
      </c>
      <c r="O35" s="90" t="n">
        <f aca="false">IF(P52&lt;0,VLOOKUP($N$35,'[2]NWP-PGT_HIST'!$A$5:$Y$32,'[2]NWP-PGT_HIST'!$G$1)/1000-VLOOKUP($N$35,'[2]NWP-PGT_HIST'!$A$5:$Y$32,'[2]NWP-PGT_HIST'!$H$1)/1000,0)</f>
        <v>54.1037</v>
      </c>
      <c r="P35" s="94" t="n">
        <f aca="false">DATE(YEAR($B$2)-1,MONTH($B$2),1)</f>
        <v>45536</v>
      </c>
      <c r="Q35" s="90" t="n">
        <f aca="false">IF(P52&gt;0,VLOOKUP($N$35,'[2]NWP-PGT_HIST'!$A$5:$Y$32,'[2]NWP-PGT_HIST'!$G$1)/1000-VLOOKUP($N$35,'[2]NWP-PGT_HIST'!$A$5:$Y$32,'[2]NWP-PGT_HIST'!$H$1)/1000,0)</f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customFormat="false" ht="14.25" hidden="false" customHeight="false" outlineLevel="0" collapsed="false">
      <c r="A36" s="11"/>
      <c r="B36" s="11"/>
      <c r="C36" s="11"/>
      <c r="D36" s="10"/>
      <c r="E36" s="11"/>
      <c r="F36" s="11" t="s">
        <v>52</v>
      </c>
      <c r="H36" s="11"/>
      <c r="I36" s="11"/>
      <c r="L36" s="11"/>
      <c r="N36" s="94" t="n">
        <f aca="false">DATE(YEAR($B$2)-2,MONTH($B$2),1)</f>
        <v>45170</v>
      </c>
      <c r="O36" s="90" t="n">
        <f aca="false">IF(P53&lt;0,VLOOKUP($N$36,'[2]NWP-PGT_HIST'!$A$5:$Y$32,'[2]NWP-PGT_HIST'!$G$1)/1000-VLOOKUP($N$36,'[2]NWP-PGT_HIST'!$A$5:$Y$32,'[2]NWP-PGT_HIST'!$H$1)/1000,0)</f>
        <v>54.1037</v>
      </c>
      <c r="P36" s="95" t="n">
        <f aca="false">DATE(YEAR($B$2)-2,MONTH($B$2),1)</f>
        <v>45170</v>
      </c>
      <c r="Q36" s="90" t="n">
        <f aca="false">IF(P53&gt;0,VLOOKUP($N$36,'[2]NWP-PGT_HIST'!$A$5:$Y$32,'[2]NWP-PGT_HIST'!$G$1)/1000-VLOOKUP($N$36,'[2]NWP-PGT_HIST'!$A$5:$Y$32,'[2]NWP-PGT_HIST'!$H$1)/1000,0)</f>
        <v>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customFormat="false" ht="14.25" hidden="false" customHeight="false" outlineLevel="0" collapsed="false">
      <c r="A37" s="11"/>
      <c r="B37" s="11"/>
      <c r="C37" s="11"/>
      <c r="D37" s="10"/>
      <c r="E37" s="11"/>
      <c r="F37" s="11"/>
      <c r="G37" s="11"/>
      <c r="H37" s="11"/>
      <c r="I37" s="11"/>
      <c r="L37" s="11"/>
      <c r="N37" s="96" t="s">
        <v>53</v>
      </c>
      <c r="O37" s="97"/>
      <c r="P37" s="96" t="s">
        <v>53</v>
      </c>
      <c r="Q37" s="97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customFormat="false" ht="14.25" hidden="false" customHeight="false" outlineLevel="0" collapsed="false">
      <c r="A38" s="11"/>
      <c r="B38" s="11"/>
      <c r="C38" s="11"/>
      <c r="D38" s="10"/>
      <c r="E38" s="11"/>
      <c r="F38" s="11"/>
      <c r="G38" s="11"/>
      <c r="H38" s="11"/>
      <c r="I38" s="11"/>
      <c r="N38" s="98" t="s">
        <v>54</v>
      </c>
      <c r="O38" s="99"/>
      <c r="P38" s="98" t="s">
        <v>54</v>
      </c>
      <c r="Q38" s="99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customFormat="false" ht="14.25" hidden="false" customHeight="false" outlineLevel="0" collapsed="false">
      <c r="A39" s="11"/>
      <c r="B39" s="11"/>
      <c r="C39" s="11"/>
      <c r="D39" s="10"/>
      <c r="E39" s="11"/>
      <c r="F39" s="11"/>
      <c r="G39" s="11"/>
      <c r="H39" s="11"/>
      <c r="I39" s="11"/>
      <c r="J39" s="11"/>
      <c r="K39" s="11"/>
      <c r="L39" s="51" t="s">
        <v>55</v>
      </c>
      <c r="M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customFormat="false" ht="14.25" hidden="false" customHeight="false" outlineLevel="0" collapsed="false">
      <c r="A40" s="11"/>
      <c r="B40" s="11"/>
      <c r="C40" s="11"/>
      <c r="D40" s="10"/>
      <c r="E40" s="11"/>
      <c r="F40" s="11"/>
      <c r="G40" s="11"/>
      <c r="H40" s="11"/>
      <c r="I40" s="11"/>
      <c r="J40" s="11"/>
      <c r="K40" s="11"/>
      <c r="L40" s="56" t="n">
        <f aca="false">$B$2</f>
        <v>45926</v>
      </c>
      <c r="M40" s="57" t="e">
        <f aca="false">-VLOOKUP(L40,[2]NWP_PGT_DAILY!$A$5:$BN$1000,[2]NWP_PGT_DAILY!$BN$1)/1000+VLOOKUP(L40,[2]NWP_PGT_DAILY!$A$1:$BN$1048576,[2]NWP_PGT_DAILY!$BM$1)/1000</f>
        <v>#VALUE!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customFormat="false" ht="14.25" hidden="false" customHeight="false" outlineLevel="0" collapsed="false">
      <c r="A41" s="11"/>
      <c r="B41" s="11"/>
      <c r="C41" s="11"/>
      <c r="D41" s="10"/>
      <c r="E41" s="11"/>
      <c r="F41" s="11"/>
      <c r="G41" s="11"/>
      <c r="H41" s="11"/>
      <c r="I41" s="11"/>
      <c r="J41" s="11"/>
      <c r="K41" s="11"/>
      <c r="L41" s="56" t="n">
        <f aca="false">$B$2-1</f>
        <v>45925</v>
      </c>
      <c r="M41" s="57" t="e">
        <f aca="false">-VLOOKUP(L41,[2]NWP_PGT_DAILY!$A$5:$BN$1000,[2]NWP_PGT_DAILY!$BN$1)/1000+VLOOKUP(L41,[2]NWP_PGT_DAILY!$A$1:$BN$1048576,[2]NWP_PGT_DAILY!$BM$1)/1000</f>
        <v>#VALUE!</v>
      </c>
      <c r="O41" s="11"/>
      <c r="P41" s="11"/>
      <c r="Q41" s="11"/>
      <c r="V41" s="11"/>
      <c r="W41" s="11"/>
      <c r="X41" s="11"/>
      <c r="Y41" s="11"/>
      <c r="Z41" s="11"/>
      <c r="AA41" s="11"/>
      <c r="AB41" s="11"/>
      <c r="AC41" s="11"/>
    </row>
    <row r="42" customFormat="false" ht="14.25" hidden="false" customHeight="false" outlineLevel="0" collapsed="false">
      <c r="A42" s="11"/>
      <c r="B42" s="11"/>
      <c r="C42" s="11"/>
      <c r="D42" s="10"/>
      <c r="E42" s="11"/>
      <c r="F42" s="11"/>
      <c r="G42" s="11"/>
      <c r="H42" s="11"/>
      <c r="I42" s="11"/>
      <c r="J42" s="13"/>
      <c r="K42" s="14" t="s">
        <v>56</v>
      </c>
      <c r="L42" s="11"/>
      <c r="M42" s="11"/>
      <c r="N42" s="11"/>
      <c r="O42" s="11"/>
      <c r="P42" s="11"/>
      <c r="Q42" s="11"/>
      <c r="V42" s="13"/>
      <c r="W42" s="14" t="s">
        <v>57</v>
      </c>
      <c r="X42" s="11"/>
      <c r="Y42" s="11"/>
      <c r="Z42" s="11"/>
      <c r="AA42" s="11"/>
      <c r="AB42" s="11"/>
      <c r="AC42" s="11"/>
    </row>
    <row r="43" customFormat="false" ht="14.25" hidden="false" customHeight="false" outlineLevel="0" collapsed="false">
      <c r="A43" s="11"/>
      <c r="B43" s="11"/>
      <c r="C43" s="11"/>
      <c r="D43" s="10"/>
      <c r="E43" s="11"/>
      <c r="F43" s="11"/>
      <c r="G43" s="11"/>
      <c r="H43" s="11"/>
      <c r="I43" s="11"/>
      <c r="J43" s="17" t="n">
        <f aca="false">$B$2</f>
        <v>45926</v>
      </c>
      <c r="K43" s="18" t="e">
        <f aca="false">VLOOKUP($J43,[2]NWP_PGT_DAILY!$A$5:$BL$1000,56)/1000</f>
        <v>#N/A</v>
      </c>
      <c r="L43" s="11"/>
      <c r="M43" s="11"/>
      <c r="N43" s="11"/>
      <c r="O43" s="11"/>
      <c r="P43" s="11"/>
      <c r="Q43" s="11"/>
      <c r="V43" s="17" t="n">
        <f aca="false">$B$2</f>
        <v>45926</v>
      </c>
      <c r="W43" s="18" t="e">
        <f aca="false">VLOOKUP($V43,[2]NWP_PGT_DAILY!$A$5:$AX$1000,43)/1000</f>
        <v>#N/A</v>
      </c>
      <c r="X43" s="11"/>
      <c r="Y43" s="11"/>
      <c r="Z43" s="11"/>
      <c r="AA43" s="11"/>
      <c r="AB43" s="11"/>
      <c r="AC43" s="11"/>
    </row>
    <row r="44" customFormat="false" ht="14.25" hidden="false" customHeight="false" outlineLevel="0" collapsed="false">
      <c r="A44" s="11"/>
      <c r="B44" s="11"/>
      <c r="C44" s="11"/>
      <c r="D44" s="10"/>
      <c r="E44" s="11"/>
      <c r="F44" s="11"/>
      <c r="G44" s="11"/>
      <c r="H44" s="11"/>
      <c r="I44" s="11"/>
      <c r="J44" s="17" t="n">
        <f aca="false">$B$2-1</f>
        <v>45925</v>
      </c>
      <c r="K44" s="18" t="e">
        <f aca="false">VLOOKUP($J44,[2]NWP_PGT_DAILY!$A$5:$BL$1000,56)/1000</f>
        <v>#N/A</v>
      </c>
      <c r="L44" s="11"/>
      <c r="M44" s="11"/>
      <c r="N44" s="11"/>
      <c r="O44" s="11"/>
      <c r="P44" s="11"/>
      <c r="Q44" s="11"/>
      <c r="V44" s="17" t="n">
        <f aca="false">$B$2-1</f>
        <v>45925</v>
      </c>
      <c r="W44" s="18" t="e">
        <f aca="false">VLOOKUP($V44,[2]NWP_PGT_DAILY!$A$5:$AX$1000,43)/1000</f>
        <v>#N/A</v>
      </c>
      <c r="X44" s="11"/>
      <c r="Y44" s="11"/>
      <c r="Z44" s="11"/>
      <c r="AA44" s="11"/>
      <c r="AB44" s="11"/>
      <c r="AC44" s="11"/>
    </row>
    <row r="45" customFormat="false" ht="14.25" hidden="false" customHeight="false" outlineLevel="0" collapsed="false">
      <c r="A45" s="11"/>
      <c r="B45" s="11"/>
      <c r="C45" s="11"/>
      <c r="D45" s="10"/>
      <c r="E45" s="11"/>
      <c r="F45" s="11"/>
      <c r="G45" s="11"/>
      <c r="H45" s="11"/>
      <c r="I45" s="11"/>
      <c r="J45" s="31" t="s">
        <v>21</v>
      </c>
      <c r="K45" s="18" t="e">
        <f aca="false">SUMIF([2]NWP_PGT_DAILY!$BP$5:$BP$1001,$AK$3,[2]NWP_PGT_DAILY!$BD$5:$BD$1001)/COUNTIF([2]NWP_PGT_DAILY!$BP$5:$BP$1001,$AK$3)/1000</f>
        <v>#DIV/0!</v>
      </c>
      <c r="L45" s="11"/>
      <c r="M45" s="11"/>
      <c r="N45" s="11"/>
      <c r="O45" s="11"/>
      <c r="P45" s="11"/>
      <c r="Q45" s="11"/>
      <c r="S45" s="13"/>
      <c r="T45" s="16" t="s">
        <v>58</v>
      </c>
      <c r="V45" s="31" t="s">
        <v>21</v>
      </c>
      <c r="W45" s="18" t="e">
        <f aca="false">SUMIF([2]NWP_PGT_DAILY!$BP$5:$BP$1001,$AK$3,[2]NWP_PGT_DAILY!$AQ$5:$AQ$1001)/COUNTIF([2]NWP_PGT_DAILY!$BP$5:$BP$1001,$AK$3)/1000</f>
        <v>#DIV/0!</v>
      </c>
      <c r="X45" s="11"/>
      <c r="Y45" s="11"/>
      <c r="Z45" s="11"/>
      <c r="AA45" s="11"/>
      <c r="AB45" s="11"/>
      <c r="AC45" s="11"/>
    </row>
    <row r="46" customFormat="false" ht="14.25" hidden="false" customHeight="false" outlineLevel="0" collapsed="false">
      <c r="A46" s="11"/>
      <c r="B46" s="11"/>
      <c r="C46" s="11"/>
      <c r="D46" s="10"/>
      <c r="E46" s="11"/>
      <c r="F46" s="11"/>
      <c r="G46" s="11"/>
      <c r="H46" s="11"/>
      <c r="I46" s="11"/>
      <c r="J46" s="38" t="n">
        <f aca="false">DATE(YEAR($B$2),MONTH($B$2),DAY(J47)-1)</f>
        <v>45900</v>
      </c>
      <c r="K46" s="18" t="n">
        <f aca="false">-VLOOKUP(J46,'[2]WestCoast Historicals'!$D$68:$AD$70,22)/1000</f>
        <v>-80.224980805421</v>
      </c>
      <c r="L46" s="11"/>
      <c r="M46" s="11"/>
      <c r="N46" s="11"/>
      <c r="O46" s="11"/>
      <c r="P46" s="11"/>
      <c r="Q46" s="2" t="s">
        <v>59</v>
      </c>
      <c r="R46" s="2"/>
      <c r="S46" s="17" t="n">
        <f aca="false">$B$2</f>
        <v>45926</v>
      </c>
      <c r="T46" s="18" t="e">
        <f aca="false">VLOOKUP($S46,[2]NWP_PGT_DAILY!$A$5:$AX$1000,29)/1000</f>
        <v>#N/A</v>
      </c>
      <c r="V46" s="38" t="n">
        <f aca="false">DATE(YEAR($B$2),MONTH($B$2),DAY(V47)-1)</f>
        <v>45900</v>
      </c>
      <c r="W46" s="18" t="n">
        <f aca="false">VLOOKUP(V46,'[2]WestCoast Historicals'!$D$40:$AH$70,31)/1000</f>
        <v>94.0867931034483</v>
      </c>
      <c r="X46" s="11"/>
      <c r="Y46" s="11"/>
      <c r="Z46" s="11"/>
      <c r="AA46" s="11"/>
      <c r="AB46" s="11"/>
      <c r="AC46" s="11"/>
    </row>
    <row r="47" customFormat="false" ht="14.25" hidden="false" customHeight="false" outlineLevel="0" collapsed="false">
      <c r="A47" s="11"/>
      <c r="B47" s="11"/>
      <c r="C47" s="11"/>
      <c r="D47" s="10"/>
      <c r="E47" s="11"/>
      <c r="F47" s="11"/>
      <c r="G47" s="11"/>
      <c r="H47" s="11"/>
      <c r="I47" s="11"/>
      <c r="J47" s="38" t="n">
        <f aca="false">DATE(YEAR($B$2)-1,MONTH($B$2),1)</f>
        <v>45536</v>
      </c>
      <c r="K47" s="18" t="n">
        <f aca="false">VLOOKUP($J47,'[2]NWP-PGT_HIST'!$A$5:$Y$32,'[2]NWP-PGT_HIST'!$T$1)/1000</f>
        <v>-77.5933333333333</v>
      </c>
      <c r="M47" s="11"/>
      <c r="N47" s="11"/>
      <c r="O47" s="13"/>
      <c r="P47" s="16" t="s">
        <v>60</v>
      </c>
      <c r="Q47" s="74" t="n">
        <f aca="true">TODAY()</f>
        <v>45926</v>
      </c>
      <c r="R47" s="71" t="n">
        <f aca="false">F112</f>
        <v>-150.864</v>
      </c>
      <c r="S47" s="17" t="n">
        <f aca="false">$B$2-1</f>
        <v>45925</v>
      </c>
      <c r="T47" s="18" t="e">
        <f aca="false">VLOOKUP($S47,[2]NWP_PGT_DAILY!$A$5:$AX$1000,29)/1000</f>
        <v>#N/A</v>
      </c>
      <c r="U47" s="10"/>
      <c r="V47" s="38" t="n">
        <f aca="false">DATE(YEAR($B$2)-1,MONTH($B$2),1)</f>
        <v>45536</v>
      </c>
      <c r="W47" s="18" t="n">
        <v>48.2</v>
      </c>
      <c r="Z47" s="11"/>
      <c r="AA47" s="11"/>
      <c r="AB47" s="11"/>
      <c r="AC47" s="11"/>
    </row>
    <row r="48" customFormat="false" ht="14.25" hidden="false" customHeight="false" outlineLevel="0" collapsed="false">
      <c r="A48" s="11"/>
      <c r="B48" s="11"/>
      <c r="C48" s="11"/>
      <c r="D48" s="10"/>
      <c r="E48" s="11"/>
      <c r="F48" s="11"/>
      <c r="G48" s="11"/>
      <c r="H48" s="11"/>
      <c r="I48" s="11"/>
      <c r="J48" s="52" t="n">
        <f aca="false">DATE(YEAR($B$2)-2,MONTH($B$2),1)</f>
        <v>45170</v>
      </c>
      <c r="K48" s="18" t="n">
        <f aca="false">VLOOKUP($J48,'[2]NWP-PGT_HIST'!$A$5:$Y$32,'[2]NWP-PGT_HIST'!$T$1)/1000</f>
        <v>-77.5933333333333</v>
      </c>
      <c r="M48" s="11"/>
      <c r="N48" s="11"/>
      <c r="O48" s="17" t="n">
        <f aca="false">$B$2</f>
        <v>45926</v>
      </c>
      <c r="P48" s="18" t="e">
        <f aca="false">VLOOKUP($O48,[2]NWP_PGT_DAILY!$A$5:$AX$1000,24)/1000</f>
        <v>#N/A</v>
      </c>
      <c r="Q48" s="74" t="n">
        <f aca="false">Q47-1</f>
        <v>45925</v>
      </c>
      <c r="R48" s="71" t="n">
        <f aca="false">G112</f>
        <v>-161.178</v>
      </c>
      <c r="S48" s="31" t="s">
        <v>21</v>
      </c>
      <c r="T48" s="18" t="e">
        <f aca="false">SUMIF([2]NWP_PGT_DAILY!$BP$5:$BP$1001,$AK$3,[2]NWP_PGT_DAILY!$AC$5:$AC$1001)/COUNTIF([2]NWP_PGT_DAILY!$BP$5:$BP$1001,$AK$3)/1000</f>
        <v>#DIV/0!</v>
      </c>
      <c r="U48" s="22"/>
      <c r="V48" s="52" t="n">
        <f aca="false">DATE(YEAR($B$2)-2,MONTH($B$2),1)</f>
        <v>45170</v>
      </c>
      <c r="W48" s="44" t="n">
        <v>49</v>
      </c>
      <c r="Z48" s="11"/>
      <c r="AA48" s="11"/>
      <c r="AB48" s="11"/>
      <c r="AC48" s="11"/>
    </row>
    <row r="49" customFormat="false" ht="14.25" hidden="false" customHeight="false" outlineLevel="0" collapsed="false">
      <c r="A49" s="11"/>
      <c r="B49" s="11"/>
      <c r="C49" s="11"/>
      <c r="D49" s="10"/>
      <c r="E49" s="11"/>
      <c r="F49" s="11"/>
      <c r="G49" s="11"/>
      <c r="H49" s="11"/>
      <c r="I49" s="11"/>
      <c r="J49" s="58" t="s">
        <v>34</v>
      </c>
      <c r="K49" s="81" t="n">
        <v>-90</v>
      </c>
      <c r="M49" s="11"/>
      <c r="N49" s="11"/>
      <c r="O49" s="17" t="n">
        <f aca="false">$B$2-1</f>
        <v>45925</v>
      </c>
      <c r="P49" s="18" t="e">
        <f aca="false">VLOOKUP($O49,[2]NWP_PGT_DAILY!$A$5:$AX$1000,24)/1000</f>
        <v>#N/A</v>
      </c>
      <c r="Q49" s="11"/>
      <c r="S49" s="38" t="n">
        <f aca="false">DATE(YEAR($B$2),MONTH($B$2),DAY(S50)-1)</f>
        <v>45900</v>
      </c>
      <c r="T49" s="18" t="n">
        <f aca="false">VLOOKUP(S49,'[2]WestCoast Historicals'!$D$40:$AD$70,9)/1000</f>
        <v>-448.507310344828</v>
      </c>
      <c r="U49" s="22"/>
      <c r="V49" s="58" t="s">
        <v>34</v>
      </c>
      <c r="W49" s="65" t="n">
        <v>152</v>
      </c>
      <c r="Z49" s="11"/>
      <c r="AA49" s="11"/>
      <c r="AB49" s="11"/>
      <c r="AC49" s="11"/>
    </row>
    <row r="50" customFormat="false" ht="14.25" hidden="false" customHeight="false" outlineLevel="0" collapsed="false">
      <c r="A50" s="11"/>
      <c r="B50" s="11"/>
      <c r="C50" s="11"/>
      <c r="D50" s="10"/>
      <c r="E50" s="11"/>
      <c r="F50" s="11"/>
      <c r="G50" s="13"/>
      <c r="H50" s="14" t="s">
        <v>61</v>
      </c>
      <c r="I50" s="11"/>
      <c r="J50" s="11"/>
      <c r="M50" s="11"/>
      <c r="N50" s="11"/>
      <c r="O50" s="31" t="s">
        <v>21</v>
      </c>
      <c r="P50" s="18" t="e">
        <f aca="false">SUMIF([2]NWP_PGT_DAILY!$BP$5:$BP$1001,$AK$3,[2]NWP_PGT_DAILY!$X$5:$X$1001)/COUNTIF([2]NWP_PGT_DAILY!$BP$5:$BP$1001,$AK$3)/1000</f>
        <v>#DIV/0!</v>
      </c>
      <c r="Q50" s="11"/>
      <c r="S50" s="38" t="n">
        <f aca="false">DATE(YEAR($B$2)-1,MONTH($B$2),1)</f>
        <v>45536</v>
      </c>
      <c r="T50" s="18" t="n">
        <f aca="false">VLOOKUP($S$50,'[2]NWP-PGT_HIST'!$A$5:$Y$32,'[2]NWP-PGT_HIST'!$J$1)/1000</f>
        <v>-191.102733333333</v>
      </c>
      <c r="U50" s="22"/>
      <c r="V50" s="11"/>
      <c r="Z50" s="11"/>
      <c r="AA50" s="11"/>
      <c r="AB50" s="11"/>
      <c r="AC50" s="11"/>
    </row>
    <row r="51" customFormat="false" ht="15" hidden="false" customHeight="false" outlineLevel="0" collapsed="false">
      <c r="A51" s="11"/>
      <c r="B51" s="100"/>
      <c r="C51" s="11"/>
      <c r="D51" s="10"/>
      <c r="E51" s="11"/>
      <c r="F51" s="11"/>
      <c r="G51" s="17" t="n">
        <f aca="false">$B$2</f>
        <v>45926</v>
      </c>
      <c r="H51" s="18" t="e">
        <f aca="false">VLOOKUP($G51,[2]NWP_PGT_DAILY!$A$5:$BL$1000,58)/1000</f>
        <v>#N/A</v>
      </c>
      <c r="J51" s="11"/>
      <c r="M51" s="11"/>
      <c r="N51" s="11"/>
      <c r="O51" s="38" t="n">
        <f aca="false">DATE(YEAR($B$2),MONTH($B$2),DAY(O52)-1)</f>
        <v>45900</v>
      </c>
      <c r="P51" s="18" t="n">
        <f aca="false">VLOOKUP(O51,'[2]WestCoast Historicals'!$D$40:$AD$70,8)/1000</f>
        <v>-95.2534482758621</v>
      </c>
      <c r="Q51" s="11"/>
      <c r="S51" s="52" t="n">
        <f aca="false">DATE(YEAR($B$2)-2,MONTH($B$2),1)</f>
        <v>45170</v>
      </c>
      <c r="T51" s="18" t="n">
        <f aca="false">VLOOKUP($S$51,'[2]NWP-PGT_HIST'!$A$5:$Y$32,'[2]NWP-PGT_HIST'!$J$1)/1000</f>
        <v>-191.102733333333</v>
      </c>
      <c r="U51" s="22"/>
      <c r="W51" s="13"/>
      <c r="X51" s="14" t="s">
        <v>62</v>
      </c>
      <c r="Z51" s="11"/>
      <c r="AA51" s="11"/>
      <c r="AB51" s="11"/>
      <c r="AC51" s="11"/>
      <c r="AL51" s="101"/>
      <c r="AM51" s="102" t="s">
        <v>47</v>
      </c>
      <c r="AN51" s="102"/>
      <c r="AO51" s="102"/>
    </row>
    <row r="52" customFormat="false" ht="15.75" hidden="false" customHeight="false" outlineLevel="0" collapsed="false">
      <c r="A52" s="11"/>
      <c r="B52" s="23"/>
      <c r="C52" s="24"/>
      <c r="D52" s="25"/>
      <c r="E52" s="25"/>
      <c r="F52" s="27"/>
      <c r="G52" s="17" t="n">
        <f aca="false">$B$2-1</f>
        <v>45925</v>
      </c>
      <c r="H52" s="18" t="e">
        <f aca="false">VLOOKUP($G52,[2]NWP_PGT_DAILY!$A$5:$BL$1000,58)/1000</f>
        <v>#N/A</v>
      </c>
      <c r="J52" s="11"/>
      <c r="M52" s="11"/>
      <c r="N52" s="11"/>
      <c r="O52" s="38" t="n">
        <f aca="false">DATE(YEAR($B$2)-1,MONTH($B$2),1)</f>
        <v>45536</v>
      </c>
      <c r="P52" s="18" t="n">
        <f aca="false">VLOOKUP(O52,'[2]WestCoast Historicals'!$D$40:$AD$70,8)/1000</f>
        <v>-95.2534482758621</v>
      </c>
      <c r="S52" s="79" t="s">
        <v>43</v>
      </c>
      <c r="T52" s="80" t="n">
        <v>323</v>
      </c>
      <c r="U52" s="22"/>
      <c r="W52" s="17" t="n">
        <f aca="false">$B$2</f>
        <v>45926</v>
      </c>
      <c r="X52" s="18" t="e">
        <f aca="false">VLOOKUP($W52,[2]NWP_PGT_DAILY!$A$5:$AX$1000,31)/1000</f>
        <v>#N/A</v>
      </c>
      <c r="Z52" s="11"/>
      <c r="AA52" s="11"/>
      <c r="AB52" s="11"/>
      <c r="AC52" s="11"/>
      <c r="AL52" s="103"/>
      <c r="AM52" s="2" t="s">
        <v>63</v>
      </c>
      <c r="AN52" s="2" t="s">
        <v>64</v>
      </c>
      <c r="AO52" s="49" t="s">
        <v>65</v>
      </c>
    </row>
    <row r="53" customFormat="false" ht="14.25" hidden="false" customHeight="false" outlineLevel="0" collapsed="false">
      <c r="B53" s="32"/>
      <c r="C53" s="32"/>
      <c r="D53" s="33"/>
      <c r="E53" s="33"/>
      <c r="F53" s="35"/>
      <c r="G53" s="31" t="s">
        <v>21</v>
      </c>
      <c r="H53" s="18" t="e">
        <f aca="false">SUMIF([2]NWP_PGT_DAILY!$BP$5:$BP$1001,$AK$3,[2]NWP_PGT_DAILY!$BF$5:$BF$1001)/COUNTIF([2]NWP_PGT_DAILY!$BP$5:$BP$1001,$AK$3)/1000</f>
        <v>#DIV/0!</v>
      </c>
      <c r="J53" s="11"/>
      <c r="M53" s="11"/>
      <c r="N53" s="11"/>
      <c r="O53" s="52" t="n">
        <f aca="false">DATE(YEAR($B$2)-2,MONTH($B$2),1)</f>
        <v>45170</v>
      </c>
      <c r="P53" s="44" t="n">
        <f aca="false">VLOOKUP(O53,'[2]WestCoast Historicals'!$D$40:$AD$70,8)/1000</f>
        <v>-95.2534482758621</v>
      </c>
      <c r="R53" s="11"/>
      <c r="S53" s="82" t="s">
        <v>44</v>
      </c>
      <c r="T53" s="83" t="n">
        <v>-510</v>
      </c>
      <c r="U53" s="22"/>
      <c r="W53" s="17" t="n">
        <f aca="false">$B$2-1</f>
        <v>45925</v>
      </c>
      <c r="X53" s="18" t="e">
        <f aca="false">VLOOKUP($W53,[2]NWP_PGT_DAILY!$A$5:$AX$1000,31)/1000</f>
        <v>#N/A</v>
      </c>
      <c r="Z53" s="11"/>
      <c r="AA53" s="11"/>
      <c r="AB53" s="11"/>
      <c r="AC53" s="11"/>
      <c r="AL53" s="104" t="n">
        <f aca="false">$B$2</f>
        <v>45926</v>
      </c>
      <c r="AM53" s="72" t="e">
        <f aca="false">VLOOKUP($AL53,[2]NWP_PGT_DAILY!$A$5:$AX$1000,19)/1000</f>
        <v>#N/A</v>
      </c>
      <c r="AN53" s="72" t="e">
        <f aca="false">-VLOOKUP(AL$53,[2]NWP_PGT_DAILY!$A$5:$AX$1000,20)/1000</f>
        <v>#N/A</v>
      </c>
      <c r="AO53" s="105" t="e">
        <f aca="false">SUM(AM53:AN53)</f>
        <v>#N/A</v>
      </c>
    </row>
    <row r="54" customFormat="false" ht="14.25" hidden="false" customHeight="false" outlineLevel="0" collapsed="false">
      <c r="B54" s="32"/>
      <c r="C54" s="32"/>
      <c r="D54" s="33"/>
      <c r="E54" s="33"/>
      <c r="F54" s="35"/>
      <c r="G54" s="38" t="n">
        <f aca="false">DATE(YEAR($B$2),MONTH($B$2),DAY(G55)-1)</f>
        <v>45900</v>
      </c>
      <c r="H54" s="18" t="n">
        <f aca="false">-VLOOKUP(G54,'[2]WestCoast Historicals'!$D$68:$AD$70,24)/1000</f>
        <v>-39.6384384686852</v>
      </c>
      <c r="J54" s="11"/>
      <c r="M54" s="11"/>
      <c r="N54" s="11"/>
      <c r="O54" s="79" t="s">
        <v>43</v>
      </c>
      <c r="P54" s="80" t="n">
        <v>494</v>
      </c>
      <c r="R54" s="11"/>
      <c r="S54" s="63" t="n">
        <f aca="false">S50</f>
        <v>45536</v>
      </c>
      <c r="T54" s="72" t="e">
        <f aca="false">T50-T46</f>
        <v>#N/A</v>
      </c>
      <c r="U54" s="61"/>
      <c r="W54" s="31" t="s">
        <v>21</v>
      </c>
      <c r="X54" s="18" t="e">
        <f aca="false">SUMIF([2]NWP_PGT_DAILY!$BP$5:$BP$1001,$AK$3,[2]NWP_PGT_DAILY!$AE$5:$AE$1001)/COUNTIF([2]NWP_PGT_DAILY!$BP$5:$BP$1001,$AK$3)/1000</f>
        <v>#DIV/0!</v>
      </c>
      <c r="Z54" s="11"/>
      <c r="AA54" s="11"/>
      <c r="AB54" s="11"/>
      <c r="AC54" s="11"/>
      <c r="AL54" s="104" t="n">
        <f aca="false">$B$2-1</f>
        <v>45925</v>
      </c>
      <c r="AM54" s="72" t="e">
        <f aca="false">VLOOKUP($AL54,[2]NWP_PGT_DAILY!$A$5:$AX$1000,19)/1000</f>
        <v>#N/A</v>
      </c>
      <c r="AN54" s="72" t="e">
        <f aca="false">-VLOOKUP(AL$54,[2]NWP_PGT_DAILY!$A$5:$AX$1000,20)/1000</f>
        <v>#N/A</v>
      </c>
      <c r="AO54" s="105" t="e">
        <f aca="false">SUM(AM54:AN54)</f>
        <v>#N/A</v>
      </c>
    </row>
    <row r="55" customFormat="false" ht="14.25" hidden="false" customHeight="false" outlineLevel="0" collapsed="false">
      <c r="B55" s="45"/>
      <c r="C55" s="45"/>
      <c r="D55" s="106"/>
      <c r="E55" s="106"/>
      <c r="F55" s="107"/>
      <c r="G55" s="38" t="n">
        <f aca="false">DATE(YEAR($B$2)-1,MONTH($B$2),1)</f>
        <v>45536</v>
      </c>
      <c r="H55" s="18" t="n">
        <f aca="false">VLOOKUP($G$55,'[2]NWP-PGT_HIST'!$A$5:$Y$32,'[2]NWP-PGT_HIST'!$V$1)/1000</f>
        <v>-34.8033333333333</v>
      </c>
      <c r="J55" s="11"/>
      <c r="K55" s="11"/>
      <c r="L55" s="11"/>
      <c r="M55" s="11"/>
      <c r="N55" s="11"/>
      <c r="O55" s="82" t="s">
        <v>44</v>
      </c>
      <c r="P55" s="83" t="n">
        <v>-275</v>
      </c>
      <c r="R55" s="11"/>
      <c r="U55" s="92"/>
      <c r="W55" s="38" t="n">
        <f aca="false">DATE(YEAR($B$2),MONTH($B$2),DAY(W56)-1)</f>
        <v>45900</v>
      </c>
      <c r="X55" s="18" t="n">
        <f aca="false">VLOOKUP(W55,'[2]WestCoast Historicals'!$D$40:$AD$70,11)/1000</f>
        <v>127.433379310345</v>
      </c>
      <c r="Z55" s="11"/>
      <c r="AA55" s="11"/>
      <c r="AB55" s="11"/>
      <c r="AC55" s="11"/>
      <c r="AL55" s="108" t="s">
        <v>21</v>
      </c>
      <c r="AM55" s="72" t="e">
        <f aca="false">SUMIF([2]NWP_PGT_DAILY!$BP$5:$BP$1001,$AK$3,[2]NWP_PGT_DAILY!$S$5:$S$1001)/COUNTIF([2]NWP_PGT_DAILY!$BP$5:$BP$1001,$AK$3)/1000</f>
        <v>#DIV/0!</v>
      </c>
      <c r="AN55" s="72" t="e">
        <f aca="false">SUMIF([2]NWP_PGT_DAILY!$BP$5:$BP$1001,$AK$3,[2]NWP_PGT_DAILY!$T$5:$T$1001)/COUNTIF([2]NWP_PGT_DAILY!$BP$5:$BP$1001,$AK$3)/1000</f>
        <v>#DIV/0!</v>
      </c>
      <c r="AO55" s="105" t="e">
        <f aca="false">SUMIF([2]NWP_PGT_DAILY!$BP$5:$BP$1001,$AK$3,[2]NWP_PGT_DAILY!$U$5:$U$1001)/COUNTIF([2]NWP_PGT_DAILY!$BP$5:$BP$1001,$AK$3)/1000</f>
        <v>#DIV/0!</v>
      </c>
    </row>
    <row r="56" customFormat="false" ht="14.25" hidden="false" customHeight="false" outlineLevel="0" collapsed="false">
      <c r="B56" s="45"/>
      <c r="D56" s="106"/>
      <c r="E56" s="106"/>
      <c r="F56" s="106"/>
      <c r="G56" s="52" t="n">
        <f aca="false">DATE(YEAR($B$2)-2,MONTH($B$2),1)</f>
        <v>45170</v>
      </c>
      <c r="H56" s="18" t="n">
        <f aca="false">VLOOKUP($G$56,'[2]NWP-PGT_HIST'!$A$5:$Y$32,'[2]NWP-PGT_HIST'!$V$1)/1000</f>
        <v>-34.8033333333333</v>
      </c>
      <c r="J56" s="11"/>
      <c r="K56" s="11"/>
      <c r="L56" s="11"/>
      <c r="M56" s="11"/>
      <c r="N56" s="11"/>
      <c r="O56" s="63" t="n">
        <f aca="false">O52</f>
        <v>45536</v>
      </c>
      <c r="P56" s="72" t="e">
        <f aca="false">P52-P48</f>
        <v>#N/A</v>
      </c>
      <c r="R56" s="11"/>
      <c r="U56" s="72"/>
      <c r="W56" s="38" t="n">
        <f aca="false">DATE(YEAR($B$2)-1,MONTH($B$2),1)</f>
        <v>45536</v>
      </c>
      <c r="X56" s="18" t="n">
        <f aca="false">VLOOKUP($W$56,'[2]NWP-PGT_HIST'!$A$5:$Y$32,'[2]NWP-PGT_HIST'!$K$1)/1000</f>
        <v>135.319133333333</v>
      </c>
      <c r="Y56" s="11"/>
      <c r="Z56" s="11"/>
      <c r="AA56" s="11"/>
      <c r="AB56" s="11"/>
      <c r="AC56" s="11"/>
      <c r="AL56" s="109" t="n">
        <f aca="false">DATE(YEAR($B$2)-1,MONTH($B$2),1)</f>
        <v>45536</v>
      </c>
      <c r="AM56" s="12"/>
      <c r="AO56" s="110"/>
    </row>
    <row r="57" customFormat="false" ht="14.25" hidden="false" customHeight="false" outlineLevel="0" collapsed="false">
      <c r="G57" s="58" t="s">
        <v>34</v>
      </c>
      <c r="H57" s="81" t="n">
        <v>-106</v>
      </c>
      <c r="J57" s="11"/>
      <c r="K57" s="11"/>
      <c r="L57" s="11"/>
      <c r="M57" s="11"/>
      <c r="N57" s="11"/>
      <c r="O57" s="11"/>
      <c r="R57" s="11"/>
      <c r="S57" s="11"/>
      <c r="W57" s="52" t="n">
        <f aca="false">DATE(YEAR($B$2)-2,MONTH($B$2),1)</f>
        <v>45170</v>
      </c>
      <c r="X57" s="18" t="n">
        <f aca="false">VLOOKUP($W$57,'[2]NWP-PGT_HIST'!$A$5:$Y$32,'[2]NWP-PGT_HIST'!$K$1)/1000</f>
        <v>135.319133333333</v>
      </c>
      <c r="Y57" s="11"/>
      <c r="Z57" s="11"/>
      <c r="AA57" s="11"/>
      <c r="AB57" s="11"/>
      <c r="AC57" s="11"/>
      <c r="AL57" s="111" t="n">
        <f aca="false">DATE(YEAR($B$2)-2,MONTH($B$2),1)</f>
        <v>45170</v>
      </c>
      <c r="AM57" s="112"/>
      <c r="AN57" s="112"/>
      <c r="AO57" s="113"/>
    </row>
    <row r="58" customFormat="false" ht="14.25" hidden="false" customHeight="false" outlineLevel="0" collapsed="false">
      <c r="B58" s="32"/>
      <c r="C58" s="32"/>
      <c r="D58" s="33"/>
      <c r="E58" s="33"/>
      <c r="F58" s="35"/>
      <c r="G58" s="36"/>
      <c r="I58" s="13"/>
      <c r="J58" s="16" t="s">
        <v>66</v>
      </c>
      <c r="K58" s="11"/>
      <c r="L58" s="11"/>
      <c r="M58" s="11"/>
      <c r="N58" s="11"/>
      <c r="O58" s="11"/>
      <c r="P58" s="13"/>
      <c r="Q58" s="16" t="s">
        <v>67</v>
      </c>
      <c r="R58" s="11"/>
      <c r="S58" s="11"/>
      <c r="W58" s="58" t="s">
        <v>34</v>
      </c>
      <c r="X58" s="65" t="n">
        <v>473</v>
      </c>
      <c r="Z58" s="11"/>
      <c r="AA58" s="11"/>
      <c r="AB58" s="11"/>
      <c r="AC58" s="11"/>
      <c r="AL58" s="114" t="s">
        <v>34</v>
      </c>
      <c r="AM58" s="115" t="n">
        <v>511</v>
      </c>
      <c r="AN58" s="115" t="n">
        <v>200</v>
      </c>
      <c r="AO58" s="116"/>
    </row>
    <row r="59" customFormat="false" ht="14.25" hidden="false" customHeight="false" outlineLevel="0" collapsed="false">
      <c r="B59" s="32"/>
      <c r="C59" s="32"/>
      <c r="D59" s="33"/>
      <c r="E59" s="33"/>
      <c r="F59" s="10" t="s">
        <v>68</v>
      </c>
      <c r="G59" s="36"/>
      <c r="H59" s="11"/>
      <c r="I59" s="17" t="n">
        <f aca="false">$B$2</f>
        <v>45926</v>
      </c>
      <c r="J59" s="18" t="e">
        <f aca="false">F64+I68</f>
        <v>#N/A</v>
      </c>
      <c r="L59" s="11"/>
      <c r="M59" s="11"/>
      <c r="N59" s="11"/>
      <c r="O59" s="11"/>
      <c r="P59" s="17" t="n">
        <f aca="false">$B$2</f>
        <v>45926</v>
      </c>
      <c r="Q59" s="18" t="e">
        <f aca="false">VLOOKUP($P59,[2]NWP_PGT_DAILY!$A$5:$AX$1000,26)/1000</f>
        <v>#N/A</v>
      </c>
      <c r="R59" s="11"/>
      <c r="S59" s="11"/>
      <c r="W59" s="63" t="n">
        <f aca="false">W56</f>
        <v>45536</v>
      </c>
      <c r="X59" s="22" t="e">
        <f aca="false">X52-X56</f>
        <v>#N/A</v>
      </c>
      <c r="Z59" s="11"/>
      <c r="AA59" s="11"/>
      <c r="AB59" s="11"/>
      <c r="AC59" s="11"/>
      <c r="AF59" s="2"/>
    </row>
    <row r="60" customFormat="false" ht="15" hidden="false" customHeight="false" outlineLevel="0" collapsed="false">
      <c r="B60" s="100"/>
      <c r="C60" s="100"/>
      <c r="D60" s="33"/>
      <c r="E60" s="33"/>
      <c r="F60" s="117"/>
      <c r="G60" s="36"/>
      <c r="I60" s="17" t="n">
        <f aca="false">$B$2-1</f>
        <v>45925</v>
      </c>
      <c r="J60" s="18" t="e">
        <f aca="false">F65+I69</f>
        <v>#N/A</v>
      </c>
      <c r="L60" s="11"/>
      <c r="M60" s="11"/>
      <c r="N60" s="11"/>
      <c r="O60" s="11"/>
      <c r="P60" s="17" t="n">
        <f aca="false">$B$2-1</f>
        <v>45925</v>
      </c>
      <c r="Q60" s="18" t="e">
        <f aca="false">VLOOKUP($P60,[2]NWP_PGT_DAILY!$A$5:$AX$1000,26)/1000</f>
        <v>#N/A</v>
      </c>
      <c r="R60" s="11"/>
      <c r="S60" s="11"/>
      <c r="Y60" s="72"/>
      <c r="Z60" s="11"/>
      <c r="AA60" s="11"/>
      <c r="AB60" s="11"/>
      <c r="AC60" s="11"/>
      <c r="AF60" s="72"/>
    </row>
    <row r="61" customFormat="false" ht="14.25" hidden="false" customHeight="false" outlineLevel="0" collapsed="false">
      <c r="A61" s="11"/>
      <c r="B61" s="11"/>
      <c r="C61" s="11"/>
      <c r="D61" s="10"/>
      <c r="E61" s="11"/>
      <c r="F61" s="11"/>
      <c r="G61" s="11"/>
      <c r="H61" s="11"/>
      <c r="I61" s="31" t="s">
        <v>21</v>
      </c>
      <c r="J61" s="18" t="e">
        <f aca="false">F66+I70</f>
        <v>#DIV/0!</v>
      </c>
      <c r="L61" s="11"/>
      <c r="M61" s="11"/>
      <c r="N61" s="11"/>
      <c r="O61" s="11"/>
      <c r="P61" s="31" t="s">
        <v>21</v>
      </c>
      <c r="Q61" s="18" t="e">
        <f aca="false">SUMIF([2]NWP_PGT_DAILY!$BP$5:$BP$1001,$AK$3,[2]NWP_PGT_DAILY!$Z$5:$Z$1001)/COUNTIF([2]NWP_PGT_DAILY!$BP$5:$BP$1001,$AK$3)/1000</f>
        <v>#DIV/0!</v>
      </c>
      <c r="R61" s="11"/>
      <c r="S61" s="11"/>
      <c r="T61" s="11"/>
      <c r="U61" s="11"/>
      <c r="V61" s="11"/>
      <c r="Y61" s="72"/>
      <c r="Z61" s="2" t="s">
        <v>69</v>
      </c>
      <c r="AB61" s="11"/>
      <c r="AC61" s="11"/>
      <c r="AF61" s="72"/>
    </row>
    <row r="62" customFormat="false" ht="14.25" hidden="false" customHeight="false" outlineLevel="0" collapsed="false">
      <c r="A62" s="11"/>
      <c r="B62" s="11"/>
      <c r="C62" s="11"/>
      <c r="D62" s="10"/>
      <c r="E62" s="11"/>
      <c r="F62" s="11"/>
      <c r="G62" s="11"/>
      <c r="H62" s="11"/>
      <c r="I62" s="38" t="n">
        <f aca="false">DATE(YEAR($B$2),MONTH($B$2),DAY(I63)-1)</f>
        <v>45900</v>
      </c>
      <c r="J62" s="18" t="n">
        <f aca="false">F67+I71</f>
        <v>-1843.52324846668</v>
      </c>
      <c r="L62" s="11"/>
      <c r="M62" s="11"/>
      <c r="N62" s="11"/>
      <c r="O62" s="11"/>
      <c r="P62" s="38" t="n">
        <f aca="false">DATE(YEAR($B$2),MONTH($B$2),DAY(P63)-1)</f>
        <v>45900</v>
      </c>
      <c r="Q62" s="18" t="n">
        <f aca="false">VLOOKUP(P62,'[2]WestCoast Historicals'!$D$40:$AG$70,30)/1000</f>
        <v>-140.904827586207</v>
      </c>
      <c r="S62" s="10" t="s">
        <v>70</v>
      </c>
      <c r="T62" s="10"/>
      <c r="U62" s="11"/>
      <c r="V62" s="2" t="s">
        <v>71</v>
      </c>
      <c r="W62" s="2"/>
      <c r="AB62" s="11"/>
      <c r="AC62" s="11"/>
      <c r="AF62" s="2"/>
    </row>
    <row r="63" customFormat="false" ht="15" hidden="false" customHeight="false" outlineLevel="0" collapsed="false">
      <c r="A63" s="11"/>
      <c r="B63" s="100"/>
      <c r="C63" s="11"/>
      <c r="D63" s="10"/>
      <c r="E63" s="13"/>
      <c r="F63" s="16" t="s">
        <v>72</v>
      </c>
      <c r="G63" s="11"/>
      <c r="H63" s="11"/>
      <c r="I63" s="38" t="n">
        <f aca="false">DATE(YEAR($B$2)-1,MONTH($B$2),1)</f>
        <v>45536</v>
      </c>
      <c r="J63" s="18" t="n">
        <f aca="false">F68+I72</f>
        <v>-1894.46333333333</v>
      </c>
      <c r="L63" s="11"/>
      <c r="M63" s="11"/>
      <c r="N63" s="11"/>
      <c r="O63" s="11"/>
      <c r="P63" s="38" t="n">
        <f aca="false">DATE(YEAR($B$2)-1,MONTH($B$2),1)</f>
        <v>45536</v>
      </c>
      <c r="Q63" s="118"/>
      <c r="S63" s="119" t="n">
        <f aca="false">P59</f>
        <v>45926</v>
      </c>
      <c r="T63" s="120" t="n">
        <f aca="false">R104</f>
        <v>258.824</v>
      </c>
      <c r="V63" s="119" t="n">
        <f aca="false">S63</f>
        <v>45926</v>
      </c>
      <c r="W63" s="121" t="n">
        <f aca="false">R107</f>
        <v>430.9085</v>
      </c>
      <c r="AB63" s="11"/>
      <c r="AC63" s="11"/>
    </row>
    <row r="64" customFormat="false" ht="12.75" hidden="false" customHeight="true" outlineLevel="0" collapsed="false">
      <c r="A64" s="11"/>
      <c r="B64" s="122"/>
      <c r="C64" s="25"/>
      <c r="D64" s="25"/>
      <c r="E64" s="17" t="n">
        <f aca="false">$B$2</f>
        <v>45926</v>
      </c>
      <c r="F64" s="18" t="e">
        <f aca="false">VLOOKUP($E64,[2]NWP_PGT_DAILY!$A$5:$AX$1000,50)/1000</f>
        <v>#N/A</v>
      </c>
      <c r="G64" s="19"/>
      <c r="I64" s="52" t="n">
        <f aca="false">DATE(YEAR($B$2)-2,MONTH($B$2),1)</f>
        <v>45170</v>
      </c>
      <c r="J64" s="18" t="n">
        <f aca="false">F69+I73</f>
        <v>-1894.46333333333</v>
      </c>
      <c r="L64" s="11"/>
      <c r="M64" s="11"/>
      <c r="N64" s="11"/>
      <c r="O64" s="11"/>
      <c r="P64" s="52" t="n">
        <f aca="false">DATE(YEAR($B$2)-2,MONTH($B$2),1)</f>
        <v>45170</v>
      </c>
      <c r="Q64" s="69"/>
      <c r="S64" s="119" t="n">
        <f aca="false">P60</f>
        <v>45925</v>
      </c>
      <c r="T64" s="120" t="n">
        <f aca="false">T104</f>
        <v>245.166</v>
      </c>
      <c r="V64" s="119" t="n">
        <f aca="false">S64</f>
        <v>45925</v>
      </c>
      <c r="W64" s="121" t="n">
        <f aca="false">T107</f>
        <v>448.8525</v>
      </c>
      <c r="AB64" s="11"/>
      <c r="AC64" s="11"/>
    </row>
    <row r="65" customFormat="false" ht="14.25" hidden="false" customHeight="false" outlineLevel="0" collapsed="false">
      <c r="A65" s="11"/>
      <c r="C65" s="123"/>
      <c r="D65" s="123"/>
      <c r="E65" s="17" t="n">
        <f aca="false">$B$2-1</f>
        <v>45925</v>
      </c>
      <c r="F65" s="18" t="e">
        <f aca="false">VLOOKUP($E65,[2]NWP_PGT_DAILY!$A$5:$AX$1000,50)/1000</f>
        <v>#N/A</v>
      </c>
      <c r="G65" s="124"/>
      <c r="H65" s="11"/>
      <c r="I65" s="58" t="s">
        <v>34</v>
      </c>
      <c r="J65" s="81" t="n">
        <f aca="false">F70+I74</f>
        <v>-1974</v>
      </c>
      <c r="L65" s="11"/>
      <c r="M65" s="125"/>
      <c r="N65" s="11"/>
      <c r="O65" s="11"/>
      <c r="P65" s="58" t="s">
        <v>34</v>
      </c>
      <c r="Q65" s="65" t="n">
        <v>220</v>
      </c>
      <c r="S65" s="126" t="n">
        <f aca="false">$P$63</f>
        <v>45536</v>
      </c>
      <c r="T65" s="120" t="n">
        <f aca="false">P110</f>
        <v>279.245</v>
      </c>
      <c r="V65" s="76" t="n">
        <f aca="false">$P$63</f>
        <v>45536</v>
      </c>
      <c r="W65" s="121" t="n">
        <f aca="false">P113</f>
        <v>481.6465</v>
      </c>
      <c r="X65" s="11"/>
      <c r="Y65" s="78" t="s">
        <v>73</v>
      </c>
      <c r="AB65" s="11"/>
      <c r="AC65" s="10"/>
      <c r="AF65" s="127"/>
    </row>
    <row r="66" customFormat="false" ht="15.75" hidden="false" customHeight="true" outlineLevel="0" collapsed="false">
      <c r="A66" s="11"/>
      <c r="C66" s="123"/>
      <c r="D66" s="123"/>
      <c r="E66" s="31" t="s">
        <v>21</v>
      </c>
      <c r="F66" s="18" t="e">
        <f aca="false">SUMIF([2]NWP_PGT_DAILY!$BP$5:$BP$1001,$AK$3,[2]NWP_PGT_DAILY!$AX$5:$AX$1001)/COUNTIF([2]NWP_PGT_DAILY!$BP$5:$BP$1001,$AK$3)/1000</f>
        <v>#DIV/0!</v>
      </c>
      <c r="G66" s="128"/>
      <c r="H66" s="11"/>
      <c r="I66" s="11"/>
      <c r="L66" s="11"/>
      <c r="M66" s="11"/>
      <c r="N66" s="11"/>
      <c r="O66" s="11"/>
      <c r="P66" s="11"/>
      <c r="S66" s="78" t="s">
        <v>74</v>
      </c>
      <c r="T66" s="120" t="n">
        <f aca="false">P104/1000</f>
        <v>353.886</v>
      </c>
      <c r="V66" s="78" t="s">
        <v>74</v>
      </c>
      <c r="W66" s="121" t="n">
        <f aca="false">P107/1000</f>
        <v>539.7285</v>
      </c>
      <c r="X66" s="8" t="n">
        <f aca="false">$B$2</f>
        <v>45926</v>
      </c>
      <c r="Y66" s="22" t="e">
        <f aca="false">VLOOKUP($X66,[2]NWP_PGT_DAILY!$A$5:$AX$1000,34)/1000</f>
        <v>#N/A</v>
      </c>
      <c r="AB66" s="11"/>
      <c r="AC66" s="11"/>
    </row>
    <row r="67" customFormat="false" ht="14.25" hidden="false" customHeight="false" outlineLevel="0" collapsed="false">
      <c r="A67" s="11"/>
      <c r="C67" s="123"/>
      <c r="D67" s="123"/>
      <c r="E67" s="38" t="n">
        <f aca="false">DATE(YEAR($B$2),MONTH($B$2),DAY(E68)-1)</f>
        <v>45900</v>
      </c>
      <c r="F67" s="18" t="n">
        <f aca="false">-VLOOKUP(E67,'[2]WestCoast Historicals'!$D$68:$AD$70,27)/1000</f>
        <v>-1759.86970016794</v>
      </c>
      <c r="G67" s="129"/>
      <c r="H67" s="13"/>
      <c r="I67" s="14" t="s">
        <v>75</v>
      </c>
      <c r="J67" s="11"/>
      <c r="K67" s="11"/>
      <c r="L67" s="11"/>
      <c r="O67" s="11"/>
      <c r="P67" s="11"/>
      <c r="V67" s="11"/>
      <c r="W67" s="11"/>
      <c r="X67" s="8" t="n">
        <f aca="false">$B$2-1</f>
        <v>45925</v>
      </c>
      <c r="Y67" s="22" t="e">
        <f aca="false">VLOOKUP($X67,[2]NWP_PGT_DAILY!$A$5:$AX$1000,34)/1000</f>
        <v>#N/A</v>
      </c>
      <c r="Z67" s="11"/>
      <c r="AA67" s="78" t="s">
        <v>76</v>
      </c>
      <c r="AC67" s="11"/>
    </row>
    <row r="68" customFormat="false" ht="14.25" hidden="false" customHeight="false" outlineLevel="0" collapsed="false">
      <c r="A68" s="11"/>
      <c r="C68" s="123"/>
      <c r="D68" s="123"/>
      <c r="E68" s="38" t="n">
        <f aca="false">DATE(YEAR($B$2)-1,MONTH($B$2),1)</f>
        <v>45536</v>
      </c>
      <c r="F68" s="18" t="n">
        <f aca="false">VLOOKUP($E68,'[2]NWP-PGT_HIST'!$A$5:$Y$32,'[2]NWP-PGT_HIST'!$Y$1)/1000</f>
        <v>-1847.33666666667</v>
      </c>
      <c r="G68" s="129"/>
      <c r="H68" s="17" t="n">
        <f aca="false">$B$2</f>
        <v>45926</v>
      </c>
      <c r="I68" s="18" t="e">
        <f aca="false">VLOOKUP($H68,[2]NWP_PGT_DAILY!$A$5:$BK$1000,62)/1000</f>
        <v>#N/A</v>
      </c>
      <c r="J68" s="11"/>
      <c r="K68" s="11"/>
      <c r="L68" s="11"/>
      <c r="O68" s="11"/>
      <c r="P68" s="11"/>
      <c r="V68" s="51" t="s">
        <v>77</v>
      </c>
      <c r="W68" s="11"/>
      <c r="X68" s="10" t="s">
        <v>21</v>
      </c>
      <c r="Y68" s="22" t="e">
        <f aca="false">SUMIF([2]NWP_PGT_DAILY!$BP$5:$BP$1001,$AK$3,[2]NWP_PGT_DAILY!$AH$5:$AH$1001)/COUNTIF([2]NWP_PGT_DAILY!$BP$5:$BP$1001,$AK$3)/1000</f>
        <v>#DIV/0!</v>
      </c>
      <c r="Z68" s="8" t="n">
        <f aca="false">$B$2</f>
        <v>45926</v>
      </c>
      <c r="AA68" s="22" t="e">
        <f aca="false">VLOOKUP($Z68,[2]NWP_PGT_DAILY!$A$5:$AX$1000,37)/1000</f>
        <v>#N/A</v>
      </c>
      <c r="AC68" s="11"/>
    </row>
    <row r="69" customFormat="false" ht="14.25" hidden="false" customHeight="false" outlineLevel="0" collapsed="false">
      <c r="A69" s="11"/>
      <c r="C69" s="123"/>
      <c r="D69" s="123"/>
      <c r="E69" s="52" t="n">
        <f aca="false">DATE(YEAR($B$2)-2,MONTH($B$2),1)</f>
        <v>45170</v>
      </c>
      <c r="F69" s="18" t="n">
        <f aca="false">VLOOKUP($E69,'[2]NWP-PGT_HIST'!$A$5:$Y$32,'[2]NWP-PGT_HIST'!$Y$1)/1000</f>
        <v>-1847.33666666667</v>
      </c>
      <c r="G69" s="124"/>
      <c r="H69" s="17" t="n">
        <f aca="false">$B$2-1</f>
        <v>45925</v>
      </c>
      <c r="I69" s="18" t="e">
        <f aca="false">VLOOKUP($H69,[2]NWP_PGT_DAILY!$A$5:$BK$1000,62)/1000</f>
        <v>#N/A</v>
      </c>
      <c r="L69" s="11"/>
      <c r="O69" s="11"/>
      <c r="P69" s="11"/>
      <c r="V69" s="11"/>
      <c r="W69" s="11"/>
      <c r="X69" s="73" t="n">
        <f aca="false">DATE(YEAR($B$2),MONTH($B$2),DAY(X70)-1)</f>
        <v>45900</v>
      </c>
      <c r="Y69" s="22" t="n">
        <f aca="false">VLOOKUP(X69,'[2]WestCoast Historicals'!$D$68:$AI$70,32)/1000</f>
        <v>-219.785551724138</v>
      </c>
      <c r="Z69" s="8" t="n">
        <f aca="false">$B$2-1</f>
        <v>45925</v>
      </c>
      <c r="AA69" s="22" t="e">
        <f aca="false">VLOOKUP($Z69,[2]NWP_PGT_DAILY!$A$5:$AX$1000,37)/1000</f>
        <v>#N/A</v>
      </c>
      <c r="AC69" s="11"/>
      <c r="AF69" s="130" t="n">
        <f aca="false">AE86</f>
        <v>45926</v>
      </c>
      <c r="AG69" s="130" t="n">
        <f aca="false">AE87</f>
        <v>45925</v>
      </c>
    </row>
    <row r="70" customFormat="false" ht="14.25" hidden="false" customHeight="false" outlineLevel="0" collapsed="false">
      <c r="C70" s="123"/>
      <c r="D70" s="123"/>
      <c r="E70" s="58" t="s">
        <v>34</v>
      </c>
      <c r="F70" s="131" t="n">
        <v>-1860</v>
      </c>
      <c r="G70" s="124"/>
      <c r="H70" s="31" t="s">
        <v>21</v>
      </c>
      <c r="I70" s="18" t="e">
        <f aca="false">SUMIF([2]NWP_PGT_DAILY!$BP$5:$BP$1001,$AK$3,[2]NWP_PGT_DAILY!$BJ$5:$BJ$1001)/COUNTIF([2]NWP_PGT_DAILY!$BP$5:$BP$1001,$AK$3)/1000</f>
        <v>#DIV/0!</v>
      </c>
      <c r="J70" s="132"/>
      <c r="K70" s="11"/>
      <c r="L70" s="11"/>
      <c r="O70" s="11"/>
      <c r="P70" s="11"/>
      <c r="V70" s="11"/>
      <c r="X70" s="73" t="n">
        <f aca="false">DATE(YEAR($B$2)-1,MONTH($B$2),1)</f>
        <v>45536</v>
      </c>
      <c r="Y70" s="22" t="n">
        <v>-217.6</v>
      </c>
      <c r="Z70" s="10" t="s">
        <v>21</v>
      </c>
      <c r="AA70" s="22" t="e">
        <f aca="false">SUMIF([2]NWP_PGT_DAILY!$BP$5:$BP$1001,$AK$3,[2]NWP_PGT_DAILY!$AK$5:$AK$1001)/COUNTIF([2]NWP_PGT_DAILY!$BP$5:$BP$1001,$AK$3)/1000</f>
        <v>#DIV/0!</v>
      </c>
      <c r="AC70" s="11"/>
      <c r="AE70" s="133" t="s">
        <v>78</v>
      </c>
      <c r="AF70" s="134" t="n">
        <f aca="false">'[2]EL Paso'!B39</f>
        <v>386.527619047619</v>
      </c>
      <c r="AG70" s="134" t="n">
        <f aca="false">'[2]EL Paso'!C39</f>
        <v>387.346666666667</v>
      </c>
    </row>
    <row r="71" customFormat="false" ht="14.25" hidden="false" customHeight="false" outlineLevel="0" collapsed="false">
      <c r="C71" s="123"/>
      <c r="D71" s="123"/>
      <c r="E71" s="63" t="n">
        <f aca="false">E68</f>
        <v>45536</v>
      </c>
      <c r="F71" s="72" t="e">
        <f aca="false">F68-F64</f>
        <v>#N/A</v>
      </c>
      <c r="G71" s="129"/>
      <c r="H71" s="38" t="n">
        <f aca="false">DATE(YEAR($B$2),MONTH($B$2),DAY(H72)-1)</f>
        <v>45900</v>
      </c>
      <c r="I71" s="18" t="n">
        <f aca="false">-VLOOKUP(H71,'[2]WestCoast Historicals'!$D$68:$AD$70,25)/1000</f>
        <v>-83.6535482987406</v>
      </c>
      <c r="J71" s="132"/>
      <c r="K71" s="11"/>
      <c r="L71" s="11"/>
      <c r="O71" s="10" t="s">
        <v>79</v>
      </c>
      <c r="P71" s="10"/>
      <c r="S71" s="11"/>
      <c r="T71" s="11"/>
      <c r="U71" s="11"/>
      <c r="X71" s="91" t="s">
        <v>43</v>
      </c>
      <c r="Y71" s="61" t="n">
        <v>360</v>
      </c>
      <c r="Z71" s="73" t="n">
        <f aca="false">DATE(YEAR($B$2),MONTH($B$2),DAY(Z72)-1)</f>
        <v>45900</v>
      </c>
      <c r="AA71" s="22" t="n">
        <f aca="false">VLOOKUP(Z71,'[2]WestCoast Historicals'!$D$68:$AD$70,10)/1000</f>
        <v>-185.94275862069</v>
      </c>
      <c r="AC71" s="2"/>
      <c r="AE71" s="133" t="s">
        <v>80</v>
      </c>
      <c r="AF71" s="134" t="n">
        <f aca="false">'[2]EL Paso'!B40</f>
        <v>130.327619047619</v>
      </c>
      <c r="AG71" s="134" t="n">
        <f aca="false">'[2]EL Paso'!C40</f>
        <v>124.454285714286</v>
      </c>
    </row>
    <row r="72" customFormat="false" ht="14.25" hidden="false" customHeight="false" outlineLevel="0" collapsed="false">
      <c r="C72" s="2"/>
      <c r="E72" s="2"/>
      <c r="F72" s="10"/>
      <c r="G72" s="10"/>
      <c r="H72" s="38" t="n">
        <f aca="false">DATE(YEAR($B$2)-1,MONTH($B$2),1)</f>
        <v>45536</v>
      </c>
      <c r="I72" s="18" t="n">
        <f aca="false">VLOOKUP($H$72,'[2]NWP-PGT_HIST'!$A$5:$Y$32,'[2]NWP-PGT_HIST'!$W$1)/1000</f>
        <v>-47.1266666666667</v>
      </c>
      <c r="J72" s="132"/>
      <c r="K72" s="11"/>
      <c r="L72" s="11"/>
      <c r="O72" s="119" t="n">
        <f aca="false">P59</f>
        <v>45926</v>
      </c>
      <c r="P72" s="121" t="n">
        <f aca="false">R106</f>
        <v>732.9</v>
      </c>
      <c r="S72" s="11"/>
      <c r="T72" s="11"/>
      <c r="U72" s="11"/>
      <c r="X72" s="91" t="s">
        <v>44</v>
      </c>
      <c r="Y72" s="92" t="n">
        <v>-400</v>
      </c>
      <c r="Z72" s="73" t="n">
        <f aca="false">DATE(YEAR($B$2)-1,MONTH($B$2),1)</f>
        <v>45536</v>
      </c>
      <c r="AA72" s="22" t="n">
        <v>-168.7</v>
      </c>
      <c r="AC72" s="11"/>
      <c r="AE72" s="133" t="s">
        <v>81</v>
      </c>
      <c r="AF72" s="134" t="n">
        <f aca="false">'[2]EL Paso'!B41</f>
        <v>18.052380952381</v>
      </c>
      <c r="AG72" s="134" t="n">
        <f aca="false">'[2]EL Paso'!C41</f>
        <v>18.0104761904762</v>
      </c>
    </row>
    <row r="73" customFormat="false" ht="14.25" hidden="false" customHeight="false" outlineLevel="0" collapsed="false">
      <c r="F73" s="11"/>
      <c r="G73" s="11"/>
      <c r="H73" s="52" t="n">
        <f aca="false">DATE(YEAR($B$2)-2,MONTH($B$2),1)</f>
        <v>45170</v>
      </c>
      <c r="I73" s="18" t="n">
        <f aca="false">VLOOKUP($H$73,'[2]NWP-PGT_HIST'!$A$5:$Y$32,'[2]NWP-PGT_HIST'!$W$1)/1000</f>
        <v>-47.1266666666667</v>
      </c>
      <c r="J73" s="132"/>
      <c r="K73" s="11"/>
      <c r="L73" s="11"/>
      <c r="O73" s="119" t="n">
        <f aca="false">P60</f>
        <v>45925</v>
      </c>
      <c r="P73" s="121" t="n">
        <f aca="false">T106</f>
        <v>732.9</v>
      </c>
      <c r="Q73" s="11"/>
      <c r="R73" s="10" t="s">
        <v>82</v>
      </c>
      <c r="S73" s="10"/>
      <c r="T73" s="11"/>
      <c r="U73" s="11"/>
      <c r="Y73" s="11"/>
      <c r="Z73" s="73" t="n">
        <f aca="false">DATE(YEAR($B$2)-2,MONTH($B$2),1)</f>
        <v>45170</v>
      </c>
      <c r="AA73" s="135" t="n">
        <v>80</v>
      </c>
      <c r="AC73" s="11"/>
      <c r="AE73" s="133" t="s">
        <v>83</v>
      </c>
      <c r="AF73" s="134" t="n">
        <f aca="false">'[2]EL Paso'!B42</f>
        <v>55.8095238095238</v>
      </c>
      <c r="AG73" s="134" t="n">
        <f aca="false">'[2]EL Paso'!C42</f>
        <v>60.9533333333333</v>
      </c>
    </row>
    <row r="74" customFormat="false" ht="14.25" hidden="false" customHeight="false" outlineLevel="0" collapsed="false">
      <c r="F74" s="11"/>
      <c r="G74" s="11"/>
      <c r="H74" s="58" t="s">
        <v>34</v>
      </c>
      <c r="I74" s="81" t="n">
        <v>-114</v>
      </c>
      <c r="J74" s="132"/>
      <c r="K74" s="11"/>
      <c r="L74" s="11"/>
      <c r="O74" s="126" t="n">
        <f aca="false">$P$63</f>
        <v>45536</v>
      </c>
      <c r="P74" s="121" t="n">
        <f aca="false">P112</f>
        <v>732.9</v>
      </c>
      <c r="Q74" s="11"/>
      <c r="R74" s="119" t="n">
        <f aca="false">P59</f>
        <v>45926</v>
      </c>
      <c r="S74" s="121" t="n">
        <f aca="false">R103</f>
        <v>95.277</v>
      </c>
      <c r="T74" s="11"/>
      <c r="U74" s="11"/>
      <c r="Y74" s="11"/>
      <c r="Z74" s="91" t="s">
        <v>43</v>
      </c>
      <c r="AA74" s="61" t="n">
        <v>281</v>
      </c>
      <c r="AC74" s="11"/>
      <c r="AE74" s="133" t="s">
        <v>84</v>
      </c>
      <c r="AF74" s="134" t="n">
        <f aca="false">'[2]EL Paso'!B43</f>
        <v>263.036190476191</v>
      </c>
      <c r="AG74" s="134" t="n">
        <f aca="false">'[2]EL Paso'!C43</f>
        <v>283.765714285714</v>
      </c>
    </row>
    <row r="75" customFormat="false" ht="14.25" hidden="false" customHeight="false" outlineLevel="0" collapsed="false">
      <c r="F75" s="11"/>
      <c r="G75" s="11"/>
      <c r="H75" s="11"/>
      <c r="I75" s="136"/>
      <c r="J75" s="137"/>
      <c r="K75" s="11"/>
      <c r="L75" s="11"/>
      <c r="O75" s="78" t="s">
        <v>74</v>
      </c>
      <c r="P75" s="121" t="n">
        <f aca="false">P106/1000</f>
        <v>732.9</v>
      </c>
      <c r="Q75" s="11"/>
      <c r="R75" s="119" t="n">
        <f aca="false">P60</f>
        <v>45925</v>
      </c>
      <c r="S75" s="121" t="n">
        <f aca="false">T103</f>
        <v>95.277</v>
      </c>
      <c r="T75" s="11"/>
      <c r="U75" s="11"/>
      <c r="Y75" s="11"/>
      <c r="Z75" s="91" t="s">
        <v>44</v>
      </c>
      <c r="AA75" s="92" t="n">
        <v>-223</v>
      </c>
      <c r="AC75" s="11"/>
      <c r="AE75" s="133" t="s">
        <v>85</v>
      </c>
      <c r="AF75" s="134" t="n">
        <f aca="false">'[2]EL Paso'!B44</f>
        <v>286.191428571429</v>
      </c>
      <c r="AG75" s="134" t="n">
        <f aca="false">'[2]EL Paso'!C44</f>
        <v>296.955238095238</v>
      </c>
    </row>
    <row r="76" customFormat="false" ht="14.25" hidden="false" customHeight="false" outlineLevel="0" collapsed="false">
      <c r="F76" s="11"/>
      <c r="G76" s="11"/>
      <c r="H76" s="11"/>
      <c r="I76" s="11"/>
      <c r="J76" s="11"/>
      <c r="K76" s="11"/>
      <c r="L76" s="10" t="s">
        <v>86</v>
      </c>
      <c r="M76" s="10"/>
      <c r="O76" s="11"/>
      <c r="P76" s="11"/>
      <c r="Q76" s="11"/>
      <c r="R76" s="126" t="n">
        <f aca="false">$P$63</f>
        <v>45536</v>
      </c>
      <c r="S76" s="121" t="n">
        <f aca="false">P109</f>
        <v>95.277</v>
      </c>
      <c r="T76" s="11"/>
      <c r="U76" s="11"/>
      <c r="Y76" s="11"/>
      <c r="Z76" s="63" t="n">
        <f aca="false">Z72</f>
        <v>45536</v>
      </c>
      <c r="AA76" s="72" t="e">
        <f aca="false">AA72-AA68</f>
        <v>#N/A</v>
      </c>
      <c r="AC76" s="11"/>
      <c r="AE76" s="133" t="s">
        <v>87</v>
      </c>
      <c r="AF76" s="134" t="n">
        <f aca="false">'[2]EL Paso'!B45</f>
        <v>61.76</v>
      </c>
      <c r="AG76" s="134" t="n">
        <f aca="false">'[2]EL Paso'!C45</f>
        <v>72.0914285714286</v>
      </c>
    </row>
    <row r="77" customFormat="false" ht="14.25" hidden="false" customHeight="false" outlineLevel="0" collapsed="false">
      <c r="F77" s="11"/>
      <c r="G77" s="11"/>
      <c r="H77" s="11"/>
      <c r="I77" s="11"/>
      <c r="J77" s="11"/>
      <c r="K77" s="11"/>
      <c r="L77" s="123" t="n">
        <f aca="false">H68</f>
        <v>45926</v>
      </c>
      <c r="M77" s="138" t="n">
        <f aca="false">R105</f>
        <v>717.942</v>
      </c>
      <c r="O77" s="11"/>
      <c r="R77" s="78" t="s">
        <v>74</v>
      </c>
      <c r="S77" s="121" t="n">
        <f aca="false">P103/1000</f>
        <v>95.277</v>
      </c>
      <c r="T77" s="11"/>
      <c r="U77" s="11"/>
      <c r="W77" s="78" t="s">
        <v>88</v>
      </c>
      <c r="X77" s="11"/>
      <c r="Y77" s="11"/>
      <c r="Z77" s="11"/>
      <c r="AA77" s="11"/>
      <c r="AE77" s="133" t="s">
        <v>89</v>
      </c>
      <c r="AF77" s="139" t="n">
        <f aca="false">'[2]EL Paso'!B46</f>
        <v>794.268571428571</v>
      </c>
      <c r="AG77" s="139" t="n">
        <f aca="false">'[2]EL Paso'!C46</f>
        <v>845.206666666667</v>
      </c>
    </row>
    <row r="78" customFormat="false" ht="14.25" hidden="false" customHeight="false" outlineLevel="0" collapsed="false">
      <c r="F78" s="11"/>
      <c r="G78" s="11"/>
      <c r="H78" s="11"/>
      <c r="I78" s="11"/>
      <c r="L78" s="123" t="n">
        <f aca="false">H69</f>
        <v>45925</v>
      </c>
      <c r="M78" s="138" t="n">
        <f aca="false">T105</f>
        <v>701.437</v>
      </c>
      <c r="O78" s="11"/>
      <c r="R78" s="11"/>
      <c r="S78" s="11"/>
      <c r="T78" s="11"/>
      <c r="U78" s="11"/>
      <c r="V78" s="11"/>
      <c r="W78" s="11"/>
      <c r="X78" s="1" t="s">
        <v>90</v>
      </c>
      <c r="Y78" s="2" t="s">
        <v>91</v>
      </c>
      <c r="Z78" s="1" t="s">
        <v>92</v>
      </c>
      <c r="AA78" s="11"/>
      <c r="AF78" s="134" t="n">
        <f aca="false">SUM(AF70:AF77)</f>
        <v>1995.97333333333</v>
      </c>
      <c r="AG78" s="134" t="n">
        <f aca="false">SUM(AG70:AG77)</f>
        <v>2088.78380952381</v>
      </c>
    </row>
    <row r="79" customFormat="false" ht="14.25" hidden="false" customHeight="false" outlineLevel="0" collapsed="false">
      <c r="F79" s="11"/>
      <c r="G79" s="11"/>
      <c r="H79" s="11"/>
      <c r="I79" s="11"/>
      <c r="L79" s="73" t="n">
        <f aca="false">O74</f>
        <v>45536</v>
      </c>
      <c r="M79" s="138" t="n">
        <f aca="false">P111</f>
        <v>732.9</v>
      </c>
      <c r="O79" s="11"/>
      <c r="R79" s="11"/>
      <c r="S79" s="11"/>
      <c r="T79" s="11"/>
      <c r="U79" s="11"/>
      <c r="V79" s="11"/>
      <c r="W79" s="8" t="n">
        <f aca="false">$B$2</f>
        <v>45926</v>
      </c>
      <c r="X79" s="22" t="e">
        <f aca="false">VLOOKUP($W$79,[2]NWP_PGT_DAILY!$A$5:$AX$1000,40)/1000</f>
        <v>#N/A</v>
      </c>
      <c r="Y79" s="140" t="e">
        <f aca="false">VLOOKUP(W79,[2]NWP_PGT_DAILY!$A$1:$AO$1048576,[2]NWP_PGT_DAILY!$AO$1)/1000</f>
        <v>#VALUE!</v>
      </c>
      <c r="Z79" s="2" t="n">
        <f aca="false">W103</f>
        <v>0</v>
      </c>
      <c r="AB79" s="2" t="s">
        <v>93</v>
      </c>
      <c r="AC79" s="2"/>
    </row>
    <row r="80" customFormat="false" ht="14.25" hidden="false" customHeight="false" outlineLevel="0" collapsed="false">
      <c r="F80" s="11"/>
      <c r="G80" s="11"/>
      <c r="H80" s="11"/>
      <c r="I80" s="11"/>
      <c r="L80" s="73" t="str">
        <f aca="false">O75</f>
        <v>Cap.</v>
      </c>
      <c r="M80" s="138" t="n">
        <f aca="false">P105/1000</f>
        <v>732.9</v>
      </c>
      <c r="O80" s="11"/>
      <c r="R80" s="11"/>
      <c r="S80" s="11"/>
      <c r="T80" s="11"/>
      <c r="U80" s="11"/>
      <c r="V80" s="11"/>
      <c r="W80" s="8" t="n">
        <f aca="false">$B$2-1</f>
        <v>45925</v>
      </c>
      <c r="X80" s="22" t="e">
        <f aca="false">VLOOKUP($W$80,[2]NWP_PGT_DAILY!$A$5:$AX$1000,40)/1000</f>
        <v>#N/A</v>
      </c>
      <c r="Y80" s="141" t="n">
        <f aca="false">'[2]WestCoast Historicals'!T70</f>
        <v>0.172330314897515</v>
      </c>
      <c r="Z80" s="2" t="n">
        <f aca="false">X103</f>
        <v>0</v>
      </c>
      <c r="AB80" s="142" t="n">
        <f aca="false">$B$2</f>
        <v>45926</v>
      </c>
      <c r="AC80" s="72" t="e">
        <f aca="false">VLOOKUP(AB80,[2]NWP_PGT_DAILY!$A$1:$CS$1048576,[2]NWP_PGT_DAILY!$BL$1)/1000</f>
        <v>#VALUE!</v>
      </c>
    </row>
    <row r="81" customFormat="false" ht="15" hidden="false" customHeight="false" outlineLevel="0" collapsed="false">
      <c r="F81" s="11"/>
      <c r="G81" s="11"/>
      <c r="H81" s="2"/>
      <c r="I81" s="2"/>
      <c r="L81" s="11"/>
      <c r="O81" s="11"/>
      <c r="Q81" s="2" t="s">
        <v>94</v>
      </c>
      <c r="R81" s="2"/>
      <c r="S81" s="11"/>
      <c r="V81" s="11"/>
      <c r="W81" s="10" t="s">
        <v>21</v>
      </c>
      <c r="X81" s="22" t="e">
        <f aca="false">SUMIF([2]NWP_PGT_DAILY!$BP$5:$BP$1001,$AK$3,[2]NWP_PGT_DAILY!$AN$5:$AN$1001)/COUNTIF([2]NWP_PGT_DAILY!$BP$5:$BP$1001,$AK$3)/1000</f>
        <v>#DIV/0!</v>
      </c>
      <c r="Y81" s="2"/>
      <c r="AA81" s="10"/>
      <c r="AB81" s="130" t="n">
        <f aca="false">AB80-1</f>
        <v>45925</v>
      </c>
      <c r="AC81" s="72" t="e">
        <f aca="false">VLOOKUP(AB81,[2]NWP_PGT_DAILY!$A$1:$CS$1048576,[2]NWP_PGT_DAILY!$BL$1)/1000</f>
        <v>#VALUE!</v>
      </c>
    </row>
    <row r="82" customFormat="false" ht="14.25" hidden="false" customHeight="false" outlineLevel="0" collapsed="false">
      <c r="B82" s="143" t="s">
        <v>95</v>
      </c>
      <c r="C82" s="144"/>
      <c r="D82" s="144"/>
      <c r="E82" s="145"/>
      <c r="F82" s="146"/>
      <c r="G82" s="11"/>
      <c r="H82" s="142"/>
      <c r="I82" s="72"/>
      <c r="J82" s="124" t="s">
        <v>96</v>
      </c>
      <c r="L82" s="11"/>
      <c r="O82" s="11"/>
      <c r="Q82" s="142" t="n">
        <f aca="false">J84</f>
        <v>45926</v>
      </c>
      <c r="R82" s="71" t="n">
        <f aca="false">'[2]Map -All West'!K67</f>
        <v>-147.294285714286</v>
      </c>
      <c r="T82" s="11"/>
      <c r="U82" s="11"/>
      <c r="V82" s="11"/>
      <c r="W82" s="73" t="n">
        <f aca="false">DATE(YEAR($B$2),MONTH($B$2),DAY(W83)-1)</f>
        <v>45900</v>
      </c>
      <c r="X82" s="72" t="n">
        <f aca="false">VLOOKUP(W82,'[2]WestCoast Historicals'!$D$68:$AE$70,28)/1000</f>
        <v>205.230827586207</v>
      </c>
      <c r="Y82" s="72" t="n">
        <f aca="false">VLOOKUP(W82,'[2]WestCoast Historicals'!$D$68:$AD$70,15)/1000</f>
        <v>11311.027</v>
      </c>
      <c r="AB82" s="147" t="s">
        <v>21</v>
      </c>
      <c r="AC82" s="72" t="e">
        <f aca="false">SUMIF([2]NWP_PGT_DAILY!$BP$5:$BP$1001,$AK$3,[2]NWP_PGT_DAILY!$BL$5:$BL$1001)/COUNTIF([2]NWP_PGT_DAILY!$BP$5:$BP$1001,$AK$3)/1000</f>
        <v>#DIV/0!</v>
      </c>
    </row>
    <row r="83" customFormat="false" ht="14.25" hidden="false" customHeight="false" outlineLevel="0" collapsed="false">
      <c r="B83" s="146"/>
      <c r="C83" s="11"/>
      <c r="D83" s="11"/>
      <c r="E83" s="10"/>
      <c r="F83" s="146"/>
      <c r="G83" s="11"/>
      <c r="H83" s="11"/>
      <c r="I83" s="11"/>
      <c r="J83" s="2" t="s">
        <v>97</v>
      </c>
      <c r="K83" s="2"/>
      <c r="O83" s="11"/>
      <c r="Q83" s="142" t="n">
        <f aca="false">Q82-1</f>
        <v>45925</v>
      </c>
      <c r="R83" s="71" t="n">
        <f aca="false">'[2]Map -All West'!K68</f>
        <v>-142.569523809524</v>
      </c>
      <c r="T83" s="11"/>
      <c r="U83" s="11"/>
      <c r="V83" s="11"/>
      <c r="W83" s="73" t="n">
        <f aca="false">DATE(YEAR($B$2)-1,MONTH($B$2),1)</f>
        <v>45536</v>
      </c>
      <c r="X83" s="29" t="n">
        <v>154.6</v>
      </c>
      <c r="Y83" s="72" t="n">
        <f aca="false">VLOOKUP(W83,'[2]WestCoast Historicals'!$D$44:$S$69,16)/1000</f>
        <v>11940.408</v>
      </c>
      <c r="AA83" s="148" t="n">
        <f aca="false">VLOOKUP(W83,'[2]WestCoast Historicals'!$D$37:$T$69,17)</f>
        <v>0.218763916180007</v>
      </c>
      <c r="AB83" s="149" t="n">
        <f aca="false">DATE(YEAR($B$2),MONTH($B$2),DAY(AB84)-1)</f>
        <v>45900</v>
      </c>
      <c r="AC83" s="29" t="n">
        <f aca="false">VLOOKUP(AB83,'[2]WestCoast Historicals'!$D$68:$AD$70,12)/1000</f>
        <v>131.459448275862</v>
      </c>
      <c r="AF83" s="124" t="s">
        <v>98</v>
      </c>
    </row>
    <row r="84" customFormat="false" ht="14.25" hidden="false" customHeight="false" outlineLevel="0" collapsed="false">
      <c r="B84" s="146"/>
      <c r="C84" s="150" t="s">
        <v>99</v>
      </c>
      <c r="D84" s="11" t="s">
        <v>100</v>
      </c>
      <c r="E84" s="10"/>
      <c r="F84" s="146"/>
      <c r="J84" s="142" t="n">
        <f aca="false">H68</f>
        <v>45926</v>
      </c>
      <c r="K84" s="71" t="n">
        <f aca="false">'[2]Map -All West'!H72</f>
        <v>-979.529523809524</v>
      </c>
      <c r="O84" s="11"/>
      <c r="P84" s="11"/>
      <c r="Q84" s="78" t="s">
        <v>21</v>
      </c>
      <c r="R84" s="71" t="n">
        <f aca="false">'[2]EL Paso'!AG2</f>
        <v>-162.352142857143</v>
      </c>
      <c r="S84" s="11"/>
      <c r="T84" s="11"/>
      <c r="U84" s="11"/>
      <c r="V84" s="11"/>
      <c r="W84" s="73" t="n">
        <f aca="false">DATE(YEAR($B$2)-2,MONTH($B$2),1)</f>
        <v>45170</v>
      </c>
      <c r="X84" s="29" t="n">
        <v>135.9</v>
      </c>
      <c r="Y84" s="2"/>
      <c r="AA84" s="11"/>
      <c r="AB84" s="126" t="n">
        <f aca="false">W83</f>
        <v>45536</v>
      </c>
      <c r="AC84" s="151" t="n">
        <f aca="false">VLOOKUP(AB84,'[2]WestCoast Historicals'!$D$44:$AD$68,12)/1000</f>
        <v>107.368548387097</v>
      </c>
      <c r="AE84" s="2"/>
      <c r="AF84" s="2" t="s">
        <v>101</v>
      </c>
      <c r="AG84" s="2"/>
    </row>
    <row r="85" customFormat="false" ht="14.25" hidden="false" customHeight="false" outlineLevel="0" collapsed="false">
      <c r="B85" s="146"/>
      <c r="C85" s="11"/>
      <c r="D85" s="11" t="s">
        <v>102</v>
      </c>
      <c r="E85" s="10"/>
      <c r="F85" s="146"/>
      <c r="J85" s="142" t="n">
        <f aca="false">J84-1</f>
        <v>45925</v>
      </c>
      <c r="K85" s="71" t="n">
        <f aca="false">'[2]Map -All West'!H73</f>
        <v>-1136.41428571429</v>
      </c>
      <c r="M85" s="11"/>
      <c r="N85" s="11"/>
      <c r="O85" s="11"/>
      <c r="P85" s="11"/>
      <c r="Q85" s="126" t="n">
        <f aca="false">$H$72</f>
        <v>45536</v>
      </c>
      <c r="R85" s="1" t="s">
        <v>103</v>
      </c>
      <c r="S85" s="11"/>
      <c r="T85" s="11"/>
      <c r="U85" s="11"/>
      <c r="V85" s="11"/>
      <c r="W85" s="152" t="s">
        <v>104</v>
      </c>
      <c r="X85" s="61"/>
      <c r="Y85" s="72" t="n">
        <v>54581.25</v>
      </c>
      <c r="AA85" s="11"/>
      <c r="AB85" s="126" t="n">
        <f aca="false">W84</f>
        <v>45170</v>
      </c>
      <c r="AC85" s="151" t="n">
        <f aca="false">VLOOKUP(AB85,'[2]WestCoast Historicals'!$D$44:$AD$68,12)/1000</f>
        <v>107.368548387097</v>
      </c>
      <c r="AE85" s="2"/>
      <c r="AF85" s="2" t="s">
        <v>105</v>
      </c>
      <c r="AG85" s="2" t="s">
        <v>106</v>
      </c>
    </row>
    <row r="86" customFormat="false" ht="14.25" hidden="false" customHeight="false" outlineLevel="0" collapsed="false">
      <c r="B86" s="146"/>
      <c r="C86" s="11"/>
      <c r="D86" s="11"/>
      <c r="E86" s="10"/>
      <c r="F86" s="146"/>
      <c r="J86" s="78" t="s">
        <v>21</v>
      </c>
      <c r="K86" s="71" t="n">
        <f aca="false">'[2]Map -All West'!I107</f>
        <v>-972.364226190476</v>
      </c>
      <c r="M86" s="11"/>
      <c r="N86" s="11"/>
      <c r="O86" s="11"/>
      <c r="P86" s="11"/>
      <c r="Q86" s="126" t="n">
        <f aca="false">$H$73</f>
        <v>45170</v>
      </c>
      <c r="R86" s="1" t="s">
        <v>103</v>
      </c>
      <c r="S86" s="11"/>
      <c r="T86" s="11"/>
      <c r="U86" s="11"/>
      <c r="V86" s="11"/>
      <c r="W86" s="152" t="s">
        <v>107</v>
      </c>
      <c r="X86" s="11"/>
      <c r="Y86" s="11"/>
      <c r="AA86" s="11"/>
      <c r="AB86" s="70" t="s">
        <v>108</v>
      </c>
      <c r="AC86" s="72" t="n">
        <v>355</v>
      </c>
      <c r="AE86" s="142" t="n">
        <f aca="false">AB80</f>
        <v>45926</v>
      </c>
      <c r="AF86" s="153" t="n">
        <f aca="false">'[2]Map -All West'!W72</f>
        <v>236.065714285714</v>
      </c>
      <c r="AG86" s="153" t="n">
        <f aca="false">'[2]Map -All West'!X72</f>
        <v>283.11619047619</v>
      </c>
    </row>
    <row r="87" customFormat="false" ht="14.25" hidden="false" customHeight="false" outlineLevel="0" collapsed="false">
      <c r="B87" s="146"/>
      <c r="C87" s="11" t="s">
        <v>109</v>
      </c>
      <c r="D87" s="11" t="s">
        <v>110</v>
      </c>
      <c r="E87" s="10"/>
      <c r="F87" s="146"/>
      <c r="J87" s="126" t="n">
        <f aca="false">$H$72</f>
        <v>45536</v>
      </c>
      <c r="K87" s="1" t="s">
        <v>103</v>
      </c>
      <c r="M87" s="11"/>
      <c r="N87" s="11"/>
      <c r="O87" s="11"/>
      <c r="P87" s="11"/>
      <c r="Q87" s="147" t="s">
        <v>108</v>
      </c>
      <c r="R87" s="71" t="n">
        <f aca="false">'[2]Map -All West'!K69</f>
        <v>-611.347619047619</v>
      </c>
      <c r="S87" s="11"/>
      <c r="T87" s="11"/>
      <c r="U87" s="11"/>
      <c r="V87" s="11"/>
      <c r="W87" s="11"/>
      <c r="AC87" s="11"/>
      <c r="AE87" s="142" t="n">
        <f aca="false">AE86-1</f>
        <v>45925</v>
      </c>
      <c r="AF87" s="153" t="n">
        <f aca="false">'[2]Map -All West'!W73</f>
        <v>225.381904761905</v>
      </c>
      <c r="AG87" s="153" t="n">
        <f aca="false">'[2]Map -All West'!X73</f>
        <v>249.298095238095</v>
      </c>
    </row>
    <row r="88" customFormat="false" ht="14.25" hidden="false" customHeight="false" outlineLevel="0" collapsed="false">
      <c r="B88" s="146"/>
      <c r="C88" s="11"/>
      <c r="D88" s="11" t="s">
        <v>111</v>
      </c>
      <c r="E88" s="10"/>
      <c r="F88" s="146"/>
      <c r="J88" s="126" t="n">
        <f aca="false">$H$73</f>
        <v>45170</v>
      </c>
      <c r="K88" s="1" t="s">
        <v>103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AC88" s="124"/>
      <c r="AD88" s="2"/>
      <c r="AE88" s="78" t="s">
        <v>21</v>
      </c>
      <c r="AF88" s="72" t="n">
        <f aca="false">'[2]EL Paso'!B37</f>
        <v>236.065714285714</v>
      </c>
      <c r="AG88" s="72" t="n">
        <f aca="false">'[2]Map -All West'!I109</f>
        <v>320.584702380952</v>
      </c>
    </row>
    <row r="89" customFormat="false" ht="14.25" hidden="false" customHeight="false" outlineLevel="0" collapsed="false">
      <c r="B89" s="146"/>
      <c r="C89" s="11"/>
      <c r="D89" s="11"/>
      <c r="E89" s="10"/>
      <c r="F89" s="146"/>
      <c r="J89" s="147" t="s">
        <v>108</v>
      </c>
      <c r="K89" s="71" t="n">
        <f aca="false">'[2]Map -All West'!H74</f>
        <v>-2318.09523809524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2"/>
      <c r="Y89" s="2"/>
      <c r="Z89" s="154" t="s">
        <v>112</v>
      </c>
      <c r="AA89" s="2"/>
      <c r="AC89" s="142"/>
      <c r="AD89" s="71"/>
      <c r="AE89" s="126" t="n">
        <f aca="false">$H$72</f>
        <v>45536</v>
      </c>
      <c r="AF89" s="2" t="n">
        <v>261</v>
      </c>
      <c r="AG89" s="2" t="s">
        <v>103</v>
      </c>
    </row>
    <row r="90" customFormat="false" ht="14.25" hidden="false" customHeight="false" outlineLevel="0" collapsed="false">
      <c r="B90" s="146"/>
      <c r="C90" s="11" t="s">
        <v>113</v>
      </c>
      <c r="D90" s="11" t="s">
        <v>114</v>
      </c>
      <c r="E90" s="10"/>
      <c r="F90" s="146"/>
      <c r="X90" s="2"/>
      <c r="Y90" s="2" t="s">
        <v>115</v>
      </c>
      <c r="Z90" s="2" t="s">
        <v>116</v>
      </c>
      <c r="AA90" s="2" t="s">
        <v>117</v>
      </c>
      <c r="AC90" s="142"/>
      <c r="AD90" s="71"/>
      <c r="AE90" s="126" t="n">
        <f aca="false">$H$73</f>
        <v>45170</v>
      </c>
      <c r="AF90" s="2" t="n">
        <v>266</v>
      </c>
      <c r="AG90" s="2" t="n">
        <v>220</v>
      </c>
    </row>
    <row r="91" customFormat="false" ht="14.25" hidden="false" customHeight="false" outlineLevel="0" collapsed="false">
      <c r="B91" s="146"/>
      <c r="C91" s="11"/>
      <c r="D91" s="11" t="s">
        <v>118</v>
      </c>
      <c r="E91" s="10"/>
      <c r="F91" s="146"/>
      <c r="K91" s="2" t="s">
        <v>119</v>
      </c>
      <c r="L91" s="2"/>
      <c r="R91" s="2" t="s">
        <v>120</v>
      </c>
      <c r="S91" s="2"/>
      <c r="X91" s="142" t="n">
        <f aca="false">W79</f>
        <v>45926</v>
      </c>
      <c r="Y91" s="72" t="n">
        <f aca="false">'[2]Map -All West'!N72</f>
        <v>1783.45238095238</v>
      </c>
      <c r="Z91" s="72" t="n">
        <f aca="false">'[2]Map -All West'!O72</f>
        <v>2449.15142857143</v>
      </c>
      <c r="AA91" s="72" t="n">
        <f aca="false">'[2]Map -All West'!P72</f>
        <v>600.377142857143</v>
      </c>
      <c r="AC91" s="78"/>
      <c r="AD91" s="71"/>
      <c r="AE91" s="147" t="s">
        <v>74</v>
      </c>
      <c r="AF91" s="153" t="n">
        <f aca="false">'[2]Map -All West'!W74</f>
        <v>336.190476190476</v>
      </c>
      <c r="AG91" s="153" t="n">
        <f aca="false">'[2]Map -All West'!X74</f>
        <v>428.571428571429</v>
      </c>
    </row>
    <row r="92" customFormat="false" ht="14.25" hidden="false" customHeight="false" outlineLevel="0" collapsed="false">
      <c r="B92" s="146"/>
      <c r="C92" s="11"/>
      <c r="D92" s="11"/>
      <c r="E92" s="10"/>
      <c r="F92" s="146"/>
      <c r="K92" s="142" t="n">
        <f aca="false">J84</f>
        <v>45926</v>
      </c>
      <c r="L92" s="72" t="n">
        <f aca="false">'[2]Map -All West'!H78</f>
        <v>-839.325714285714</v>
      </c>
      <c r="R92" s="142" t="n">
        <f aca="false">Q82</f>
        <v>45926</v>
      </c>
      <c r="S92" s="72" t="n">
        <f aca="false">'[2]Map -All West'!K79</f>
        <v>-418.962857142857</v>
      </c>
      <c r="X92" s="142" t="n">
        <f aca="false">X91-1</f>
        <v>45925</v>
      </c>
      <c r="Y92" s="72" t="n">
        <f aca="false">'[2]Map -All West'!N73</f>
        <v>1938.89904761905</v>
      </c>
      <c r="Z92" s="72" t="n">
        <f aca="false">'[2]Map -All West'!O73</f>
        <v>2585.73238095238</v>
      </c>
      <c r="AA92" s="72" t="n">
        <f aca="false">'[2]Map -All West'!P73</f>
        <v>579.197142857143</v>
      </c>
      <c r="AC92" s="126"/>
      <c r="AD92" s="71"/>
    </row>
    <row r="93" customFormat="false" ht="14.25" hidden="false" customHeight="false" outlineLevel="0" collapsed="false">
      <c r="B93" s="146"/>
      <c r="C93" s="11" t="s">
        <v>121</v>
      </c>
      <c r="D93" s="11" t="s">
        <v>110</v>
      </c>
      <c r="E93" s="10"/>
      <c r="F93" s="146"/>
      <c r="H93" s="1" t="s">
        <v>122</v>
      </c>
      <c r="K93" s="142" t="n">
        <f aca="false">K92-1</f>
        <v>45925</v>
      </c>
      <c r="L93" s="72" t="n">
        <f aca="false">'[2]Map -All West'!H79</f>
        <v>-834.221904761905</v>
      </c>
      <c r="R93" s="142" t="n">
        <f aca="false">R92-1</f>
        <v>45925</v>
      </c>
      <c r="S93" s="72" t="n">
        <f aca="false">'[2]Map -All West'!K80</f>
        <v>-392.262857142857</v>
      </c>
      <c r="X93" s="78" t="s">
        <v>21</v>
      </c>
      <c r="Y93" s="72" t="n">
        <f aca="false">'[2]Map -All West'!I104</f>
        <v>1892.37130952381</v>
      </c>
      <c r="Z93" s="72" t="n">
        <f aca="false">'[2]Map -All West'!I105</f>
        <v>2563.17595238095</v>
      </c>
      <c r="AA93" s="72" t="n">
        <f aca="false">'[2]Map -All West'!I103</f>
        <v>597.050297619048</v>
      </c>
      <c r="AC93" s="126"/>
      <c r="AD93" s="2" t="s">
        <v>123</v>
      </c>
      <c r="AE93" s="2"/>
      <c r="AF93" s="2" t="s">
        <v>124</v>
      </c>
      <c r="AG93" s="2"/>
    </row>
    <row r="94" customFormat="false" ht="15" hidden="false" customHeight="false" outlineLevel="0" collapsed="false">
      <c r="B94" s="155"/>
      <c r="C94" s="156"/>
      <c r="D94" s="156"/>
      <c r="E94" s="157"/>
      <c r="F94" s="146"/>
      <c r="K94" s="78" t="s">
        <v>21</v>
      </c>
      <c r="L94" s="72" t="n">
        <f aca="false">'[2]EL Paso'!AG11</f>
        <v>-837.640119047619</v>
      </c>
      <c r="R94" s="78" t="s">
        <v>21</v>
      </c>
      <c r="S94" s="72" t="n">
        <f aca="false">'[2]EL Paso'!$AG3</f>
        <v>-454.403392857143</v>
      </c>
      <c r="X94" s="126" t="n">
        <f aca="false">$H$72</f>
        <v>45536</v>
      </c>
      <c r="Y94" s="72" t="n">
        <v>2092</v>
      </c>
      <c r="Z94" s="72" t="n">
        <v>2758</v>
      </c>
      <c r="AA94" s="72" t="n">
        <v>574</v>
      </c>
      <c r="AC94" s="147"/>
      <c r="AD94" s="142" t="n">
        <f aca="false">AF94</f>
        <v>45926</v>
      </c>
      <c r="AE94" s="71" t="n">
        <f aca="false">'[2]Map -All West'!G100</f>
        <v>731.173333333333</v>
      </c>
      <c r="AF94" s="142" t="n">
        <f aca="false">X91</f>
        <v>45926</v>
      </c>
      <c r="AG94" s="71" t="n">
        <f aca="false">'[2]Map -All West'!Y88</f>
        <v>-406.061904761905</v>
      </c>
    </row>
    <row r="95" customFormat="false" ht="12.75" hidden="false" customHeight="false" outlineLevel="0" collapsed="false">
      <c r="K95" s="126" t="n">
        <f aca="false">$H$72</f>
        <v>45536</v>
      </c>
      <c r="L95" s="72" t="n">
        <v>-680</v>
      </c>
      <c r="R95" s="126" t="n">
        <f aca="false">$H$72</f>
        <v>45536</v>
      </c>
      <c r="S95" s="72" t="s">
        <v>103</v>
      </c>
      <c r="X95" s="126" t="n">
        <f aca="false">$H$73</f>
        <v>45170</v>
      </c>
      <c r="Y95" s="72" t="n">
        <v>1915</v>
      </c>
      <c r="Z95" s="72" t="n">
        <v>2630</v>
      </c>
      <c r="AA95" s="72" t="n">
        <v>601</v>
      </c>
      <c r="AD95" s="142" t="n">
        <f aca="false">AF95</f>
        <v>45925</v>
      </c>
      <c r="AE95" s="71" t="n">
        <f aca="false">'[2]Map -All West'!H100</f>
        <v>678.659047619048</v>
      </c>
      <c r="AF95" s="142" t="n">
        <f aca="false">AF94-1</f>
        <v>45925</v>
      </c>
      <c r="AG95" s="71" t="n">
        <f aca="false">'[2]Map -All West'!Y89</f>
        <v>-393.568571428571</v>
      </c>
    </row>
    <row r="96" customFormat="false" ht="14.25" hidden="false" customHeight="false" outlineLevel="0" collapsed="false">
      <c r="K96" s="126" t="n">
        <f aca="false">$H$73</f>
        <v>45170</v>
      </c>
      <c r="L96" s="72" t="n">
        <v>-720</v>
      </c>
      <c r="R96" s="126" t="n">
        <f aca="false">$H$73</f>
        <v>45170</v>
      </c>
      <c r="S96" s="72" t="s">
        <v>103</v>
      </c>
      <c r="X96" s="147" t="s">
        <v>74</v>
      </c>
      <c r="Y96" s="72" t="n">
        <f aca="false">'[2]Map -All West'!N74</f>
        <v>2100</v>
      </c>
      <c r="Z96" s="72" t="n">
        <f aca="false">'[2]Map -All West'!O74</f>
        <v>2850</v>
      </c>
      <c r="AA96" s="72" t="n">
        <f aca="false">'[2]Map -All West'!P74</f>
        <v>620</v>
      </c>
      <c r="AD96" s="142" t="str">
        <f aca="false">AF96</f>
        <v>MTD</v>
      </c>
      <c r="AE96" s="71" t="n">
        <f aca="false">'[2]Map -All West'!I100</f>
        <v>696.152023809524</v>
      </c>
      <c r="AF96" s="78" t="s">
        <v>21</v>
      </c>
      <c r="AG96" s="71" t="n">
        <f aca="false">'[2]Map -All West'!I101</f>
        <v>-380.230535714286</v>
      </c>
    </row>
    <row r="97" customFormat="false" ht="12.75" hidden="false" customHeight="true" outlineLevel="0" collapsed="false">
      <c r="K97" s="147" t="s">
        <v>108</v>
      </c>
      <c r="L97" s="72" t="n">
        <f aca="false">'[2]Map -All West'!H80</f>
        <v>-962.469523809524</v>
      </c>
      <c r="R97" s="147" t="s">
        <v>108</v>
      </c>
      <c r="S97" s="72" t="n">
        <f aca="false">'[2]Map -All West'!K81</f>
        <v>-2725.22380952381</v>
      </c>
      <c r="AD97" s="126" t="n">
        <f aca="false">$H$72</f>
        <v>45536</v>
      </c>
      <c r="AE97" s="71" t="n">
        <v>655</v>
      </c>
      <c r="AF97" s="126" t="n">
        <f aca="false">$H$72</f>
        <v>45536</v>
      </c>
      <c r="AG97" s="71" t="n">
        <v>-509</v>
      </c>
    </row>
    <row r="98" customFormat="false" ht="12.75" hidden="false" customHeight="false" outlineLevel="0" collapsed="false">
      <c r="AD98" s="126" t="n">
        <f aca="false">$H$73</f>
        <v>45170</v>
      </c>
      <c r="AE98" s="71" t="n">
        <v>753</v>
      </c>
      <c r="AF98" s="126" t="n">
        <f aca="false">$H$73</f>
        <v>45170</v>
      </c>
      <c r="AG98" s="71" t="n">
        <v>-564</v>
      </c>
    </row>
    <row r="99" customFormat="false" ht="12.75" hidden="false" customHeight="false" outlineLevel="0" collapsed="false">
      <c r="AD99" s="147"/>
      <c r="AE99" s="71"/>
      <c r="AF99" s="147"/>
      <c r="AG99" s="71"/>
    </row>
    <row r="100" customFormat="false" ht="5.25" hidden="false" customHeight="true" outlineLevel="0" collapsed="false">
      <c r="D100" s="1"/>
      <c r="E100" s="2"/>
    </row>
    <row r="101" customFormat="false" ht="15" hidden="false" customHeight="false" outlineLevel="0" collapsed="false">
      <c r="B101" s="19" t="s">
        <v>125</v>
      </c>
      <c r="C101" s="11"/>
      <c r="D101" s="1"/>
      <c r="E101" s="19" t="s">
        <v>126</v>
      </c>
      <c r="F101" s="11"/>
      <c r="G101" s="11"/>
      <c r="H101" s="19" t="s">
        <v>127</v>
      </c>
      <c r="I101" s="11"/>
      <c r="J101" s="11"/>
      <c r="K101" s="158" t="s">
        <v>128</v>
      </c>
      <c r="L101" s="112"/>
      <c r="M101" s="112"/>
      <c r="O101" s="100" t="s">
        <v>129</v>
      </c>
      <c r="P101" s="1" t="s">
        <v>130</v>
      </c>
      <c r="Q101" s="1" t="s">
        <v>131</v>
      </c>
      <c r="R101" s="147" t="s">
        <v>132</v>
      </c>
      <c r="W101" s="1" t="s">
        <v>92</v>
      </c>
    </row>
    <row r="102" customFormat="false" ht="15" hidden="false" customHeight="false" outlineLevel="0" collapsed="false">
      <c r="B102" s="101"/>
      <c r="C102" s="159" t="n">
        <f aca="true">TODAY()</f>
        <v>45926</v>
      </c>
      <c r="D102" s="160" t="n">
        <f aca="false">C102-1</f>
        <v>45925</v>
      </c>
      <c r="E102" s="161"/>
      <c r="F102" s="159" t="n">
        <f aca="true">TODAY()</f>
        <v>45926</v>
      </c>
      <c r="G102" s="160" t="n">
        <f aca="false">F102-1</f>
        <v>45925</v>
      </c>
      <c r="H102" s="101"/>
      <c r="I102" s="159" t="n">
        <f aca="true">TODAY()</f>
        <v>45926</v>
      </c>
      <c r="J102" s="160" t="n">
        <f aca="false">I102-1</f>
        <v>45925</v>
      </c>
      <c r="K102" s="162"/>
      <c r="L102" s="6" t="n">
        <f aca="true">TODAY()</f>
        <v>45926</v>
      </c>
      <c r="M102" s="160" t="n">
        <f aca="false">L102-1</f>
        <v>45925</v>
      </c>
      <c r="Q102" s="74" t="n">
        <f aca="false">L102</f>
        <v>45926</v>
      </c>
      <c r="S102" s="74" t="n">
        <f aca="false">M102</f>
        <v>45925</v>
      </c>
      <c r="W102" s="74" t="n">
        <f aca="false">Q102</f>
        <v>45926</v>
      </c>
      <c r="X102" s="74" t="n">
        <f aca="false">S102</f>
        <v>45925</v>
      </c>
    </row>
    <row r="103" customFormat="false" ht="12.75" hidden="false" customHeight="false" outlineLevel="0" collapsed="false">
      <c r="B103" s="103" t="s">
        <v>133</v>
      </c>
      <c r="C103" s="72" t="n">
        <v>0</v>
      </c>
      <c r="D103" s="105" t="n">
        <v>0</v>
      </c>
      <c r="H103" s="103" t="s">
        <v>134</v>
      </c>
      <c r="I103" s="72" t="e">
        <f aca="false">VLOOKUP(I$102,[2]NWP_PGT_DAILY!$A$1:$CW$1048576,[2]NWP_PGT_DAILY!$CK$1)/1000</f>
        <v>#VALUE!</v>
      </c>
      <c r="J103" s="72" t="e">
        <f aca="false">VLOOKUP(J$102,[2]NWP_PGT_DAILY!$A$1:$CW$1048576,[2]NWP_PGT_DAILY!$CK$1)/1000</f>
        <v>#VALUE!</v>
      </c>
      <c r="K103" s="163" t="s">
        <v>135</v>
      </c>
      <c r="L103" s="164" t="n">
        <v>-45.977</v>
      </c>
      <c r="M103" s="165" t="n">
        <v>-32.125</v>
      </c>
      <c r="O103" s="147" t="s">
        <v>136</v>
      </c>
      <c r="P103" s="166" t="n">
        <f aca="false">91000*1.047</f>
        <v>95277</v>
      </c>
      <c r="Q103" s="117" t="n">
        <v>0</v>
      </c>
      <c r="R103" s="167" t="n">
        <f aca="false">($P103-Q103)/1000</f>
        <v>95.277</v>
      </c>
      <c r="S103" s="117" t="n">
        <v>0</v>
      </c>
      <c r="T103" s="167" t="n">
        <f aca="false">($P103-S103)/1000</f>
        <v>95.277</v>
      </c>
      <c r="W103" s="2" t="n">
        <v>0</v>
      </c>
      <c r="X103" s="2" t="n">
        <v>0</v>
      </c>
    </row>
    <row r="104" customFormat="false" ht="12.75" hidden="false" customHeight="false" outlineLevel="0" collapsed="false">
      <c r="B104" s="103" t="s">
        <v>137</v>
      </c>
      <c r="C104" s="72" t="n">
        <v>-19</v>
      </c>
      <c r="D104" s="105" t="n">
        <v>-19</v>
      </c>
      <c r="E104" s="1" t="n">
        <f aca="false">[2]NWP_PGT_DAILY!BR2</f>
        <v>0</v>
      </c>
      <c r="F104" s="72" t="n">
        <v>-17.109</v>
      </c>
      <c r="G104" s="168" t="n">
        <v>-26.98</v>
      </c>
      <c r="H104" s="103" t="s">
        <v>138</v>
      </c>
      <c r="I104" s="72" t="e">
        <f aca="false">VLOOKUP(I$102,[2]NWP_PGT_DAILY!$A$1:$CW$1048576,[2]NWP_PGT_DAILY!$CM$1)/1000</f>
        <v>#VALUE!</v>
      </c>
      <c r="J104" s="72" t="e">
        <f aca="false">VLOOKUP(J$102,[2]NWP_PGT_DAILY!$A$1:$CW$1048576,[2]NWP_PGT_DAILY!$CM$1)/1000</f>
        <v>#VALUE!</v>
      </c>
      <c r="K104" s="163" t="s">
        <v>139</v>
      </c>
      <c r="L104" s="164" t="n">
        <v>-28.472</v>
      </c>
      <c r="M104" s="165" t="n">
        <v>-28.472</v>
      </c>
      <c r="O104" s="147" t="s">
        <v>140</v>
      </c>
      <c r="P104" s="166" t="n">
        <f aca="false">338000*1.047</f>
        <v>353886</v>
      </c>
      <c r="Q104" s="117" t="n">
        <v>95062</v>
      </c>
      <c r="R104" s="167" t="n">
        <f aca="false">($P104-Q104)/1000</f>
        <v>258.824</v>
      </c>
      <c r="S104" s="117" t="n">
        <v>108720</v>
      </c>
      <c r="T104" s="167" t="n">
        <f aca="false">($P104-S104)/1000</f>
        <v>245.166</v>
      </c>
    </row>
    <row r="105" customFormat="false" ht="14.25" hidden="false" customHeight="false" outlineLevel="0" collapsed="false">
      <c r="B105" s="103" t="s">
        <v>141</v>
      </c>
      <c r="C105" s="72" t="n">
        <v>-12.225</v>
      </c>
      <c r="D105" s="105" t="n">
        <v>-12.225</v>
      </c>
      <c r="E105" s="1" t="n">
        <f aca="false">[2]NWP_PGT_DAILY!BT2</f>
        <v>0</v>
      </c>
      <c r="F105" s="72" t="n">
        <v>-0.065</v>
      </c>
      <c r="G105" s="168" t="n">
        <v>-2.343</v>
      </c>
      <c r="H105" s="169" t="s">
        <v>142</v>
      </c>
      <c r="I105" s="72" t="e">
        <f aca="false">VLOOKUP(I$102,[2]NWP_PGT_DAILY!$A$1:$CW$1048576,[2]NWP_PGT_DAILY!$CO$1)/1000</f>
        <v>#VALUE!</v>
      </c>
      <c r="J105" s="72" t="e">
        <f aca="false">VLOOKUP(J$102,[2]NWP_PGT_DAILY!$A$1:$CW$1048576,[2]NWP_PGT_DAILY!$CO$1)/1000</f>
        <v>#VALUE!</v>
      </c>
      <c r="K105" s="163" t="s">
        <v>143</v>
      </c>
      <c r="L105" s="164" t="n">
        <v>0</v>
      </c>
      <c r="M105" s="165" t="n">
        <v>0</v>
      </c>
      <c r="O105" s="147" t="s">
        <v>144</v>
      </c>
      <c r="P105" s="166" t="n">
        <f aca="false">700000*1.047</f>
        <v>732900</v>
      </c>
      <c r="Q105" s="117" t="n">
        <v>14958</v>
      </c>
      <c r="R105" s="167" t="n">
        <f aca="false">($P105-Q105)/1000</f>
        <v>717.942</v>
      </c>
      <c r="S105" s="117" t="n">
        <v>31463</v>
      </c>
      <c r="T105" s="167" t="n">
        <f aca="false">($P105-S105)/1000</f>
        <v>701.437</v>
      </c>
    </row>
    <row r="106" customFormat="false" ht="14.25" hidden="false" customHeight="false" outlineLevel="0" collapsed="false">
      <c r="B106" s="103" t="s">
        <v>145</v>
      </c>
      <c r="C106" s="72" t="n">
        <v>-19</v>
      </c>
      <c r="D106" s="105" t="n">
        <v>-19</v>
      </c>
      <c r="E106" s="1" t="n">
        <f aca="false">[2]NWP_PGT_DAILY!BV2</f>
        <v>0</v>
      </c>
      <c r="F106" s="72" t="n">
        <v>-16.126</v>
      </c>
      <c r="G106" s="168" t="n">
        <v>-16.126</v>
      </c>
      <c r="H106" s="169" t="s">
        <v>146</v>
      </c>
      <c r="I106" s="72" t="e">
        <f aca="false">VLOOKUP(I$102,[2]NWP_PGT_DAILY!$A$1:$CW$1048576,[2]NWP_PGT_DAILY!$CQ$1)/1000</f>
        <v>#VALUE!</v>
      </c>
      <c r="J106" s="72" t="e">
        <f aca="false">VLOOKUP(J$102,[2]NWP_PGT_DAILY!$A$1:$CW$1048576,[2]NWP_PGT_DAILY!$CQ$1)/1000</f>
        <v>#VALUE!</v>
      </c>
      <c r="K106" s="163" t="s">
        <v>147</v>
      </c>
      <c r="L106" s="164" t="n">
        <v>-49.581</v>
      </c>
      <c r="M106" s="165" t="n">
        <v>-39.664</v>
      </c>
      <c r="O106" s="147" t="s">
        <v>148</v>
      </c>
      <c r="P106" s="166" t="n">
        <f aca="false">700000*1.047</f>
        <v>732900</v>
      </c>
      <c r="Q106" s="117" t="n">
        <v>0</v>
      </c>
      <c r="R106" s="167" t="n">
        <f aca="false">($P106-Q106)/1000</f>
        <v>732.9</v>
      </c>
      <c r="S106" s="117" t="n">
        <v>0</v>
      </c>
      <c r="T106" s="167" t="n">
        <f aca="false">($P106-S106)/1000</f>
        <v>732.9</v>
      </c>
    </row>
    <row r="107" customFormat="false" ht="14.25" hidden="false" customHeight="false" outlineLevel="0" collapsed="false">
      <c r="B107" s="103" t="s">
        <v>149</v>
      </c>
      <c r="C107" s="72" t="n">
        <v>-10.597</v>
      </c>
      <c r="D107" s="105" t="n">
        <v>-16.112</v>
      </c>
      <c r="E107" s="1" t="n">
        <f aca="false">[2]NWP_PGT_DAILY!BX2</f>
        <v>0</v>
      </c>
      <c r="F107" s="72" t="n">
        <v>-27.966</v>
      </c>
      <c r="G107" s="168" t="n">
        <v>-27.966</v>
      </c>
      <c r="H107" s="169" t="s">
        <v>150</v>
      </c>
      <c r="I107" s="170" t="e">
        <f aca="false">VLOOKUP(I$102,[2]NWP_PGT_DAILY!$A$1:$CW$1048576,[2]NWP_PGT_DAILY!$CK$1)/1000</f>
        <v>#VALUE!</v>
      </c>
      <c r="J107" s="170" t="e">
        <f aca="false">VLOOKUP(J$102,[2]NWP_PGT_DAILY!$A$1:$CW$1048576,[2]NWP_PGT_DAILY!$CK$1)/1000</f>
        <v>#VALUE!</v>
      </c>
      <c r="K107" s="163" t="s">
        <v>150</v>
      </c>
      <c r="L107" s="171" t="n">
        <v>-106.011</v>
      </c>
      <c r="M107" s="172" t="n">
        <v>-103.911</v>
      </c>
      <c r="O107" s="147" t="s">
        <v>151</v>
      </c>
      <c r="P107" s="166" t="n">
        <f aca="false">515500*1.047</f>
        <v>539728.5</v>
      </c>
      <c r="Q107" s="117" t="n">
        <v>108820</v>
      </c>
      <c r="R107" s="167" t="n">
        <f aca="false">($P107-Q107)/1000</f>
        <v>430.9085</v>
      </c>
      <c r="S107" s="117" t="n">
        <v>90876</v>
      </c>
      <c r="T107" s="167" t="n">
        <f aca="false">($P107-S107)/1000</f>
        <v>448.8525</v>
      </c>
    </row>
    <row r="108" customFormat="false" ht="14.25" hidden="false" customHeight="false" outlineLevel="0" collapsed="false">
      <c r="B108" s="103" t="s">
        <v>152</v>
      </c>
      <c r="C108" s="72" t="n">
        <v>-25.214</v>
      </c>
      <c r="D108" s="105" t="n">
        <v>-25.214</v>
      </c>
      <c r="E108" s="1" t="n">
        <f aca="false">[2]NWP_PGT_DAILY!BZ2</f>
        <v>0</v>
      </c>
      <c r="F108" s="72" t="n">
        <v>-15.074</v>
      </c>
      <c r="G108" s="168" t="n">
        <v>-19.584</v>
      </c>
      <c r="H108" s="169"/>
      <c r="I108" s="22" t="e">
        <f aca="false">SUM(I103:I107)</f>
        <v>#VALUE!</v>
      </c>
      <c r="J108" s="18" t="e">
        <f aca="false">SUM(J103:J107)</f>
        <v>#VALUE!</v>
      </c>
      <c r="K108" s="173"/>
      <c r="L108" s="174" t="n">
        <f aca="false">SUM(L103:L107)</f>
        <v>-230.041</v>
      </c>
      <c r="M108" s="175" t="n">
        <f aca="false">SUM(M103:M107)</f>
        <v>-204.172</v>
      </c>
    </row>
    <row r="109" customFormat="false" ht="14.25" hidden="false" customHeight="false" outlineLevel="0" collapsed="false">
      <c r="B109" s="103" t="s">
        <v>150</v>
      </c>
      <c r="C109" s="176" t="n">
        <v>-74.1450000000001</v>
      </c>
      <c r="D109" s="177" t="n">
        <v>-72.49</v>
      </c>
      <c r="E109" s="1" t="n">
        <f aca="false">[2]NWP_PGT_DAILY!CB2</f>
        <v>0</v>
      </c>
      <c r="F109" s="72" t="n">
        <v>-18.046</v>
      </c>
      <c r="G109" s="168" t="n">
        <v>-11.701</v>
      </c>
      <c r="H109" s="178"/>
      <c r="J109" s="110"/>
      <c r="O109" s="179" t="s">
        <v>136</v>
      </c>
      <c r="P109" s="36" t="n">
        <v>95.277</v>
      </c>
    </row>
    <row r="110" customFormat="false" ht="14.25" hidden="false" customHeight="false" outlineLevel="0" collapsed="false">
      <c r="B110" s="103" t="s">
        <v>153</v>
      </c>
      <c r="C110" s="176" t="n">
        <v>102.207</v>
      </c>
      <c r="D110" s="177" t="n">
        <v>79.583</v>
      </c>
      <c r="E110" s="1" t="n">
        <f aca="false">[2]NWP_PGT_DAILY!CD2</f>
        <v>0</v>
      </c>
      <c r="F110" s="72" t="n">
        <v>-34.162</v>
      </c>
      <c r="G110" s="168" t="n">
        <v>-34.162</v>
      </c>
      <c r="H110" s="178"/>
      <c r="J110" s="110"/>
      <c r="O110" s="179" t="s">
        <v>140</v>
      </c>
      <c r="P110" s="36" t="n">
        <v>279.245</v>
      </c>
    </row>
    <row r="111" customFormat="false" ht="12.75" hidden="false" customHeight="false" outlineLevel="0" collapsed="false">
      <c r="B111" s="173"/>
      <c r="C111" s="174" t="n">
        <f aca="false">SUM(C103:C109)</f>
        <v>-160.181</v>
      </c>
      <c r="D111" s="175" t="n">
        <f aca="false">SUM(D103:D109)</f>
        <v>-164.041</v>
      </c>
      <c r="E111" s="1" t="n">
        <f aca="false">[2]NWP_PGT_DAILY!CF2</f>
        <v>0</v>
      </c>
      <c r="F111" s="176" t="n">
        <v>-22.316</v>
      </c>
      <c r="G111" s="168" t="n">
        <v>-22.316</v>
      </c>
      <c r="H111" s="173"/>
      <c r="I111" s="112"/>
      <c r="J111" s="113"/>
      <c r="O111" s="179" t="s">
        <v>144</v>
      </c>
      <c r="P111" s="36" t="n">
        <v>732.9</v>
      </c>
    </row>
    <row r="112" customFormat="false" ht="12.75" hidden="false" customHeight="false" outlineLevel="0" collapsed="false">
      <c r="D112" s="1"/>
      <c r="E112" s="112"/>
      <c r="F112" s="174" t="n">
        <f aca="false">SUM(F104:F111)</f>
        <v>-150.864</v>
      </c>
      <c r="G112" s="175" t="n">
        <f aca="false">SUM(G104:G111)</f>
        <v>-161.178</v>
      </c>
      <c r="O112" s="179" t="s">
        <v>148</v>
      </c>
      <c r="P112" s="36" t="n">
        <v>732.9</v>
      </c>
    </row>
    <row r="113" customFormat="false" ht="12.75" hidden="false" customHeight="false" outlineLevel="0" collapsed="false">
      <c r="B113" s="126" t="n">
        <v>36220</v>
      </c>
      <c r="C113" s="180" t="n">
        <v>-165.112903225807</v>
      </c>
      <c r="D113" s="1"/>
      <c r="E113" s="2"/>
      <c r="F113" s="6"/>
      <c r="G113" s="6"/>
      <c r="O113" s="179" t="s">
        <v>151</v>
      </c>
      <c r="P113" s="36" t="n">
        <v>481.6465</v>
      </c>
    </row>
    <row r="114" customFormat="false" ht="12.75" hidden="false" customHeight="false" outlineLevel="0" collapsed="false">
      <c r="D114" s="1"/>
      <c r="F114" s="72"/>
      <c r="G114" s="72"/>
    </row>
    <row r="115" customFormat="false" ht="12.75" hidden="false" customHeight="false" outlineLevel="0" collapsed="false">
      <c r="D115" s="1"/>
      <c r="E115" s="2"/>
    </row>
    <row r="116" customFormat="false" ht="12.75" hidden="false" customHeight="false" outlineLevel="0" collapsed="false">
      <c r="D116" s="1"/>
      <c r="E116" s="2"/>
      <c r="F116" s="72"/>
      <c r="G116" s="72"/>
    </row>
    <row r="117" customFormat="false" ht="12.75" hidden="false" customHeight="false" outlineLevel="0" collapsed="false">
      <c r="D117" s="1"/>
      <c r="E117" s="2"/>
    </row>
    <row r="118" customFormat="false" ht="12.75" hidden="false" customHeight="false" outlineLevel="0" collapsed="false">
      <c r="D118" s="1"/>
      <c r="E118" s="2"/>
    </row>
    <row r="119" customFormat="false" ht="12.75" hidden="false" customHeight="false" outlineLevel="0" collapsed="false">
      <c r="D119" s="1"/>
    </row>
    <row r="120" customFormat="false" ht="14.25" hidden="false" customHeight="false" outlineLevel="0" collapsed="false">
      <c r="G120" s="51"/>
    </row>
  </sheetData>
  <mergeCells count="23">
    <mergeCell ref="H13:I13"/>
    <mergeCell ref="N16:O16"/>
    <mergeCell ref="Q21:R21"/>
    <mergeCell ref="Q24:R24"/>
    <mergeCell ref="H26:I26"/>
    <mergeCell ref="Q46:R46"/>
    <mergeCell ref="AM51:AO51"/>
    <mergeCell ref="D55:D56"/>
    <mergeCell ref="E55:E56"/>
    <mergeCell ref="F55:F56"/>
    <mergeCell ref="S62:T62"/>
    <mergeCell ref="V62:W62"/>
    <mergeCell ref="O71:P71"/>
    <mergeCell ref="R73:S73"/>
    <mergeCell ref="L76:M76"/>
    <mergeCell ref="AB79:AC79"/>
    <mergeCell ref="Q81:R81"/>
    <mergeCell ref="J83:K83"/>
    <mergeCell ref="AF84:AG84"/>
    <mergeCell ref="K91:L91"/>
    <mergeCell ref="R91:S91"/>
    <mergeCell ref="AD93:AE93"/>
    <mergeCell ref="AF93:AG93"/>
  </mergeCells>
  <printOptions headings="false" gridLines="false" gridLinesSet="true" horizontalCentered="fals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2000-03-16T12:34:21Z</dcterms:created>
  <dc:creator>sbrodeu</dc:creator>
  <dc:description/>
  <dc:language>en-US</dc:language>
  <cp:lastModifiedBy>sbrodeu</cp:lastModifiedBy>
  <cp:revision>0</cp:revision>
  <dc:subject/>
  <dc:title/>
</cp:coreProperties>
</file>