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visible" r:id="rId4"/>
    <sheet name="EIM New Deals" sheetId="3" state="visible" r:id="rId5"/>
    <sheet name="EIM Volumes" sheetId="4" state="visible" r:id="rId6"/>
    <sheet name="WE 5-30 EOL Data" sheetId="5" state="visible" r:id="rId7"/>
    <sheet name="WE 5-23 EOL Data" sheetId="6" state="hidden" r:id="rId8"/>
    <sheet name="WE 5-16 EOL Data" sheetId="7" state="hidden" r:id="rId9"/>
    <sheet name="WE 5-9 EOL Data" sheetId="8" state="hidden" r:id="rId10"/>
    <sheet name="WE 5-2 EOL Data" sheetId="9" state="hidden" r:id="rId11"/>
    <sheet name="WE 4-25 EOL Data" sheetId="10" state="hidden" r:id="rId12"/>
    <sheet name="WE 4-18 EOL Data" sheetId="11" state="hidden" r:id="rId13"/>
    <sheet name="WE 2-22 EOL Data" sheetId="12" state="hidden" r:id="rId14"/>
    <sheet name="WE 2-28 EOL Data" sheetId="13" state="hidden" r:id="rId15"/>
    <sheet name="WE 3-7 EOL Data" sheetId="14" state="hidden" r:id="rId16"/>
    <sheet name="WE 2-15 EOL Data" sheetId="15" state="hidden" r:id="rId17"/>
    <sheet name="WE 2-8 EOL Data" sheetId="16" state="hidden" r:id="rId18"/>
    <sheet name="WE 3-14 EOL Data" sheetId="17" state="hidden" r:id="rId19"/>
    <sheet name="WE 3-21 EOL Data" sheetId="18" state="hidden" r:id="rId20"/>
    <sheet name="WE 3-28 EOL Data" sheetId="19" state="hidden" r:id="rId21"/>
    <sheet name="WE 4-4 EOL Data" sheetId="20" state="hidden" r:id="rId22"/>
    <sheet name="WE 4-11 EOL Data" sheetId="21" state="hidden" r:id="rId23"/>
    <sheet name="WE 2-1 EOL Data" sheetId="22" state="hidden" r:id="rId24"/>
    <sheet name="template from individuals" sheetId="23" state="hidden" r:id="rId25"/>
    <sheet name="template from eol" sheetId="24" state="hidden" r:id="rId26"/>
    <sheet name="Data People" sheetId="25" state="hidden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function="false" hidden="false" localSheetId="1" name="_xlnm.Print_Area" vbProcedure="false">Data!$O$10:$AC$79</definedName>
    <definedName function="false" hidden="false" localSheetId="1" name="_xlnm.Print_Titles" vbProcedure="false">Data!$E:$E</definedName>
    <definedName function="false" hidden="false" localSheetId="2" name="_xlnm.Print_Area" vbProcedure="false">'EIM New Deals'!$AJ$1:$AS$16</definedName>
    <definedName function="false" hidden="false" localSheetId="2" name="_xlnm.Print_Titles" vbProcedure="false">'EIM New Deals'!$A:$A</definedName>
    <definedName function="false" hidden="false" localSheetId="22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name="DATARANGE" vbProcedure="false">[3]DATA!$A$3:$Y$93</definedName>
    <definedName function="false" hidden="false" name="DATE" vbProcedure="false">[3]DATA!$C$1</definedName>
    <definedName function="false" hidden="false" name="SUMM_ALLOC" vbProcedure="false">[3]ALLOCATION!$A$6:$C$48</definedName>
    <definedName function="false" hidden="false" localSheetId="1" name="Excel_BuiltIn__FilterDatabase" vbProcedure="false">Data!$A$87:$G$111</definedName>
    <definedName function="false" hidden="false" localSheetId="8" name="DATARANGE" vbProcedure="false">[4]DATA!$A$3:$Y$93</definedName>
    <definedName function="false" hidden="false" localSheetId="8" name="DATE" vbProcedure="false">[4]DATA!$C$1</definedName>
    <definedName function="false" hidden="false" localSheetId="8" name="SUMM_ALLOC" vbProcedure="false">[4]ALLOCATION!$A$6:$C$48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U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64</xdr:row>
                <xdr:rowOff>7</xdr:rowOff>
              </xdr:from>
              <xdr:to>
                <xdr:col>23</xdr:col>
                <xdr:colOff>46</xdr:colOff>
                <xdr:row>77</xdr:row>
                <xdr:rowOff>4</xdr:rowOff>
              </xdr:to>
            </anchor>
          </commentPr>
        </mc:Choice>
        <mc:Fallback/>
      </mc:AlternateContent>
    </comment>
    <comment ref="U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65</xdr:row>
                <xdr:rowOff>7</xdr:rowOff>
              </xdr:from>
              <xdr:to>
                <xdr:col>23</xdr:col>
                <xdr:colOff>46</xdr:colOff>
                <xdr:row>78</xdr:row>
                <xdr:rowOff>4</xdr:rowOff>
              </xdr:to>
            </anchor>
          </commentPr>
        </mc:Choice>
        <mc:Fallback/>
      </mc:AlternateContent>
    </comment>
    <comment ref="U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66</xdr:row>
                <xdr:rowOff>7</xdr:rowOff>
              </xdr:from>
              <xdr:to>
                <xdr:col>23</xdr:col>
                <xdr:colOff>46</xdr:colOff>
                <xdr:row>79</xdr:row>
                <xdr:rowOff>4</xdr:rowOff>
              </xdr:to>
            </anchor>
          </commentPr>
        </mc:Choice>
        <mc:Fallback/>
      </mc:AlternateContent>
    </comment>
    <comment ref="U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67</xdr:row>
                <xdr:rowOff>7</xdr:rowOff>
              </xdr:from>
              <xdr:to>
                <xdr:col>23</xdr:col>
                <xdr:colOff>46</xdr:colOff>
                <xdr:row>80</xdr:row>
                <xdr:rowOff>4</xdr:rowOff>
              </xdr:to>
            </anchor>
          </commentPr>
        </mc:Choice>
        <mc:Fallback/>
      </mc:AlternateContent>
    </comment>
    <comment ref="V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64</xdr:row>
                <xdr:rowOff>7</xdr:rowOff>
              </xdr:from>
              <xdr:to>
                <xdr:col>24</xdr:col>
                <xdr:colOff>46</xdr:colOff>
                <xdr:row>77</xdr:row>
                <xdr:rowOff>4</xdr:rowOff>
              </xdr:to>
            </anchor>
          </commentPr>
        </mc:Choice>
        <mc:Fallback/>
      </mc:AlternateContent>
    </comment>
    <comment ref="V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65</xdr:row>
                <xdr:rowOff>7</xdr:rowOff>
              </xdr:from>
              <xdr:to>
                <xdr:col>24</xdr:col>
                <xdr:colOff>46</xdr:colOff>
                <xdr:row>78</xdr:row>
                <xdr:rowOff>4</xdr:rowOff>
              </xdr:to>
            </anchor>
          </commentPr>
        </mc:Choice>
        <mc:Fallback/>
      </mc:AlternateContent>
    </comment>
    <comment ref="V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66</xdr:row>
                <xdr:rowOff>7</xdr:rowOff>
              </xdr:from>
              <xdr:to>
                <xdr:col>24</xdr:col>
                <xdr:colOff>46</xdr:colOff>
                <xdr:row>79</xdr:row>
                <xdr:rowOff>4</xdr:rowOff>
              </xdr:to>
            </anchor>
          </commentPr>
        </mc:Choice>
        <mc:Fallback/>
      </mc:AlternateContent>
    </comment>
    <comment ref="V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67</xdr:row>
                <xdr:rowOff>7</xdr:rowOff>
              </xdr:from>
              <xdr:to>
                <xdr:col>24</xdr:col>
                <xdr:colOff>46</xdr:colOff>
                <xdr:row>80</xdr:row>
                <xdr:rowOff>4</xdr:rowOff>
              </xdr:to>
            </anchor>
          </commentPr>
        </mc:Choice>
        <mc:Fallback/>
      </mc:AlternateContent>
    </comment>
    <comment ref="W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64</xdr:row>
                <xdr:rowOff>7</xdr:rowOff>
              </xdr:from>
              <xdr:to>
                <xdr:col>25</xdr:col>
                <xdr:colOff>34</xdr:colOff>
                <xdr:row>77</xdr:row>
                <xdr:rowOff>4</xdr:rowOff>
              </xdr:to>
            </anchor>
          </commentPr>
        </mc:Choice>
        <mc:Fallback/>
      </mc:AlternateContent>
    </comment>
    <comment ref="W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65</xdr:row>
                <xdr:rowOff>7</xdr:rowOff>
              </xdr:from>
              <xdr:to>
                <xdr:col>25</xdr:col>
                <xdr:colOff>34</xdr:colOff>
                <xdr:row>78</xdr:row>
                <xdr:rowOff>4</xdr:rowOff>
              </xdr:to>
            </anchor>
          </commentPr>
        </mc:Choice>
        <mc:Fallback/>
      </mc:AlternateContent>
    </comment>
    <comment ref="W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66</xdr:row>
                <xdr:rowOff>7</xdr:rowOff>
              </xdr:from>
              <xdr:to>
                <xdr:col>25</xdr:col>
                <xdr:colOff>34</xdr:colOff>
                <xdr:row>79</xdr:row>
                <xdr:rowOff>4</xdr:rowOff>
              </xdr:to>
            </anchor>
          </commentPr>
        </mc:Choice>
        <mc:Fallback/>
      </mc:AlternateContent>
    </comment>
    <comment ref="W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67</xdr:row>
                <xdr:rowOff>7</xdr:rowOff>
              </xdr:from>
              <xdr:to>
                <xdr:col>25</xdr:col>
                <xdr:colOff>34</xdr:colOff>
                <xdr:row>80</xdr:row>
                <xdr:rowOff>4</xdr:rowOff>
              </xdr:to>
            </anchor>
          </commentPr>
        </mc:Choice>
        <mc:Fallback/>
      </mc:AlternateContent>
    </comment>
    <comment ref="X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64</xdr:row>
                <xdr:rowOff>7</xdr:rowOff>
              </xdr:from>
              <xdr:to>
                <xdr:col>26</xdr:col>
                <xdr:colOff>22</xdr:colOff>
                <xdr:row>77</xdr:row>
                <xdr:rowOff>4</xdr:rowOff>
              </xdr:to>
            </anchor>
          </commentPr>
        </mc:Choice>
        <mc:Fallback/>
      </mc:AlternateContent>
    </comment>
    <comment ref="X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65</xdr:row>
                <xdr:rowOff>7</xdr:rowOff>
              </xdr:from>
              <xdr:to>
                <xdr:col>26</xdr:col>
                <xdr:colOff>22</xdr:colOff>
                <xdr:row>78</xdr:row>
                <xdr:rowOff>4</xdr:rowOff>
              </xdr:to>
            </anchor>
          </commentPr>
        </mc:Choice>
        <mc:Fallback/>
      </mc:AlternateContent>
    </comment>
    <comment ref="X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66</xdr:row>
                <xdr:rowOff>7</xdr:rowOff>
              </xdr:from>
              <xdr:to>
                <xdr:col>26</xdr:col>
                <xdr:colOff>22</xdr:colOff>
                <xdr:row>79</xdr:row>
                <xdr:rowOff>4</xdr:rowOff>
              </xdr:to>
            </anchor>
          </commentPr>
        </mc:Choice>
        <mc:Fallback/>
      </mc:AlternateContent>
    </comment>
    <comment ref="X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67</xdr:row>
                <xdr:rowOff>7</xdr:rowOff>
              </xdr:from>
              <xdr:to>
                <xdr:col>26</xdr:col>
                <xdr:colOff>22</xdr:colOff>
                <xdr:row>80</xdr:row>
                <xdr:rowOff>4</xdr:rowOff>
              </xdr:to>
            </anchor>
          </commentPr>
        </mc:Choice>
        <mc:Fallback/>
      </mc:AlternateContent>
    </comment>
    <comment ref="Y66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64</xdr:row>
                <xdr:rowOff>7</xdr:rowOff>
              </xdr:from>
              <xdr:to>
                <xdr:col>27</xdr:col>
                <xdr:colOff>22</xdr:colOff>
                <xdr:row>77</xdr:row>
                <xdr:rowOff>4</xdr:rowOff>
              </xdr:to>
            </anchor>
          </commentPr>
        </mc:Choice>
        <mc:Fallback/>
      </mc:AlternateContent>
    </comment>
    <comment ref="Y67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65</xdr:row>
                <xdr:rowOff>7</xdr:rowOff>
              </xdr:from>
              <xdr:to>
                <xdr:col>27</xdr:col>
                <xdr:colOff>22</xdr:colOff>
                <xdr:row>78</xdr:row>
                <xdr:rowOff>4</xdr:rowOff>
              </xdr:to>
            </anchor>
          </commentPr>
        </mc:Choice>
        <mc:Fallback/>
      </mc:AlternateContent>
    </comment>
    <comment ref="Y6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66</xdr:row>
                <xdr:rowOff>7</xdr:rowOff>
              </xdr:from>
              <xdr:to>
                <xdr:col>27</xdr:col>
                <xdr:colOff>22</xdr:colOff>
                <xdr:row>79</xdr:row>
                <xdr:rowOff>4</xdr:rowOff>
              </xdr:to>
            </anchor>
          </commentPr>
        </mc:Choice>
        <mc:Fallback/>
      </mc:AlternateContent>
    </comment>
    <comment ref="Y69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These volumes were run after the fact, to try to get a breakdown of EIM volumes.  They therefore do not tie exactly to the volumes that were reported previously in total for EIM, which were provided by EOL.  EOL volumes are a "snapshot" of the week and do not include any killed or adjusted transactions that occur after the week has ended, where as these would have been included in the "re-run" numbers provided directly from EIM.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67</xdr:row>
                <xdr:rowOff>7</xdr:rowOff>
              </xdr:from>
              <xdr:to>
                <xdr:col>27</xdr:col>
                <xdr:colOff>22</xdr:colOff>
                <xdr:row>80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<sst xmlns="http://schemas.openxmlformats.org/spreadsheetml/2006/main" count="2100" uniqueCount="237">
  <si>
    <t xml:space="preserve">Principal Projects / Deals:</t>
  </si>
  <si>
    <t xml:space="preserve">New Deals</t>
  </si>
  <si>
    <t xml:space="preserve">Traded Volume for Physical New Deals</t>
  </si>
  <si>
    <t xml:space="preserve">Operational Risk:</t>
  </si>
  <si>
    <t xml:space="preserve">4/26-5/2</t>
  </si>
  <si>
    <t xml:space="preserve">5/3-5/9</t>
  </si>
  <si>
    <t xml:space="preserve">5/10-5/16</t>
  </si>
  <si>
    <t xml:space="preserve">5/17-5/23</t>
  </si>
  <si>
    <t xml:space="preserve">5/24-5/30</t>
  </si>
  <si>
    <t xml:space="preserve">Total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</si>
  <si>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</si>
  <si>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</si>
  <si>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-  AEP transition work was the priority this week due to June 1 transition.       </t>
  </si>
  <si>
    <t xml:space="preserve">Gas</t>
  </si>
  <si>
    <r>
      <rPr>
        <sz val="12"/>
        <rFont val="Arial"/>
        <family val="2"/>
      </rPr>
      <t xml:space="preserve">Gas</t>
    </r>
    <r>
      <rPr>
        <sz val="10"/>
        <rFont val="Arial"/>
        <family val="2"/>
      </rPr>
      <t xml:space="preserve"> (MMBTU)</t>
    </r>
  </si>
  <si>
    <t xml:space="preserve">Power</t>
  </si>
  <si>
    <r>
      <rPr>
        <sz val="12"/>
        <rFont val="Arial"/>
        <family val="2"/>
      </rPr>
      <t xml:space="preserve">Power</t>
    </r>
    <r>
      <rPr>
        <sz val="10"/>
        <rFont val="Arial"/>
        <family val="2"/>
      </rPr>
      <t xml:space="preserve"> (MHtz)</t>
    </r>
  </si>
  <si>
    <t xml:space="preserve">-  Unify testing being finalized; dry run conversion this weekend, on track for       </t>
  </si>
  <si>
    <t xml:space="preserve">% of EA from EOL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</si>
  <si>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</si>
  <si>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 going live June 8.       </t>
  </si>
  <si>
    <t xml:space="preserve">EGM</t>
  </si>
  <si>
    <r>
      <rPr>
        <sz val="12"/>
        <rFont val="Arial"/>
        <family val="2"/>
      </rPr>
      <t xml:space="preserve">Liquids </t>
    </r>
    <r>
      <rPr>
        <sz val="10"/>
        <rFont val="Arial"/>
        <family val="2"/>
      </rPr>
      <t xml:space="preserve">(BBL)</t>
    </r>
  </si>
  <si>
    <t xml:space="preserve">IR/FX</t>
  </si>
  <si>
    <r>
      <rPr>
        <sz val="12"/>
        <rFont val="Arial"/>
        <family val="2"/>
      </rPr>
      <t xml:space="preserve">Coal</t>
    </r>
    <r>
      <rPr>
        <sz val="10"/>
        <rFont val="Arial"/>
        <family val="2"/>
      </rPr>
      <t xml:space="preserve"> (Tonne)</t>
    </r>
  </si>
  <si>
    <t xml:space="preserve">- Progress on Operational DPR Reporting.       </t>
  </si>
  <si>
    <t xml:space="preserve">Liquids</t>
  </si>
  <si>
    <r>
      <rPr>
        <sz val="12"/>
        <rFont val="Arial"/>
        <family val="2"/>
      </rPr>
      <t xml:space="preserve">Emissions </t>
    </r>
    <r>
      <rPr>
        <sz val="10"/>
        <rFont val="Arial"/>
        <family val="2"/>
      </rPr>
      <t xml:space="preserve">(Contracts)</t>
    </r>
  </si>
  <si>
    <t xml:space="preserve">Coal</t>
  </si>
  <si>
    <r>
      <rPr>
        <b val="true"/>
        <sz val="12"/>
        <rFont val="Arial"/>
        <family val="2"/>
      </rPr>
      <t xml:space="preserve">EIM </t>
    </r>
    <r>
      <rPr>
        <b val="true"/>
        <sz val="10"/>
        <rFont val="Arial"/>
        <family val="2"/>
      </rPr>
      <t xml:space="preserve">(Metric Tonne)</t>
    </r>
  </si>
  <si>
    <t xml:space="preserve">-  Agreed review process for Merchant Portfolio with Commercial and RAC.       </t>
  </si>
  <si>
    <t xml:space="preserve">Weather</t>
  </si>
  <si>
    <t xml:space="preserve">Newsprint</t>
  </si>
  <si>
    <t xml:space="preserve">Emissions</t>
  </si>
  <si>
    <t xml:space="preserve">Pulp</t>
  </si>
  <si>
    <t xml:space="preserve">-  Working on Seoul SK Gas joint venture issue with the Global Assets               </t>
  </si>
  <si>
    <t xml:space="preserve">% of EGM from EOL</t>
  </si>
  <si>
    <t xml:space="preserve">Lumber</t>
  </si>
  <si>
    <t xml:space="preserve"> Team.</t>
  </si>
  <si>
    <t xml:space="preserve">EIM</t>
  </si>
  <si>
    <t xml:space="preserve">Steel</t>
  </si>
  <si>
    <t xml:space="preserve">- Held 1st of three RAC / Risk Management meetings to review risk policy            </t>
  </si>
  <si>
    <t xml:space="preserve">New Counterparties</t>
  </si>
  <si>
    <t xml:space="preserve">and other risk aggregation issues.       </t>
  </si>
  <si>
    <t xml:space="preserve">E-Commerce</t>
  </si>
  <si>
    <t xml:space="preserve">% of EIM from EOL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</si>
  <si>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</si>
  <si>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</si>
  <si>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</si>
  <si>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</si>
  <si>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</si>
  <si>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</si>
  <si>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</si>
  <si>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</si>
  <si>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</si>
  <si>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</si>
  <si>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</si>
  <si>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</si>
  <si>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</si>
  <si>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</si>
  <si>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</si>
  <si>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</si>
  <si>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</si>
  <si>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12/29 - 1/4</t>
  </si>
  <si>
    <t xml:space="preserve">1/5 - 1/11</t>
  </si>
  <si>
    <t xml:space="preserve">1/12 - 1/18</t>
  </si>
  <si>
    <t xml:space="preserve">1/19 - 1/25</t>
  </si>
  <si>
    <t xml:space="preserve">1/26 - 2/1</t>
  </si>
  <si>
    <t xml:space="preserve">2/2 - 2/8</t>
  </si>
  <si>
    <t xml:space="preserve">2/9 - 2/15</t>
  </si>
  <si>
    <t xml:space="preserve">2/16 - 2/22</t>
  </si>
  <si>
    <t xml:space="preserve">2/23 - 2/28</t>
  </si>
  <si>
    <t xml:space="preserve">3/1 - 3/7</t>
  </si>
  <si>
    <t xml:space="preserve">3/8 - 3/14</t>
  </si>
  <si>
    <t xml:space="preserve">3/15 - 3/21</t>
  </si>
  <si>
    <t xml:space="preserve">3/22 - 3/28</t>
  </si>
  <si>
    <t xml:space="preserve">3/29 - 4/4</t>
  </si>
  <si>
    <t xml:space="preserve">4/5 - 4/11</t>
  </si>
  <si>
    <t xml:space="preserve">4/12 - 4/18</t>
  </si>
  <si>
    <t xml:space="preserve">4/19 - 4/25</t>
  </si>
  <si>
    <t xml:space="preserve">4/26 - 5/2</t>
  </si>
  <si>
    <t xml:space="preserve">5/3 - 5/9</t>
  </si>
  <si>
    <t xml:space="preserve">5/10 - 5/16</t>
  </si>
  <si>
    <t xml:space="preserve">5/17 - 5/23</t>
  </si>
  <si>
    <t xml:space="preserve">5/24 - 5/30</t>
  </si>
  <si>
    <t xml:space="preserve">Gas </t>
  </si>
  <si>
    <t xml:space="preserve">MMBTU</t>
  </si>
  <si>
    <t xml:space="preserve">Non EOL</t>
  </si>
  <si>
    <t xml:space="preserve">EOL</t>
  </si>
  <si>
    <t xml:space="preserve">Power </t>
  </si>
  <si>
    <t xml:space="preserve">MHtz</t>
  </si>
  <si>
    <t xml:space="preserve">% From EOL</t>
  </si>
  <si>
    <t xml:space="preserve">Total Non EOL</t>
  </si>
  <si>
    <t xml:space="preserve">Total EOL</t>
  </si>
  <si>
    <t xml:space="preserve">Physical Pulp</t>
  </si>
  <si>
    <t xml:space="preserve">Financial Pulp</t>
  </si>
  <si>
    <t xml:space="preserve">IR/FX </t>
  </si>
  <si>
    <t xml:space="preserve">BBL</t>
  </si>
  <si>
    <t xml:space="preserve">Physical Steel</t>
  </si>
  <si>
    <t xml:space="preserve">Liquids </t>
  </si>
  <si>
    <t xml:space="preserve">TONNE</t>
  </si>
  <si>
    <t xml:space="preserve">Financial Steel</t>
  </si>
  <si>
    <t xml:space="preserve">Coal </t>
  </si>
  <si>
    <t xml:space="preserve">HDD/CDD</t>
  </si>
  <si>
    <t xml:space="preserve">Weather </t>
  </si>
  <si>
    <t xml:space="preserve">USD</t>
  </si>
  <si>
    <t xml:space="preserve">Physical Liquids</t>
  </si>
  <si>
    <t xml:space="preserve">CONTRACTS</t>
  </si>
  <si>
    <t xml:space="preserve">Newsprint 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</si>
  <si>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</si>
  <si>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</si>
  <si>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</si>
  <si>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</si>
  <si>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</si>
  <si>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</si>
  <si>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Gas (MMBTU)</t>
  </si>
  <si>
    <t xml:space="preserve">Power (MHtz)</t>
  </si>
  <si>
    <t xml:space="preserve">Total EIM (Tonne)</t>
  </si>
  <si>
    <t xml:space="preserve">Liquids (BBL)</t>
  </si>
  <si>
    <t xml:space="preserve">Coal (Tonne)</t>
  </si>
  <si>
    <t xml:space="preserve">Emissions (Contracts)</t>
  </si>
  <si>
    <t xml:space="preserve">Weather (HDD/CDD)</t>
  </si>
  <si>
    <t xml:space="preserve">IR/FX (USD)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</si>
  <si>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</si>
  <si>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</si>
  <si>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</si>
  <si>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</si>
  <si>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</si>
  <si>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</si>
  <si>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</si>
  <si>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</si>
  <si>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</si>
  <si>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</si>
  <si>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</si>
  <si>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</si>
  <si>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</si>
  <si>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</si>
  <si>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</si>
  <si>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New Deals for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</si>
  <si>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</si>
  <si>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</si>
  <si>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</si>
  <si>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</si>
  <si>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</si>
  <si>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</si>
  <si>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</si>
  <si>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</si>
  <si>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</si>
  <si>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</si>
  <si>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</si>
  <si>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</si>
  <si>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22</t>
  </si>
  <si>
    <t xml:space="preserve">Week Ending 28</t>
  </si>
  <si>
    <t xml:space="preserve">Week Ending 7</t>
  </si>
  <si>
    <t xml:space="preserve">Week Ending 14</t>
  </si>
  <si>
    <t xml:space="preserve">Week Ending 21</t>
  </si>
  <si>
    <t xml:space="preserve">Week Ending 2</t>
  </si>
  <si>
    <t xml:space="preserve">Week Ending 9</t>
  </si>
  <si>
    <t xml:space="preserve">Week Ending 23</t>
  </si>
  <si>
    <t xml:space="preserve">Week Ending 30</t>
  </si>
  <si>
    <t xml:space="preserve">Non-EOL</t>
  </si>
  <si>
    <t xml:space="preserve">Financial</t>
  </si>
  <si>
    <t xml:space="preserve">for WE Apr 11 - up to limit on trading of lumber (wanted to go short, but didn't have room to trade)</t>
  </si>
  <si>
    <t xml:space="preserve">Pulp (recycled paper)</t>
  </si>
  <si>
    <t xml:space="preserve">Physical</t>
  </si>
  <si>
    <t xml:space="preserve">VOLUMES</t>
  </si>
  <si>
    <t xml:space="preserve">Lumber - MBFs</t>
  </si>
  <si>
    <t xml:space="preserve">Newsprint - MT</t>
  </si>
  <si>
    <t xml:space="preserve">Pulp (recycled paper) - MT</t>
  </si>
  <si>
    <t xml:space="preserve">Steel - MT</t>
  </si>
  <si>
    <t xml:space="preserve">Total Financial &amp; Physical</t>
  </si>
  <si>
    <t xml:space="preserve">Lumber - Converted</t>
  </si>
  <si>
    <t xml:space="preserve">exchange </t>
  </si>
  <si>
    <t xml:space="preserve">Week ending 05/30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</si>
  <si>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</si>
  <si>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</si>
  <si>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</si>
  <si>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</si>
  <si>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Number of new EOL Counterparties</t>
  </si>
  <si>
    <t xml:space="preserve">Week ending 05/23</t>
  </si>
  <si>
    <t xml:space="preserve">Week ending 05/16</t>
  </si>
  <si>
    <t xml:space="preserve">Pulp &amp; Paper</t>
  </si>
  <si>
    <t xml:space="preserve">Clickpaper</t>
  </si>
  <si>
    <t xml:space="preserve">Board Feet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</si>
  <si>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</si>
  <si>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</si>
  <si>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</si>
  <si>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</si>
  <si>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Week ending 05/09</t>
  </si>
  <si>
    <t xml:space="preserve">Week ending 05/02</t>
  </si>
  <si>
    <t xml:space="preserve">does not include EOL Trades</t>
  </si>
  <si>
    <t xml:space="preserve">Click paper and </t>
  </si>
  <si>
    <t xml:space="preserve">Week ending 04/25</t>
  </si>
  <si>
    <t xml:space="preserve">Week ending 04/18</t>
  </si>
  <si>
    <t xml:space="preserve">Week ending 2/22</t>
  </si>
  <si>
    <t xml:space="preserve">Week ending 2/28</t>
  </si>
  <si>
    <t xml:space="preserve">Week ending 3/07</t>
  </si>
  <si>
    <t xml:space="preserve">Week ending 2/15</t>
  </si>
  <si>
    <t xml:space="preserve">Week ending 2/8</t>
  </si>
  <si>
    <t xml:space="preserve">Week ending 3/14</t>
  </si>
  <si>
    <t xml:space="preserve">Week ending 3/21</t>
  </si>
  <si>
    <t xml:space="preserve">Week ending 3/28</t>
  </si>
  <si>
    <t xml:space="preserve">Week ending 04/04</t>
  </si>
  <si>
    <t xml:space="preserve">Week ending 04/11</t>
  </si>
  <si>
    <t xml:space="preserve">Week ending 2/1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</si>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</sst>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\(#,##0\)"/>
    <numFmt numFmtId="168" formatCode="#,##0"/>
    <numFmt numFmtId="169" formatCode="0%"/>
    <numFmt numFmtId="170" formatCode="_(* #,##0_);_(* \(#,##0\);_(* \-_);_(@_)"/>
    <numFmt numFmtId="171" formatCode="0"/>
    <numFmt numFmtId="172" formatCode="_(* #,##0.000_);_(* \(#,##0.000\);_(* \-??_);_(@_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3"/>
      <name val="Arial"/>
      <family val="2"/>
    </font>
    <font>
      <sz val="9.5"/>
      <name val="Arial"/>
      <family val="0"/>
    </font>
    <font>
      <b val="true"/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 val="true"/>
      <sz val="13.75"/>
      <name val="Arial"/>
      <family val="2"/>
    </font>
    <font>
      <b val="true"/>
      <sz val="10.5"/>
      <name val="Arial"/>
      <family val="2"/>
    </font>
    <font>
      <sz val="10.25"/>
      <color rgb="FF000000"/>
      <name val="Arial"/>
      <family val="2"/>
    </font>
    <font>
      <sz val="10.75"/>
      <color rgb="FF000000"/>
      <name val="Arial"/>
      <family val="2"/>
    </font>
    <font>
      <sz val="9.5"/>
      <color rgb="FF000000"/>
      <name val="Arial"/>
      <family val="2"/>
    </font>
    <font>
      <sz val="10.5"/>
      <color rgb="FF000000"/>
      <name val="Arial"/>
      <family val="2"/>
    </font>
    <font>
      <sz val="9.25"/>
      <color rgb="FF000000"/>
      <name val="Arial"/>
      <family val="2"/>
    </font>
    <font>
      <b val="true"/>
      <sz val="14"/>
      <name val="Arial"/>
      <family val="2"/>
    </font>
    <font>
      <b val="true"/>
      <sz val="14.25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4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28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2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2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6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5.xml"/><Relationship Id="rId33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EGM</a:t>
            </a:r>
            <a:r>
              <a:rPr b="1" sz="1200" strike="noStrike" u="none">
                <a:uFillTx/>
                <a:latin typeface="Arial"/>
              </a:rPr>
              <a:t> </a:t>
            </a:r>
            <a:r>
              <a:rPr b="1" sz="1100" strike="noStrike" u="none">
                <a:uFillTx/>
                <a:latin typeface="Arial"/>
              </a:rPr>
              <a:t>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36271676300578"/>
          <c:y val="0.120196497900325"/>
          <c:w val="0.971098265895954"/>
          <c:h val="0.82632121068061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Data!$E$23</c:f>
              <c:strCache>
                <c:ptCount val="1"/>
                <c:pt idx="0">
                  <c:v>IR/FX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Data!$W$22:$AA$22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Data!$W$23:$AA$23</c:f>
              <c:numCache>
                <c:formatCode>#,##0</c:formatCode>
                <c:ptCount val="5"/>
                <c:pt idx="0">
                  <c:v>477</c:v>
                </c:pt>
                <c:pt idx="1">
                  <c:v>357</c:v>
                </c:pt>
                <c:pt idx="2">
                  <c:v>430</c:v>
                </c:pt>
                <c:pt idx="3">
                  <c:v>532</c:v>
                </c:pt>
                <c:pt idx="4">
                  <c:v>357</c:v>
                </c:pt>
              </c:numCache>
            </c:numRef>
          </c:val>
        </c:ser>
        <c:ser>
          <c:idx val="1"/>
          <c:order val="1"/>
          <c:tx>
            <c:strRef>
              <c:f>Data!$E$26</c:f>
              <c:strCache>
                <c:ptCount val="1"/>
                <c:pt idx="0">
                  <c:v>Liquids 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Data!$W$22:$AA$22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Data!$W$26:$AA$26</c:f>
              <c:numCache>
                <c:formatCode>#,##0</c:formatCode>
                <c:ptCount val="5"/>
                <c:pt idx="0">
                  <c:v>2744</c:v>
                </c:pt>
                <c:pt idx="1">
                  <c:v>2320</c:v>
                </c:pt>
                <c:pt idx="2">
                  <c:v>2922</c:v>
                </c:pt>
                <c:pt idx="3">
                  <c:v>3442</c:v>
                </c:pt>
                <c:pt idx="4">
                  <c:v>2999</c:v>
                </c:pt>
              </c:numCache>
            </c:numRef>
          </c:val>
        </c:ser>
        <c:ser>
          <c:idx val="2"/>
          <c:order val="2"/>
          <c:tx>
            <c:strRef>
              <c:f>Data!$E$29</c:f>
              <c:strCache>
                <c:ptCount val="1"/>
                <c:pt idx="0">
                  <c:v>Coal 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Data!$W$22:$AA$22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Data!$W$29:$AA$29</c:f>
              <c:numCache>
                <c:formatCode>#,##0</c:formatCode>
                <c:ptCount val="5"/>
                <c:pt idx="0">
                  <c:v>31</c:v>
                </c:pt>
                <c:pt idx="1">
                  <c:v>12</c:v>
                </c:pt>
                <c:pt idx="2">
                  <c:v>39</c:v>
                </c:pt>
                <c:pt idx="3">
                  <c:v>22</c:v>
                </c:pt>
                <c:pt idx="4">
                  <c:v>19</c:v>
                </c:pt>
              </c:numCache>
            </c:numRef>
          </c:val>
        </c:ser>
        <c:ser>
          <c:idx val="3"/>
          <c:order val="3"/>
          <c:tx>
            <c:strRef>
              <c:f>Data!$E$32</c:f>
              <c:strCache>
                <c:ptCount val="1"/>
                <c:pt idx="0">
                  <c:v>Weather 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Data!$W$22:$AA$22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Data!$W$32:$AA$32</c:f>
              <c:numCache>
                <c:formatCode>#,##0</c:formatCode>
                <c:ptCount val="5"/>
                <c:pt idx="0">
                  <c:v>16</c:v>
                </c:pt>
                <c:pt idx="1">
                  <c:v>24</c:v>
                </c:pt>
                <c:pt idx="2">
                  <c:v>26</c:v>
                </c:pt>
                <c:pt idx="3">
                  <c:v>36</c:v>
                </c:pt>
                <c:pt idx="4">
                  <c:v>15</c:v>
                </c:pt>
              </c:numCache>
            </c:numRef>
          </c:val>
        </c:ser>
        <c:ser>
          <c:idx val="4"/>
          <c:order val="4"/>
          <c:tx>
            <c:strRef>
              <c:f>Data!$E$35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Data!$W$22:$AA$22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Data!$W$35:$AA$35</c:f>
              <c:numCache>
                <c:formatCode>#,##0</c:formatCode>
                <c:ptCount val="5"/>
                <c:pt idx="0">
                  <c:v>6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6</c:v>
                </c:pt>
              </c:numCache>
            </c:numRef>
          </c:val>
        </c:ser>
        <c:gapWidth val="150"/>
        <c:shape val="box"/>
        <c:axId val="4187548"/>
        <c:axId val="98794829"/>
        <c:axId val="0"/>
      </c:bar3DChart>
      <c:catAx>
        <c:axId val="41875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94829"/>
        <c:crossesAt val="0"/>
        <c:auto val="1"/>
        <c:lblAlgn val="ctr"/>
        <c:lblOffset val="100"/>
        <c:noMultiLvlLbl val="0"/>
      </c:catAx>
      <c:valAx>
        <c:axId val="987948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7548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0021676300578"/>
          <c:y val="0.929561841375485"/>
          <c:w val="0.797832369942197"/>
          <c:h val="0.050312970446081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EA</a:t>
            </a:r>
            <a:r>
              <a:rPr b="1" sz="1050" strike="noStrike" u="none">
                <a:uFillTx/>
                <a:latin typeface="Arial"/>
              </a:rPr>
              <a:t>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1041349844304"/>
          <c:y val="0.121147294192219"/>
          <c:w val="0.972047215584039"/>
          <c:h val="0.84018698993740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Data!$W$11:$AA$11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Data!$W$12:$AA$12</c:f>
              <c:numCache>
                <c:formatCode>#,##0</c:formatCode>
                <c:ptCount val="5"/>
                <c:pt idx="0">
                  <c:v>20552</c:v>
                </c:pt>
                <c:pt idx="1">
                  <c:v>17060</c:v>
                </c:pt>
                <c:pt idx="2">
                  <c:v>18249</c:v>
                </c:pt>
                <c:pt idx="3">
                  <c:v>18093</c:v>
                </c:pt>
                <c:pt idx="4">
                  <c:v>17677</c:v>
                </c:pt>
              </c:numCache>
            </c:numRef>
          </c:val>
        </c:ser>
        <c:ser>
          <c:idx val="1"/>
          <c:order val="1"/>
          <c:tx>
            <c:strRef>
              <c:f>Data!$E$15</c:f>
              <c:strCache>
                <c:ptCount val="1"/>
                <c:pt idx="0">
                  <c:v>Power 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Data!$W$11:$AA$11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Data!$W$15:$AA$15</c:f>
              <c:numCache>
                <c:formatCode>#,##0</c:formatCode>
                <c:ptCount val="5"/>
                <c:pt idx="0">
                  <c:v>6088</c:v>
                </c:pt>
                <c:pt idx="1">
                  <c:v>4946</c:v>
                </c:pt>
                <c:pt idx="2">
                  <c:v>4960</c:v>
                </c:pt>
                <c:pt idx="3">
                  <c:v>5325</c:v>
                </c:pt>
                <c:pt idx="4">
                  <c:v>4845</c:v>
                </c:pt>
              </c:numCache>
            </c:numRef>
          </c:val>
        </c:ser>
        <c:gapWidth val="150"/>
        <c:shape val="box"/>
        <c:axId val="80396073"/>
        <c:axId val="29179128"/>
        <c:axId val="0"/>
      </c:bar3DChart>
      <c:catAx>
        <c:axId val="803960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79128"/>
        <c:crossesAt val="0"/>
        <c:auto val="1"/>
        <c:lblAlgn val="ctr"/>
        <c:lblOffset val="100"/>
        <c:noMultiLvlLbl val="0"/>
      </c:catAx>
      <c:valAx>
        <c:axId val="291791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96073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373017597219205"/>
          <c:y val="0.933365026543063"/>
          <c:w val="0.237598667535665"/>
          <c:h val="0.04753981459472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EIM</a:t>
            </a:r>
            <a:r>
              <a:rPr b="1" sz="1200" strike="noStrike" u="none">
                <a:uFillTx/>
                <a:latin typeface="Arial"/>
              </a:rPr>
              <a:t> </a:t>
            </a:r>
            <a:r>
              <a:rPr b="1" sz="1100" strike="noStrike" u="none">
                <a:uFillTx/>
                <a:latin typeface="Arial"/>
              </a:rPr>
              <a:t>New Deal Trend</a:t>
            </a:r>
          </a:p>
        </c:rich>
      </c:tx>
      <c:layout>
        <c:manualLayout>
          <c:xMode val="edge"/>
          <c:yMode val="edge"/>
          <c:x val="0.3571882278213"/>
          <c:y val="0.0358872568479555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644152727786"/>
          <c:y val="0.125684795553791"/>
          <c:w val="0.975086456348366"/>
          <c:h val="0.83374354902739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Data!$E$43</c:f>
              <c:strCache>
                <c:ptCount val="1"/>
                <c:pt idx="0">
                  <c:v>Newsprint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Data!$W$42:$AA$42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Data!$W$43:$AA$43</c:f>
              <c:numCache>
                <c:formatCode>#,##0</c:formatCode>
                <c:ptCount val="5"/>
                <c:pt idx="0">
                  <c:v>18</c:v>
                </c:pt>
                <c:pt idx="1">
                  <c:v>25</c:v>
                </c:pt>
                <c:pt idx="2">
                  <c:v>53</c:v>
                </c:pt>
                <c:pt idx="3">
                  <c:v>77</c:v>
                </c:pt>
                <c:pt idx="4">
                  <c:v>19</c:v>
                </c:pt>
              </c:numCache>
            </c:numRef>
          </c:val>
        </c:ser>
        <c:ser>
          <c:idx val="1"/>
          <c:order val="1"/>
          <c:tx>
            <c:strRef>
              <c:f>Data!$E$46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Data!$W$42:$AA$42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Data!$W$46:$AA$46</c:f>
              <c:numCache>
                <c:formatCode>#,##0</c:formatCode>
                <c:ptCount val="5"/>
                <c:pt idx="0">
                  <c:v>27</c:v>
                </c:pt>
                <c:pt idx="1">
                  <c:v>25</c:v>
                </c:pt>
                <c:pt idx="2">
                  <c:v>23</c:v>
                </c:pt>
                <c:pt idx="3">
                  <c:v>26</c:v>
                </c:pt>
                <c:pt idx="4">
                  <c:v>22</c:v>
                </c:pt>
              </c:numCache>
            </c:numRef>
          </c:val>
        </c:ser>
        <c:ser>
          <c:idx val="2"/>
          <c:order val="2"/>
          <c:tx>
            <c:strRef>
              <c:f>Data!$E$49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Data!$W$42:$AA$42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Data!$W$49:$AA$49</c:f>
              <c:numCache>
                <c:formatCode>#,##0</c:formatCode>
                <c:ptCount val="5"/>
                <c:pt idx="0">
                  <c:v>131</c:v>
                </c:pt>
                <c:pt idx="1">
                  <c:v>102</c:v>
                </c:pt>
                <c:pt idx="2">
                  <c:v>121</c:v>
                </c:pt>
                <c:pt idx="3">
                  <c:v>67</c:v>
                </c:pt>
                <c:pt idx="4">
                  <c:v>90</c:v>
                </c:pt>
              </c:numCache>
            </c:numRef>
          </c:val>
        </c:ser>
        <c:ser>
          <c:idx val="3"/>
          <c:order val="3"/>
          <c:tx>
            <c:strRef>
              <c:f>Data!$E$52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Data!$W$42:$AA$42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Data!$W$52:$AA$52</c:f>
              <c:numCache>
                <c:formatCode>#,##0</c:formatCode>
                <c:ptCount val="5"/>
                <c:pt idx="0">
                  <c:v>6</c:v>
                </c:pt>
                <c:pt idx="1">
                  <c:v>7</c:v>
                </c:pt>
                <c:pt idx="2">
                  <c:v>17</c:v>
                </c:pt>
                <c:pt idx="3">
                  <c:v>17</c:v>
                </c:pt>
                <c:pt idx="4">
                  <c:v>0</c:v>
                </c:pt>
              </c:numCache>
            </c:numRef>
          </c:val>
        </c:ser>
        <c:gapWidth val="150"/>
        <c:shape val="box"/>
        <c:axId val="86122960"/>
        <c:axId val="53009372"/>
        <c:axId val="0"/>
      </c:bar3DChart>
      <c:catAx>
        <c:axId val="861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09372"/>
        <c:crossesAt val="0"/>
        <c:auto val="1"/>
        <c:lblAlgn val="ctr"/>
        <c:lblOffset val="100"/>
        <c:noMultiLvlLbl val="0"/>
      </c:catAx>
      <c:valAx>
        <c:axId val="530093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2296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4673583174536"/>
          <c:y val="0.934021437078206"/>
          <c:w val="0.535323593761028"/>
          <c:h val="0.04763795156808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EA</a:t>
            </a:r>
            <a:r>
              <a:rPr b="1" sz="1050" strike="noStrike" u="none">
                <a:uFillTx/>
                <a:latin typeface="Arial"/>
              </a:rPr>
              <a:t> Volume Trend (in millions)</a:t>
            </a:r>
          </a:p>
        </c:rich>
      </c:tx>
      <c:layout>
        <c:manualLayout>
          <c:xMode val="edge"/>
          <c:yMode val="edge"/>
          <c:x val="0.323488861475945"/>
          <c:y val="0.0280484906108866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8665554023656"/>
          <c:y val="0.0899294826083512"/>
          <c:w val="0.981133444597634"/>
          <c:h val="0.87980350209967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Data!$E$62</c:f>
              <c:strCache>
                <c:ptCount val="1"/>
                <c:pt idx="0">
                  <c:v>Gas (MMBTU)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Data!$W$61:$AA$61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Data!$W$62:$AA$62</c:f>
              <c:numCache>
                <c:formatCode>#,##0</c:formatCode>
                <c:ptCount val="5"/>
                <c:pt idx="0">
                  <c:v>4660.28019153</c:v>
                </c:pt>
                <c:pt idx="1">
                  <c:v>4226.58363081</c:v>
                </c:pt>
                <c:pt idx="2">
                  <c:v>4371.72766644</c:v>
                </c:pt>
                <c:pt idx="3">
                  <c:v>5698.37126232</c:v>
                </c:pt>
                <c:pt idx="4">
                  <c:v>5240.35500668</c:v>
                </c:pt>
              </c:numCache>
            </c:numRef>
          </c:val>
        </c:ser>
        <c:gapWidth val="150"/>
        <c:shape val="box"/>
        <c:axId val="40398615"/>
        <c:axId val="22763195"/>
        <c:axId val="0"/>
      </c:bar3DChart>
      <c:catAx>
        <c:axId val="40398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63195"/>
        <c:crossesAt val="0"/>
        <c:auto val="1"/>
        <c:lblAlgn val="ctr"/>
        <c:lblOffset val="100"/>
        <c:noMultiLvlLbl val="0"/>
      </c:catAx>
      <c:valAx>
        <c:axId val="22763195"/>
        <c:scaling>
          <c:orientation val="minMax"/>
          <c:max val="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98615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262462811116755"/>
          <c:y val="0.939862134537675"/>
          <c:w val="0.555474929250417"/>
          <c:h val="0.04468742571903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EGM</a:t>
            </a:r>
            <a:r>
              <a:rPr b="1" sz="1100" strike="noStrike" u="none">
                <a:uFillTx/>
                <a:latin typeface="Arial"/>
              </a:rPr>
              <a:t> Volume Trend (in thousands)</a:t>
            </a:r>
          </a:p>
        </c:rich>
      </c:tx>
      <c:layout>
        <c:manualLayout>
          <c:xMode val="edge"/>
          <c:yMode val="edge"/>
          <c:x val="0.22812814250826"/>
          <c:y val="0.0493846764589123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9571900588996"/>
          <c:y val="0.115125049622866"/>
          <c:w val="0.9820428099411"/>
          <c:h val="0.8543866613735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Data!$E$71</c:f>
              <c:strCache>
                <c:ptCount val="1"/>
                <c:pt idx="0">
                  <c:v>Liquids (BBL)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Data!$W$70:$AA$70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Data!$W$71:$AA$71</c:f>
              <c:numCache>
                <c:formatCode>#,##0</c:formatCode>
                <c:ptCount val="5"/>
                <c:pt idx="0">
                  <c:v>160871.15609</c:v>
                </c:pt>
                <c:pt idx="1">
                  <c:v>122928.78283</c:v>
                </c:pt>
                <c:pt idx="2">
                  <c:v>169849.40923</c:v>
                </c:pt>
                <c:pt idx="3">
                  <c:v>310566.31708</c:v>
                </c:pt>
                <c:pt idx="4">
                  <c:v>169987.8798</c:v>
                </c:pt>
              </c:numCache>
            </c:numRef>
          </c:val>
        </c:ser>
        <c:ser>
          <c:idx val="1"/>
          <c:order val="1"/>
          <c:tx>
            <c:strRef>
              <c:f>Data!$E$72</c:f>
              <c:strCache>
                <c:ptCount val="1"/>
                <c:pt idx="0">
                  <c:v>Coal (Tonne)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Data!$W$70:$AA$70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Data!$W$72:$AA$72</c:f>
              <c:numCache>
                <c:formatCode>#,##0</c:formatCode>
                <c:ptCount val="5"/>
                <c:pt idx="0">
                  <c:v>5954.498</c:v>
                </c:pt>
                <c:pt idx="1">
                  <c:v>500</c:v>
                </c:pt>
                <c:pt idx="2">
                  <c:v>2082</c:v>
                </c:pt>
                <c:pt idx="3">
                  <c:v>735.5</c:v>
                </c:pt>
                <c:pt idx="4">
                  <c:v>2368.75</c:v>
                </c:pt>
              </c:numCache>
            </c:numRef>
          </c:val>
        </c:ser>
        <c:ser>
          <c:idx val="2"/>
          <c:order val="2"/>
          <c:tx>
            <c:strRef>
              <c:f>Data!$E$73</c:f>
              <c:strCache>
                <c:ptCount val="1"/>
                <c:pt idx="0">
                  <c:v>Emissions (Contracts)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Data!$W$70:$AA$70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Data!$W$73:$AA$73</c:f>
              <c:numCache>
                <c:formatCode>#,##0</c:formatCode>
                <c:ptCount val="5"/>
                <c:pt idx="0">
                  <c:v>27.5</c:v>
                </c:pt>
                <c:pt idx="1">
                  <c:v>75</c:v>
                </c:pt>
                <c:pt idx="2">
                  <c:v>45.75</c:v>
                </c:pt>
                <c:pt idx="3">
                  <c:v>57.5</c:v>
                </c:pt>
                <c:pt idx="4">
                  <c:v>15</c:v>
                </c:pt>
              </c:numCache>
            </c:numRef>
          </c:val>
        </c:ser>
        <c:gapWidth val="150"/>
        <c:shape val="box"/>
        <c:axId val="29980796"/>
        <c:axId val="9050844"/>
        <c:axId val="0"/>
      </c:bar3DChart>
      <c:catAx>
        <c:axId val="299807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0844"/>
        <c:crossesAt val="0"/>
        <c:auto val="1"/>
        <c:lblAlgn val="ctr"/>
        <c:lblOffset val="100"/>
        <c:noMultiLvlLbl val="0"/>
      </c:catAx>
      <c:valAx>
        <c:axId val="9050844"/>
        <c:scaling>
          <c:orientation val="minMax"/>
          <c:max val="190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80796"/>
        <c:crossesAt val="1"/>
        <c:crossBetween val="midCat"/>
        <c:majorUnit val="30000"/>
        <c:minorUnit val="422.535211267606"/>
      </c:valAx>
    </c:plotArea>
    <c:legend>
      <c:legendPos val="r"/>
      <c:layout>
        <c:manualLayout>
          <c:xMode val="edge"/>
          <c:yMode val="edge"/>
          <c:x val="0.0926591007039219"/>
          <c:y val="0.920603414053196"/>
          <c:w val="0.836230426662836"/>
          <c:h val="0.04477967447399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uFillTx/>
                <a:latin typeface="Arial"/>
              </a:rPr>
              <a:t>EIM</a:t>
            </a:r>
            <a:r>
              <a:rPr b="1" sz="1100" strike="noStrike" u="none">
                <a:uFillTx/>
                <a:latin typeface="Arial"/>
              </a:rPr>
              <a:t> Volume Trend</a:t>
            </a:r>
          </a:p>
        </c:rich>
      </c:tx>
      <c:layout>
        <c:manualLayout>
          <c:xMode val="edge"/>
          <c:yMode val="edge"/>
          <c:x val="0.35224786505752"/>
          <c:y val="0.0520047637951568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644152727786"/>
          <c:y val="0.115363239380707"/>
          <c:w val="0.982355847272214"/>
          <c:h val="0.80420801905518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Data!$E$66</c:f>
              <c:strCache>
                <c:ptCount val="1"/>
                <c:pt idx="0">
                  <c:v>Newsprint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Data!$W$64:$AA$64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Data!$W$66:$AA$66</c:f>
              <c:numCache>
                <c:formatCode>#,##0</c:formatCode>
                <c:ptCount val="5"/>
                <c:pt idx="0">
                  <c:v>41496</c:v>
                </c:pt>
                <c:pt idx="1">
                  <c:v>43480</c:v>
                </c:pt>
                <c:pt idx="2">
                  <c:v>6180</c:v>
                </c:pt>
                <c:pt idx="3">
                  <c:v>12570</c:v>
                </c:pt>
                <c:pt idx="4">
                  <c:v>2660</c:v>
                </c:pt>
              </c:numCache>
            </c:numRef>
          </c:val>
        </c:ser>
        <c:ser>
          <c:idx val="1"/>
          <c:order val="1"/>
          <c:tx>
            <c:strRef>
              <c:f>Data!$E$67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00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Data!$W$64:$AA$64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Data!$W$67:$AA$67</c:f>
              <c:numCache>
                <c:formatCode>#,##0</c:formatCode>
                <c:ptCount val="5"/>
                <c:pt idx="0">
                  <c:v>170192</c:v>
                </c:pt>
                <c:pt idx="1">
                  <c:v>17427</c:v>
                </c:pt>
                <c:pt idx="2">
                  <c:v>13890</c:v>
                </c:pt>
                <c:pt idx="3">
                  <c:v>155545</c:v>
                </c:pt>
                <c:pt idx="4">
                  <c:v>23943</c:v>
                </c:pt>
              </c:numCache>
            </c:numRef>
          </c:val>
        </c:ser>
        <c:ser>
          <c:idx val="2"/>
          <c:order val="2"/>
          <c:tx>
            <c:strRef>
              <c:f>Data!$E$68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Data!$W$64:$AA$64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Data!$W$68:$AA$68</c:f>
              <c:numCache>
                <c:formatCode>#,##0</c:formatCode>
                <c:ptCount val="5"/>
                <c:pt idx="0">
                  <c:v>26520.525</c:v>
                </c:pt>
                <c:pt idx="1">
                  <c:v>17873.853</c:v>
                </c:pt>
                <c:pt idx="2">
                  <c:v>49474.929</c:v>
                </c:pt>
                <c:pt idx="3">
                  <c:v>20144.014</c:v>
                </c:pt>
                <c:pt idx="4">
                  <c:v>17176.268</c:v>
                </c:pt>
              </c:numCache>
            </c:numRef>
          </c:val>
        </c:ser>
        <c:ser>
          <c:idx val="3"/>
          <c:order val="3"/>
          <c:tx>
            <c:strRef>
              <c:f>Data!$E$69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0080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Data!$W$64:$AA$64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Data!$W$69:$AA$69</c:f>
              <c:numCache>
                <c:formatCode>#,##0</c:formatCode>
                <c:ptCount val="5"/>
                <c:pt idx="2">
                  <c:v>2758</c:v>
                </c:pt>
                <c:pt idx="3">
                  <c:v>6549.8396</c:v>
                </c:pt>
                <c:pt idx="4">
                  <c:v>5586</c:v>
                </c:pt>
              </c:numCache>
            </c:numRef>
          </c:val>
        </c:ser>
        <c:gapWidth val="150"/>
        <c:shape val="box"/>
        <c:axId val="11028650"/>
        <c:axId val="4928490"/>
        <c:axId val="0"/>
      </c:bar3DChart>
      <c:catAx>
        <c:axId val="110286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8490"/>
        <c:crossesAt val="0"/>
        <c:auto val="1"/>
        <c:lblAlgn val="ctr"/>
        <c:lblOffset val="100"/>
        <c:noMultiLvlLbl val="0"/>
      </c:catAx>
      <c:valAx>
        <c:axId val="49284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2865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82369962594396"/>
          <c:y val="0.913854704247717"/>
          <c:w val="0.622415131625379"/>
          <c:h val="0.05319571258435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EA</a:t>
            </a:r>
            <a:r>
              <a:rPr b="1" sz="1100" strike="noStrike" u="none">
                <a:uFillTx/>
                <a:latin typeface="Arial"/>
              </a:rPr>
              <a:t> Volume Trend (in millions)</a:t>
            </a:r>
          </a:p>
        </c:rich>
      </c:tx>
      <c:layout>
        <c:manualLayout>
          <c:xMode val="edge"/>
          <c:yMode val="edge"/>
          <c:x val="0.311276794035415"/>
          <c:y val="0.0280269948392219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6393289841566"/>
          <c:y val="0.099801508535133"/>
          <c:w val="0.981360671015844"/>
          <c:h val="0.86971020246129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Data!$E$63</c:f>
              <c:strCache>
                <c:ptCount val="1"/>
                <c:pt idx="0">
                  <c:v>Power (MHtz)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Data!$W$61:$AA$61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Data!$W$63:$AA$63</c:f>
              <c:numCache>
                <c:formatCode>#,##0</c:formatCode>
                <c:ptCount val="5"/>
                <c:pt idx="0">
                  <c:v>55.72244239</c:v>
                </c:pt>
                <c:pt idx="1">
                  <c:v>57.43029433</c:v>
                </c:pt>
                <c:pt idx="2">
                  <c:v>44.78432436</c:v>
                </c:pt>
                <c:pt idx="3">
                  <c:v>49.6276206</c:v>
                </c:pt>
                <c:pt idx="4">
                  <c:v>80.0462893</c:v>
                </c:pt>
              </c:numCache>
            </c:numRef>
          </c:val>
        </c:ser>
        <c:gapWidth val="150"/>
        <c:shape val="box"/>
        <c:axId val="60302717"/>
        <c:axId val="19479145"/>
        <c:axId val="0"/>
      </c:bar3DChart>
      <c:catAx>
        <c:axId val="603027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79145"/>
        <c:crossesAt val="0"/>
        <c:auto val="1"/>
        <c:lblAlgn val="ctr"/>
        <c:lblOffset val="100"/>
        <c:noMultiLvlLbl val="0"/>
      </c:catAx>
      <c:valAx>
        <c:axId val="19479145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02717"/>
        <c:crossesAt val="1"/>
        <c:crossBetween val="midCat"/>
        <c:majorUnit val="10"/>
        <c:minorUnit val="1"/>
      </c:valAx>
    </c:plotArea>
    <c:legend>
      <c:legendPos val="r"/>
      <c:layout>
        <c:manualLayout>
          <c:xMode val="edge"/>
          <c:yMode val="edge"/>
          <c:x val="0.260377087963295"/>
          <c:y val="0.939579198094482"/>
          <c:w val="0.548784859129687"/>
          <c:h val="0.04477967447399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EOL</a:t>
            </a:r>
            <a:r>
              <a:rPr b="1" sz="1200" strike="noStrike" u="none">
                <a:uFillTx/>
                <a:latin typeface="Arial"/>
              </a:rPr>
              <a:t> </a:t>
            </a:r>
            <a:r>
              <a:rPr b="1" sz="1100" strike="noStrike" u="none">
                <a:uFillTx/>
                <a:latin typeface="Arial"/>
              </a:rPr>
              <a:t>New Deal Trend</a:t>
            </a:r>
          </a:p>
        </c:rich>
      </c:tx>
      <c:layout>
        <c:manualLayout>
          <c:xMode val="edge"/>
          <c:yMode val="edge"/>
          <c:x val="0.350549529487824"/>
          <c:y val="0.035821366577244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9584799942533"/>
          <c:y val="0.124427962758403"/>
          <c:w val="0.982041520005747"/>
          <c:h val="0.83620009468202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Data!$E$19</c:f>
              <c:strCache>
                <c:ptCount val="1"/>
                <c:pt idx="0">
                  <c:v>EA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Data!$W$42:$AA$42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Data!$W$21:$AA$21</c:f>
              <c:numCache>
                <c:formatCode>_(* #,##0_);_(* \(#,##0\);_(* \-??_);_(@_)</c:formatCode>
                <c:ptCount val="5"/>
                <c:pt idx="0">
                  <c:v>20089</c:v>
                </c:pt>
                <c:pt idx="1">
                  <c:v>16990</c:v>
                </c:pt>
                <c:pt idx="2">
                  <c:v>18272</c:v>
                </c:pt>
                <c:pt idx="3">
                  <c:v>18363</c:v>
                </c:pt>
                <c:pt idx="4">
                  <c:v>17337</c:v>
                </c:pt>
              </c:numCache>
            </c:numRef>
          </c:val>
        </c:ser>
        <c:ser>
          <c:idx val="1"/>
          <c:order val="1"/>
          <c:tx>
            <c:strRef>
              <c:f>Data!$E$39</c:f>
              <c:strCache>
                <c:ptCount val="1"/>
                <c:pt idx="0">
                  <c:v>EGM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Data!$W$42:$AA$42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Data!$W$41:$AA$41</c:f>
              <c:numCache>
                <c:formatCode>_(* #,##0_);_(* \(#,##0\);_(* \-??_);_(@_)</c:formatCode>
                <c:ptCount val="5"/>
                <c:pt idx="0">
                  <c:v>1030</c:v>
                </c:pt>
                <c:pt idx="1">
                  <c:v>1166</c:v>
                </c:pt>
                <c:pt idx="2">
                  <c:v>1342</c:v>
                </c:pt>
                <c:pt idx="3">
                  <c:v>1599</c:v>
                </c:pt>
                <c:pt idx="4">
                  <c:v>1474</c:v>
                </c:pt>
              </c:numCache>
            </c:numRef>
          </c:val>
        </c:ser>
        <c:ser>
          <c:idx val="2"/>
          <c:order val="2"/>
          <c:tx>
            <c:strRef>
              <c:f>Data!$E$56</c:f>
              <c:strCache>
                <c:ptCount val="1"/>
                <c:pt idx="0">
                  <c:v>EIM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Data!$W$42:$AA$42</c:f>
              <c:strCache>
                <c:ptCount val="5"/>
                <c:pt idx="0">
                  <c:v>4/26 - 5/2</c:v>
                </c:pt>
                <c:pt idx="1">
                  <c:v>5/3 - 5/9</c:v>
                </c:pt>
                <c:pt idx="2">
                  <c:v>5/10 - 5/16</c:v>
                </c:pt>
                <c:pt idx="3">
                  <c:v>5/17 - 5/23</c:v>
                </c:pt>
                <c:pt idx="4">
                  <c:v>5/24 - 5/30</c:v>
                </c:pt>
              </c:strCache>
            </c:strRef>
          </c:cat>
          <c:val>
            <c:numRef>
              <c:f>Data!$W$58:$AA$58</c:f>
              <c:numCache>
                <c:formatCode>_(* #,##0_);_(* \(#,##0\);_(* \-??_);_(@_)</c:formatCode>
                <c:ptCount val="5"/>
                <c:pt idx="0">
                  <c:v>5</c:v>
                </c:pt>
                <c:pt idx="1">
                  <c:v>14</c:v>
                </c:pt>
                <c:pt idx="2">
                  <c:v>11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gapWidth val="150"/>
        <c:shape val="box"/>
        <c:axId val="79813420"/>
        <c:axId val="415971"/>
        <c:axId val="0"/>
      </c:bar3DChart>
      <c:catAx>
        <c:axId val="798134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971"/>
        <c:crossesAt val="0"/>
        <c:auto val="1"/>
        <c:lblAlgn val="ctr"/>
        <c:lblOffset val="100"/>
        <c:noMultiLvlLbl val="0"/>
      </c:catAx>
      <c:valAx>
        <c:axId val="4159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1342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33172904245385"/>
          <c:y val="0.93632633738362"/>
          <c:w val="0.544860283025645"/>
          <c:h val="0.04734101309768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59808740"/>
        <c:axId val="53785064"/>
        <c:axId val="0"/>
      </c:bar3DChart>
      <c:catAx>
        <c:axId val="598087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85064"/>
        <c:crossesAt val="0"/>
        <c:auto val="1"/>
        <c:lblAlgn val="ctr"/>
        <c:lblOffset val="100"/>
        <c:noMultiLvlLbl val="0"/>
      </c:catAx>
      <c:valAx>
        <c:axId val="537850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08740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291960</xdr:colOff>
      <xdr:row>30</xdr:row>
      <xdr:rowOff>0</xdr:rowOff>
    </xdr:from>
    <xdr:to>
      <xdr:col>16</xdr:col>
      <xdr:colOff>1863720</xdr:colOff>
      <xdr:row>58</xdr:row>
      <xdr:rowOff>9360</xdr:rowOff>
    </xdr:to>
    <xdr:graphicFrame>
      <xdr:nvGraphicFramePr>
        <xdr:cNvPr id="0" name="Chart 1"/>
        <xdr:cNvGraphicFramePr/>
      </xdr:nvGraphicFramePr>
      <xdr:xfrm>
        <a:off x="10141920" y="5648400"/>
        <a:ext cx="4982040" cy="45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594360</xdr:colOff>
      <xdr:row>58</xdr:row>
      <xdr:rowOff>9360</xdr:rowOff>
    </xdr:to>
    <xdr:graphicFrame>
      <xdr:nvGraphicFramePr>
        <xdr:cNvPr id="2" name="Chart 2"/>
        <xdr:cNvGraphicFramePr/>
      </xdr:nvGraphicFramePr>
      <xdr:xfrm>
        <a:off x="0" y="5648400"/>
        <a:ext cx="4970880" cy="45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70560</xdr:colOff>
      <xdr:row>30</xdr:row>
      <xdr:rowOff>9360</xdr:rowOff>
    </xdr:from>
    <xdr:to>
      <xdr:col>23</xdr:col>
      <xdr:colOff>20520</xdr:colOff>
      <xdr:row>58</xdr:row>
      <xdr:rowOff>9360</xdr:rowOff>
    </xdr:to>
    <xdr:graphicFrame>
      <xdr:nvGraphicFramePr>
        <xdr:cNvPr id="3" name="Chart 3"/>
        <xdr:cNvGraphicFramePr/>
      </xdr:nvGraphicFramePr>
      <xdr:xfrm>
        <a:off x="15212880" y="5657760"/>
        <a:ext cx="510048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59</xdr:row>
      <xdr:rowOff>0</xdr:rowOff>
    </xdr:from>
    <xdr:to>
      <xdr:col>5</xdr:col>
      <xdr:colOff>594360</xdr:colOff>
      <xdr:row>87</xdr:row>
      <xdr:rowOff>9360</xdr:rowOff>
    </xdr:to>
    <xdr:graphicFrame>
      <xdr:nvGraphicFramePr>
        <xdr:cNvPr id="4" name="Chart 5"/>
        <xdr:cNvGraphicFramePr/>
      </xdr:nvGraphicFramePr>
      <xdr:xfrm>
        <a:off x="10080" y="10344240"/>
        <a:ext cx="4960800" cy="45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281520</xdr:colOff>
      <xdr:row>59</xdr:row>
      <xdr:rowOff>0</xdr:rowOff>
    </xdr:from>
    <xdr:to>
      <xdr:col>17</xdr:col>
      <xdr:colOff>720</xdr:colOff>
      <xdr:row>86</xdr:row>
      <xdr:rowOff>162000</xdr:rowOff>
    </xdr:to>
    <xdr:graphicFrame>
      <xdr:nvGraphicFramePr>
        <xdr:cNvPr id="5" name="Chart 6"/>
        <xdr:cNvGraphicFramePr/>
      </xdr:nvGraphicFramePr>
      <xdr:xfrm>
        <a:off x="10131480" y="10344240"/>
        <a:ext cx="501156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17</xdr:col>
      <xdr:colOff>70560</xdr:colOff>
      <xdr:row>59</xdr:row>
      <xdr:rowOff>0</xdr:rowOff>
    </xdr:from>
    <xdr:to>
      <xdr:col>23</xdr:col>
      <xdr:colOff>20520</xdr:colOff>
      <xdr:row>86</xdr:row>
      <xdr:rowOff>162000</xdr:rowOff>
    </xdr:to>
    <xdr:graphicFrame>
      <xdr:nvGraphicFramePr>
        <xdr:cNvPr id="6" name="Chart 7"/>
        <xdr:cNvGraphicFramePr/>
      </xdr:nvGraphicFramePr>
      <xdr:xfrm>
        <a:off x="15212880" y="10344240"/>
        <a:ext cx="510048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734400</xdr:colOff>
      <xdr:row>0</xdr:row>
      <xdr:rowOff>66240</xdr:rowOff>
    </xdr:from>
    <xdr:to>
      <xdr:col>22</xdr:col>
      <xdr:colOff>735120</xdr:colOff>
      <xdr:row>5</xdr:row>
      <xdr:rowOff>75960</xdr:rowOff>
    </xdr:to>
    <xdr:pic>
      <xdr:nvPicPr>
        <xdr:cNvPr id="7" name="Picture 10" descr=""/>
        <xdr:cNvPicPr/>
      </xdr:nvPicPr>
      <xdr:blipFill>
        <a:blip r:embed="rId7"/>
        <a:stretch/>
      </xdr:blipFill>
      <xdr:spPr>
        <a:xfrm>
          <a:off x="19397520" y="66240"/>
          <a:ext cx="815760" cy="81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653760</xdr:colOff>
      <xdr:row>59</xdr:row>
      <xdr:rowOff>9360</xdr:rowOff>
    </xdr:from>
    <xdr:to>
      <xdr:col>11</xdr:col>
      <xdr:colOff>201600</xdr:colOff>
      <xdr:row>87</xdr:row>
      <xdr:rowOff>9360</xdr:rowOff>
    </xdr:to>
    <xdr:graphicFrame>
      <xdr:nvGraphicFramePr>
        <xdr:cNvPr id="8" name="Chart 12"/>
        <xdr:cNvGraphicFramePr/>
      </xdr:nvGraphicFramePr>
      <xdr:xfrm>
        <a:off x="5030280" y="10353600"/>
        <a:ext cx="502128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674280</xdr:colOff>
      <xdr:row>30</xdr:row>
      <xdr:rowOff>0</xdr:rowOff>
    </xdr:from>
    <xdr:to>
      <xdr:col>11</xdr:col>
      <xdr:colOff>212040</xdr:colOff>
      <xdr:row>58</xdr:row>
      <xdr:rowOff>28440</xdr:rowOff>
    </xdr:to>
    <xdr:graphicFrame>
      <xdr:nvGraphicFramePr>
        <xdr:cNvPr id="9" name="Chart 13"/>
        <xdr:cNvGraphicFramePr/>
      </xdr:nvGraphicFramePr>
      <xdr:xfrm>
        <a:off x="5050800" y="5648400"/>
        <a:ext cx="501120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0.498988439306358</cdr:x>
      <cdr:y>0.49877188812297</cdr:y>
    </cdr:from>
    <cdr:to>
      <cdr:x>0.527745664739884</cdr:x>
      <cdr:y>0.540765391014975</cdr:y>
    </cdr:to>
    <cdr:sp>
      <cdr:nvSpPr>
        <cdr:cNvPr id="1" name="Text 1"/>
        <cdr:cNvSpPr/>
      </cdr:nvSpPr>
      <cdr:spPr>
        <a:xfrm>
          <a:off x="2486160" y="2266200"/>
          <a:ext cx="143280" cy="190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0" sz="950" strike="noStrike" u="none">
              <a:effectLst/>
              <a:uFillTx/>
              <a:latin typeface="Arial"/>
            </a:rPr>
            <a:t>.</a:t>
          </a:r>
          <a:endParaRPr b="0" sz="9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10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11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EOL%20REPORTING%20DATABASE/ARCHIVE/EOL%20WEEKLY%20SUMMARY%2002-26-01%20ACCESS%2523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EOL%20WEEKLY%20SUMMARY%2002-26-01%20ACCESS%2523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05-16-01/Shari%20Mao%20Template%2005-16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02-15-01/Shari%20Mao%20Template%2002-15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2-8-01/EOL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y DAY"/>
      <sheetName val="PRODUCTS OFFERED"/>
      <sheetName val="WEBSITE TRAFFIC"/>
      <sheetName val="DATA"/>
      <sheetName val="EOLvsNON SUMMARY"/>
      <sheetName val="ALLOCATION"/>
      <sheetName val="TRANSACTION SUMMARY (HILO) "/>
      <sheetName val="AVERAGED SUMMARY"/>
      <sheetName val="ENTITY SUMMARY"/>
      <sheetName val="European Report"/>
      <sheetName val="LTD"/>
      <sheetName val="YTD"/>
      <sheetName val="MTD"/>
      <sheetName val="WTD"/>
      <sheetName val="BRAINWAV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y DAY"/>
      <sheetName val="PRODUCTS OFFERED"/>
      <sheetName val="WEBSITE TRAFFIC"/>
      <sheetName val="DATA"/>
      <sheetName val="EOLvsNON SUMMARY"/>
      <sheetName val="ALLOCATION"/>
      <sheetName val="TRANSACTION SUMMARY (HILO) "/>
      <sheetName val="AVERAGED SUMMARY"/>
      <sheetName val="ENTITY SUMMARY"/>
      <sheetName val="European Report"/>
      <sheetName val="LTD"/>
      <sheetName val="YTD"/>
      <sheetName val="MTD"/>
      <sheetName val="WTD"/>
      <sheetName val="BRAINWAV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Sheet1"/>
    </sheetNames>
    <sheetDataSet>
      <sheetData sheetId="0"/>
      <sheetData sheetId="1">
        <row r="9">
          <cell r="B9">
            <v>14715</v>
          </cell>
          <cell r="C9">
            <v>2057</v>
          </cell>
        </row>
        <row r="10">
          <cell r="B10">
            <v>987</v>
          </cell>
          <cell r="C10">
            <v>490</v>
          </cell>
        </row>
        <row r="17">
          <cell r="B17">
            <v>1611</v>
          </cell>
          <cell r="C17">
            <v>1219</v>
          </cell>
        </row>
        <row r="18">
          <cell r="B18">
            <v>922</v>
          </cell>
          <cell r="C18">
            <v>1167</v>
          </cell>
        </row>
        <row r="19">
          <cell r="B19">
            <v>37</v>
          </cell>
          <cell r="C19">
            <v>4</v>
          </cell>
        </row>
        <row r="32">
          <cell r="B32">
            <v>1255</v>
          </cell>
          <cell r="C32">
            <v>1463</v>
          </cell>
        </row>
        <row r="33">
          <cell r="B33">
            <v>49</v>
          </cell>
          <cell r="C33">
            <v>118</v>
          </cell>
        </row>
        <row r="35">
          <cell r="B35">
            <v>8</v>
          </cell>
          <cell r="C35">
            <v>29</v>
          </cell>
        </row>
        <row r="36">
          <cell r="B36">
            <v>1</v>
          </cell>
          <cell r="C36">
            <v>25</v>
          </cell>
        </row>
        <row r="37">
          <cell r="B37">
            <v>5</v>
          </cell>
          <cell r="C37">
            <v>8</v>
          </cell>
        </row>
        <row r="39">
          <cell r="B39">
            <v>8</v>
          </cell>
          <cell r="C39">
            <v>8</v>
          </cell>
        </row>
        <row r="40">
          <cell r="B40">
            <v>0</v>
          </cell>
          <cell r="C40">
            <v>87</v>
          </cell>
        </row>
        <row r="42">
          <cell r="B42">
            <v>16</v>
          </cell>
          <cell r="C42">
            <v>10</v>
          </cell>
        </row>
        <row r="47">
          <cell r="B47">
            <v>0</v>
          </cell>
          <cell r="C47">
            <v>176</v>
          </cell>
        </row>
        <row r="51">
          <cell r="B51">
            <v>0</v>
          </cell>
          <cell r="C51">
            <v>430</v>
          </cell>
        </row>
        <row r="71">
          <cell r="B71">
            <v>2431411844</v>
          </cell>
          <cell r="C71">
            <v>1835513711.17</v>
          </cell>
        </row>
        <row r="72">
          <cell r="B72">
            <v>41177319.98</v>
          </cell>
          <cell r="C72">
            <v>63624791.29</v>
          </cell>
        </row>
        <row r="79">
          <cell r="B79">
            <v>16347850</v>
          </cell>
          <cell r="C79">
            <v>13985775.36</v>
          </cell>
        </row>
        <row r="80">
          <cell r="B80">
            <v>3208864</v>
          </cell>
          <cell r="C80">
            <v>11139645</v>
          </cell>
        </row>
        <row r="81">
          <cell r="B81">
            <v>66060</v>
          </cell>
          <cell r="C81">
            <v>36130</v>
          </cell>
        </row>
        <row r="94">
          <cell r="B94">
            <v>61779300</v>
          </cell>
          <cell r="C94">
            <v>103727043.05</v>
          </cell>
        </row>
        <row r="95">
          <cell r="B95">
            <v>1045000</v>
          </cell>
          <cell r="C95">
            <v>2699642.2</v>
          </cell>
        </row>
        <row r="97">
          <cell r="B97">
            <v>99000</v>
          </cell>
          <cell r="C97">
            <v>499423.98</v>
          </cell>
        </row>
        <row r="98">
          <cell r="B98">
            <v>7750</v>
          </cell>
          <cell r="C98">
            <v>1489250</v>
          </cell>
        </row>
        <row r="99">
          <cell r="B99">
            <v>225000</v>
          </cell>
          <cell r="C99">
            <v>360000</v>
          </cell>
        </row>
        <row r="101">
          <cell r="B101">
            <v>20000</v>
          </cell>
          <cell r="C101">
            <v>25750</v>
          </cell>
        </row>
        <row r="102">
          <cell r="B102">
            <v>0</v>
          </cell>
          <cell r="C102">
            <v>45684.0600000001</v>
          </cell>
        </row>
        <row r="104">
          <cell r="B104">
            <v>4200</v>
          </cell>
          <cell r="C104">
            <v>39500</v>
          </cell>
        </row>
        <row r="109">
          <cell r="B109">
            <v>0</v>
          </cell>
          <cell r="C109">
            <v>5292</v>
          </cell>
        </row>
        <row r="113">
          <cell r="B11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15-01"/>
      <sheetName val="Thursday 02-08-01"/>
    </sheetNames>
    <sheetDataSet>
      <sheetData sheetId="0"/>
      <sheetData sheetId="1">
        <row r="9">
          <cell r="S9">
            <v>83402</v>
          </cell>
          <cell r="T9">
            <v>17969</v>
          </cell>
        </row>
        <row r="10">
          <cell r="S10">
            <v>6424</v>
          </cell>
          <cell r="T10">
            <v>2734</v>
          </cell>
        </row>
        <row r="17">
          <cell r="S17">
            <v>9532</v>
          </cell>
          <cell r="T17">
            <v>8764</v>
          </cell>
        </row>
        <row r="18">
          <cell r="S18">
            <v>2569</v>
          </cell>
          <cell r="T18">
            <v>6736</v>
          </cell>
        </row>
        <row r="30">
          <cell r="S30">
            <v>9302</v>
          </cell>
          <cell r="T30">
            <v>9643</v>
          </cell>
        </row>
        <row r="31">
          <cell r="S31">
            <v>592</v>
          </cell>
          <cell r="T31">
            <v>569</v>
          </cell>
        </row>
        <row r="33">
          <cell r="S33">
            <v>45</v>
          </cell>
          <cell r="T33">
            <v>251</v>
          </cell>
        </row>
        <row r="34">
          <cell r="S34">
            <v>119</v>
          </cell>
          <cell r="T34">
            <v>169</v>
          </cell>
        </row>
        <row r="35">
          <cell r="S35">
            <v>50</v>
          </cell>
          <cell r="T35">
            <v>150</v>
          </cell>
        </row>
        <row r="37">
          <cell r="S37">
            <v>50</v>
          </cell>
          <cell r="T37">
            <v>48</v>
          </cell>
        </row>
        <row r="38">
          <cell r="S38">
            <v>0</v>
          </cell>
          <cell r="T38">
            <v>307</v>
          </cell>
        </row>
        <row r="39">
          <cell r="S39">
            <v>87</v>
          </cell>
          <cell r="T39">
            <v>108</v>
          </cell>
        </row>
        <row r="44">
          <cell r="S44">
            <v>0</v>
          </cell>
          <cell r="T44">
            <v>12</v>
          </cell>
        </row>
        <row r="48">
          <cell r="S48">
            <v>0</v>
          </cell>
          <cell r="T48">
            <v>913</v>
          </cell>
        </row>
        <row r="67">
          <cell r="S67">
            <v>10201591262.13</v>
          </cell>
          <cell r="T67">
            <v>11742300329.38</v>
          </cell>
        </row>
        <row r="68">
          <cell r="S68">
            <v>316839394.34</v>
          </cell>
          <cell r="T68">
            <v>745667324.91</v>
          </cell>
        </row>
        <row r="75">
          <cell r="S75">
            <v>104211335</v>
          </cell>
          <cell r="T75">
            <v>115985235.54</v>
          </cell>
        </row>
        <row r="76">
          <cell r="S76">
            <v>10366850</v>
          </cell>
          <cell r="T76">
            <v>91276496.68</v>
          </cell>
        </row>
        <row r="88">
          <cell r="S88">
            <v>236106500.01</v>
          </cell>
          <cell r="T88">
            <v>745504869.8</v>
          </cell>
        </row>
        <row r="89">
          <cell r="S89">
            <v>10023357.14</v>
          </cell>
          <cell r="T89">
            <v>17702903.51</v>
          </cell>
        </row>
        <row r="91">
          <cell r="S91">
            <v>919595</v>
          </cell>
          <cell r="T91">
            <v>9306959.13</v>
          </cell>
        </row>
        <row r="92">
          <cell r="S92">
            <v>3542250</v>
          </cell>
          <cell r="T92">
            <v>17309786.05</v>
          </cell>
        </row>
        <row r="93">
          <cell r="S93">
            <v>2130000</v>
          </cell>
          <cell r="T93">
            <v>8315506.02</v>
          </cell>
        </row>
        <row r="95">
          <cell r="S95">
            <v>115000</v>
          </cell>
          <cell r="T95">
            <v>223120</v>
          </cell>
        </row>
        <row r="96">
          <cell r="S96">
            <v>0</v>
          </cell>
        </row>
        <row r="97">
          <cell r="S97">
            <v>29800</v>
          </cell>
          <cell r="T97">
            <v>603600</v>
          </cell>
        </row>
        <row r="102">
          <cell r="S102">
            <v>0</v>
          </cell>
          <cell r="T102">
            <v>261270.5</v>
          </cell>
        </row>
        <row r="105">
          <cell r="S105">
            <v>0</v>
          </cell>
        </row>
        <row r="106">
          <cell r="T106">
            <v>42371500</v>
          </cell>
        </row>
      </sheetData>
      <sheetData sheetId="2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T43">
            <v>11</v>
          </cell>
        </row>
        <row r="44">
          <cell r="S44">
            <v>0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08-01"/>
      <sheetName val="Thursday 02-01-01"/>
    </sheetNames>
    <sheetDataSet>
      <sheetData sheetId="0"/>
      <sheetData sheetId="1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S43">
            <v>0</v>
          </cell>
          <cell r="T43">
            <v>11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  <cell r="T96">
            <v>430703.55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  <sheetData sheetId="2">
        <row r="9">
          <cell r="S9">
            <v>55132</v>
          </cell>
          <cell r="T9">
            <v>13338</v>
          </cell>
        </row>
        <row r="10">
          <cell r="S10">
            <v>4311</v>
          </cell>
          <cell r="T10">
            <v>2004</v>
          </cell>
        </row>
        <row r="17">
          <cell r="S17">
            <v>5867</v>
          </cell>
          <cell r="T17">
            <v>6170</v>
          </cell>
        </row>
        <row r="18">
          <cell r="S18">
            <v>1788</v>
          </cell>
          <cell r="T18">
            <v>4558</v>
          </cell>
        </row>
        <row r="30">
          <cell r="S30">
            <v>6109</v>
          </cell>
          <cell r="T30">
            <v>6483</v>
          </cell>
        </row>
        <row r="31">
          <cell r="S31">
            <v>469</v>
          </cell>
          <cell r="T31">
            <v>397</v>
          </cell>
        </row>
        <row r="33">
          <cell r="S33">
            <v>36</v>
          </cell>
          <cell r="T33">
            <v>180</v>
          </cell>
        </row>
        <row r="34">
          <cell r="S34">
            <v>110</v>
          </cell>
          <cell r="T34">
            <v>133</v>
          </cell>
        </row>
        <row r="35">
          <cell r="S35">
            <v>29</v>
          </cell>
          <cell r="T35">
            <v>106</v>
          </cell>
        </row>
        <row r="37">
          <cell r="S37">
            <v>26</v>
          </cell>
          <cell r="T37">
            <v>19</v>
          </cell>
        </row>
        <row r="38">
          <cell r="S38">
            <v>0</v>
          </cell>
          <cell r="T38">
            <v>196</v>
          </cell>
        </row>
        <row r="39">
          <cell r="S39">
            <v>64</v>
          </cell>
          <cell r="T39">
            <v>68</v>
          </cell>
        </row>
        <row r="43">
          <cell r="S43">
            <v>0</v>
          </cell>
          <cell r="T43">
            <v>1</v>
          </cell>
        </row>
        <row r="47">
          <cell r="S47">
            <v>0</v>
          </cell>
          <cell r="T47">
            <v>638</v>
          </cell>
        </row>
        <row r="67">
          <cell r="S67">
            <v>6859320070</v>
          </cell>
          <cell r="T67">
            <v>7577517319.63</v>
          </cell>
        </row>
        <row r="68">
          <cell r="S68">
            <v>194044763.99</v>
          </cell>
          <cell r="T68">
            <v>538599790.29</v>
          </cell>
        </row>
        <row r="75">
          <cell r="S75">
            <v>64951720</v>
          </cell>
          <cell r="T75">
            <v>85928764.24</v>
          </cell>
        </row>
        <row r="76">
          <cell r="S76">
            <v>6934050</v>
          </cell>
          <cell r="T76">
            <v>63534098.65</v>
          </cell>
        </row>
        <row r="88">
          <cell r="S88">
            <v>153422000</v>
          </cell>
          <cell r="T88">
            <v>510007316.69</v>
          </cell>
        </row>
        <row r="89">
          <cell r="S89">
            <v>7757000</v>
          </cell>
          <cell r="T89">
            <v>10867017</v>
          </cell>
        </row>
        <row r="91">
          <cell r="S91">
            <v>832595</v>
          </cell>
          <cell r="T91">
            <v>7486462.2</v>
          </cell>
        </row>
        <row r="92">
          <cell r="S92">
            <v>3234500</v>
          </cell>
          <cell r="T92">
            <v>11572096.09</v>
          </cell>
        </row>
        <row r="93">
          <cell r="S93">
            <v>1215000</v>
          </cell>
          <cell r="T93">
            <v>5575507.02</v>
          </cell>
        </row>
        <row r="95">
          <cell r="S95">
            <v>65000</v>
          </cell>
          <cell r="T95">
            <v>133020</v>
          </cell>
        </row>
        <row r="96">
          <cell r="S96">
            <v>0</v>
          </cell>
          <cell r="T96">
            <v>370786.65</v>
          </cell>
        </row>
        <row r="97">
          <cell r="S97">
            <v>20400</v>
          </cell>
          <cell r="T97">
            <v>366600</v>
          </cell>
        </row>
        <row r="101">
          <cell r="S101">
            <v>0</v>
          </cell>
          <cell r="T101">
            <v>240000</v>
          </cell>
        </row>
        <row r="105">
          <cell r="S105">
            <v>0</v>
          </cell>
          <cell r="T105">
            <v>28642250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3" min="3" style="0" width="12.56"/>
    <col collapsed="false" customWidth="true" hidden="false" outlineLevel="0" max="4" min="4" style="0" width="14.41"/>
    <col collapsed="false" customWidth="true" hidden="false" outlineLevel="0" max="5" min="5" style="0" width="9.28"/>
    <col collapsed="false" customWidth="true" hidden="false" outlineLevel="0" max="6" min="6" style="0" width="15.7"/>
    <col collapsed="false" customWidth="true" hidden="false" outlineLevel="0" max="7" min="7" style="0" width="11.85"/>
    <col collapsed="false" customWidth="true" hidden="false" outlineLevel="0" max="8" min="8" style="0" width="3.28"/>
    <col collapsed="false" customWidth="true" hidden="false" outlineLevel="0" max="9" min="9" style="0" width="24.13"/>
    <col collapsed="false" customWidth="true" hidden="false" outlineLevel="0" max="10" min="10" style="0" width="11.7"/>
    <col collapsed="false" customWidth="true" hidden="false" outlineLevel="0" max="11" min="11" style="0" width="10.99"/>
    <col collapsed="false" customWidth="true" hidden="false" outlineLevel="0" max="12" min="12" style="0" width="10.85"/>
    <col collapsed="false" customWidth="true" hidden="false" outlineLevel="0" max="13" min="13" style="0" width="11.56"/>
    <col collapsed="false" customWidth="true" hidden="false" outlineLevel="0" max="14" min="14" style="0" width="12.7"/>
    <col collapsed="false" customWidth="true" hidden="false" outlineLevel="0" max="15" min="15" style="0" width="10.99"/>
    <col collapsed="false" customWidth="true" hidden="false" outlineLevel="0" max="16" min="16" style="0" width="2.28"/>
    <col collapsed="false" customWidth="true" hidden="false" outlineLevel="0" max="17" min="17" style="0" width="26.7"/>
    <col collapsed="false" customWidth="true" hidden="false" outlineLevel="0" max="18" min="18" style="0" width="13.7"/>
    <col collapsed="false" customWidth="true" hidden="false" outlineLevel="0" max="19" min="19" style="0" width="12.7"/>
    <col collapsed="false" customWidth="true" hidden="false" outlineLevel="0" max="20" min="20" style="0" width="11.99"/>
    <col collapsed="false" customWidth="true" hidden="false" outlineLevel="0" max="23" min="21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/>
      <c r="J8" s="9" t="s">
        <v>1</v>
      </c>
      <c r="K8" s="9"/>
      <c r="L8" s="9"/>
      <c r="M8" s="9"/>
      <c r="N8" s="9"/>
      <c r="O8" s="9"/>
      <c r="P8" s="10"/>
      <c r="Q8" s="8"/>
      <c r="R8" s="9" t="s">
        <v>2</v>
      </c>
      <c r="S8" s="9"/>
      <c r="T8" s="9"/>
      <c r="U8" s="9"/>
      <c r="V8" s="9"/>
      <c r="W8" s="9"/>
    </row>
    <row r="9" customFormat="false" ht="6.75" hidden="false" customHeight="tru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6.5" hidden="false" customHeight="false" outlineLevel="0" collapsed="false">
      <c r="A10" s="12" t="s">
        <v>3</v>
      </c>
      <c r="B10" s="13"/>
      <c r="C10" s="13"/>
      <c r="D10" s="13"/>
      <c r="E10" s="14"/>
      <c r="F10" s="14"/>
      <c r="G10" s="15"/>
      <c r="H10" s="16"/>
      <c r="I10" s="17"/>
      <c r="J10" s="18" t="s">
        <v>4</v>
      </c>
      <c r="K10" s="18" t="s">
        <v>5</v>
      </c>
      <c r="L10" s="18" t="s">
        <v>6</v>
      </c>
      <c r="M10" s="18" t="s">
        <v>7</v>
      </c>
      <c r="N10" s="18" t="s">
        <v>8</v>
      </c>
      <c r="O10" s="19" t="s">
        <v>9</v>
      </c>
      <c r="P10" s="20"/>
      <c r="Q10" s="17"/>
      <c r="R10" s="18" t="s">
        <v>4</v>
      </c>
      <c r="S10" s="18" t="s">
        <v>5</v>
      </c>
      <c r="T10" s="18" t="s">
        <v>6</v>
      </c>
      <c r="U10" s="18" t="s">
        <v>7</v>
      </c>
      <c r="V10" s="18" t="s">
        <v>8</v>
      </c>
      <c r="W10" s="19" t="s">
        <v>9</v>
      </c>
    </row>
    <row r="11" customFormat="false" ht="16.5" hidden="false" customHeight="false" outlineLevel="0" collapsed="false">
      <c r="A11" s="21"/>
      <c r="B11" s="22"/>
      <c r="C11" s="22"/>
      <c r="D11" s="22"/>
      <c r="E11" s="5"/>
      <c r="F11" s="5"/>
      <c r="G11" s="6"/>
      <c r="H11" s="10"/>
      <c r="I11" s="23" t="s">
        <v>10</v>
      </c>
      <c r="O11" s="6"/>
      <c r="P11" s="10"/>
      <c r="Q11" s="24" t="s">
        <v>11</v>
      </c>
      <c r="W11" s="6"/>
    </row>
    <row r="12" customFormat="false" ht="16.5" hidden="false" customHeight="false" outlineLevel="0" collapsed="false">
      <c r="A12" s="25" t="s">
        <v>12</v>
      </c>
      <c r="B12" s="26"/>
      <c r="C12" s="26"/>
      <c r="D12" s="26"/>
      <c r="E12" s="27"/>
      <c r="F12" s="27"/>
      <c r="G12" s="28"/>
      <c r="H12" s="27"/>
      <c r="I12" s="29" t="s">
        <v>13</v>
      </c>
      <c r="J12" s="26" t="n">
        <f aca="false">Data!W12</f>
        <v>20552</v>
      </c>
      <c r="K12" s="26" t="n">
        <f aca="false">Data!X12</f>
        <v>17060</v>
      </c>
      <c r="L12" s="26" t="n">
        <f aca="false">Data!Y12</f>
        <v>18249</v>
      </c>
      <c r="M12" s="26" t="n">
        <f aca="false">Data!Z12</f>
        <v>18093</v>
      </c>
      <c r="N12" s="30" t="n">
        <v>17677</v>
      </c>
      <c r="O12" s="31" t="n">
        <f aca="false">SUM(J12:N12)</f>
        <v>91631</v>
      </c>
      <c r="P12" s="27"/>
      <c r="Q12" s="29" t="s">
        <v>14</v>
      </c>
      <c r="R12" s="32" t="n">
        <f aca="false">Data!W62</f>
        <v>4660.28019153</v>
      </c>
      <c r="S12" s="32" t="n">
        <f aca="false">Data!X62</f>
        <v>4226.58363081</v>
      </c>
      <c r="T12" s="32" t="n">
        <f aca="false">Data!Y62</f>
        <v>4371.72766644</v>
      </c>
      <c r="U12" s="32" t="n">
        <f aca="false">Data!Z62</f>
        <v>5698.37126232</v>
      </c>
      <c r="V12" s="33" t="n">
        <v>5240</v>
      </c>
      <c r="W12" s="31" t="n">
        <f aca="false">SUM(R12:V12)</f>
        <v>24196.9627511</v>
      </c>
    </row>
    <row r="13" customFormat="false" ht="16.5" hidden="false" customHeight="false" outlineLevel="0" collapsed="false">
      <c r="A13" s="34"/>
      <c r="B13" s="35"/>
      <c r="C13" s="26"/>
      <c r="D13" s="26"/>
      <c r="E13" s="27"/>
      <c r="F13" s="27"/>
      <c r="G13" s="28"/>
      <c r="H13" s="27"/>
      <c r="I13" s="29" t="s">
        <v>15</v>
      </c>
      <c r="J13" s="26" t="n">
        <f aca="false">Data!W15</f>
        <v>6088</v>
      </c>
      <c r="K13" s="26" t="n">
        <f aca="false">Data!X15</f>
        <v>4946</v>
      </c>
      <c r="L13" s="26" t="n">
        <f aca="false">Data!Y15</f>
        <v>4960</v>
      </c>
      <c r="M13" s="26" t="n">
        <f aca="false">Data!Z15</f>
        <v>5325</v>
      </c>
      <c r="N13" s="30" t="n">
        <v>4845</v>
      </c>
      <c r="O13" s="31" t="n">
        <f aca="false">SUM(J13:N13)</f>
        <v>26164</v>
      </c>
      <c r="P13" s="27"/>
      <c r="Q13" s="29" t="s">
        <v>16</v>
      </c>
      <c r="R13" s="32" t="n">
        <f aca="false">Data!W63</f>
        <v>55.72244239</v>
      </c>
      <c r="S13" s="32" t="n">
        <f aca="false">Data!X63</f>
        <v>57.43029433</v>
      </c>
      <c r="T13" s="32" t="n">
        <f aca="false">Data!Y63</f>
        <v>44.78432436</v>
      </c>
      <c r="U13" s="32" t="n">
        <f aca="false">Data!Z63</f>
        <v>49.6276206</v>
      </c>
      <c r="V13" s="33" t="n">
        <v>80</v>
      </c>
      <c r="W13" s="31" t="n">
        <f aca="false">SUM(S13:V13)</f>
        <v>231.84223929</v>
      </c>
    </row>
    <row r="14" customFormat="false" ht="16.5" hidden="false" customHeight="false" outlineLevel="0" collapsed="false">
      <c r="A14" s="25" t="s">
        <v>17</v>
      </c>
      <c r="B14" s="26"/>
      <c r="C14" s="26"/>
      <c r="D14" s="26"/>
      <c r="E14" s="27"/>
      <c r="F14" s="27"/>
      <c r="G14" s="28"/>
      <c r="H14" s="36"/>
      <c r="I14" s="29" t="s">
        <v>18</v>
      </c>
      <c r="J14" s="37" t="n">
        <f aca="false">+Data!W18</f>
        <v>0.754091591591592</v>
      </c>
      <c r="K14" s="37" t="n">
        <f aca="false">+Data!X18</f>
        <v>0.772062164864128</v>
      </c>
      <c r="L14" s="37" t="n">
        <f aca="false">+Data!Y18</f>
        <v>0.787280796242837</v>
      </c>
      <c r="M14" s="37" t="n">
        <f aca="false">+Data!Z18</f>
        <v>0.784140404816808</v>
      </c>
      <c r="N14" s="38" t="n">
        <v>0.77</v>
      </c>
      <c r="O14" s="39"/>
      <c r="P14" s="27"/>
      <c r="Q14" s="24" t="s">
        <v>19</v>
      </c>
      <c r="R14" s="35"/>
      <c r="S14" s="35"/>
      <c r="T14" s="35"/>
      <c r="U14" s="35"/>
      <c r="V14" s="33"/>
      <c r="W14" s="31"/>
    </row>
    <row r="15" customFormat="false" ht="16.5" hidden="false" customHeight="false" outlineLevel="0" collapsed="false">
      <c r="A15" s="34"/>
      <c r="B15" s="26" t="s">
        <v>20</v>
      </c>
      <c r="C15" s="26"/>
      <c r="D15" s="26"/>
      <c r="E15" s="27"/>
      <c r="F15" s="27"/>
      <c r="G15" s="28"/>
      <c r="H15" s="27"/>
      <c r="I15" s="40" t="s">
        <v>21</v>
      </c>
      <c r="J15" s="35"/>
      <c r="K15" s="35"/>
      <c r="L15" s="35"/>
      <c r="M15" s="35"/>
      <c r="N15" s="26"/>
      <c r="O15" s="31"/>
      <c r="P15" s="27"/>
      <c r="Q15" s="29" t="s">
        <v>22</v>
      </c>
      <c r="R15" s="32" t="n">
        <f aca="false">+Data!W71</f>
        <v>160871.15609</v>
      </c>
      <c r="S15" s="32" t="n">
        <f aca="false">+Data!X71</f>
        <v>122928.78283</v>
      </c>
      <c r="T15" s="32" t="n">
        <f aca="false">+Data!Y71</f>
        <v>169849.40923</v>
      </c>
      <c r="U15" s="32" t="n">
        <f aca="false">+Data!Z71</f>
        <v>310566.31708</v>
      </c>
      <c r="V15" s="33" t="n">
        <v>169988</v>
      </c>
      <c r="W15" s="31" t="n">
        <f aca="false">SUM(R15:V15)</f>
        <v>934203.66523</v>
      </c>
    </row>
    <row r="16" customFormat="false" ht="16.5" hidden="false" customHeight="false" outlineLevel="0" collapsed="false">
      <c r="A16" s="34"/>
      <c r="B16" s="26"/>
      <c r="C16" s="13"/>
      <c r="D16" s="26"/>
      <c r="E16" s="27"/>
      <c r="F16" s="27"/>
      <c r="G16" s="28"/>
      <c r="H16" s="27"/>
      <c r="I16" s="29" t="s">
        <v>23</v>
      </c>
      <c r="J16" s="26" t="n">
        <f aca="false">Data!W23</f>
        <v>477</v>
      </c>
      <c r="K16" s="26" t="n">
        <f aca="false">Data!X23</f>
        <v>357</v>
      </c>
      <c r="L16" s="26" t="n">
        <f aca="false">Data!Y23</f>
        <v>430</v>
      </c>
      <c r="M16" s="26" t="n">
        <f aca="false">Data!Z23</f>
        <v>532</v>
      </c>
      <c r="N16" s="30" t="n">
        <v>357</v>
      </c>
      <c r="O16" s="31" t="n">
        <f aca="false">SUM(J16:N16)</f>
        <v>2153</v>
      </c>
      <c r="P16" s="27"/>
      <c r="Q16" s="29" t="s">
        <v>24</v>
      </c>
      <c r="R16" s="32" t="n">
        <f aca="false">+Data!W72</f>
        <v>5954.498</v>
      </c>
      <c r="S16" s="32" t="n">
        <f aca="false">+Data!X72</f>
        <v>500</v>
      </c>
      <c r="T16" s="32" t="n">
        <f aca="false">+Data!Y72</f>
        <v>2082</v>
      </c>
      <c r="U16" s="32" t="n">
        <f aca="false">+Data!Z72</f>
        <v>735.5</v>
      </c>
      <c r="V16" s="33" t="n">
        <v>285</v>
      </c>
      <c r="W16" s="31" t="n">
        <f aca="false">SUM(R16:V16)</f>
        <v>9556.998</v>
      </c>
    </row>
    <row r="17" customFormat="false" ht="16.5" hidden="false" customHeight="false" outlineLevel="0" collapsed="false">
      <c r="A17" s="25" t="s">
        <v>25</v>
      </c>
      <c r="B17" s="26"/>
      <c r="C17" s="22"/>
      <c r="D17" s="26"/>
      <c r="E17" s="27"/>
      <c r="F17" s="27"/>
      <c r="G17" s="28"/>
      <c r="H17" s="27"/>
      <c r="I17" s="29" t="s">
        <v>26</v>
      </c>
      <c r="J17" s="26" t="n">
        <f aca="false">Data!W26</f>
        <v>2744</v>
      </c>
      <c r="K17" s="26" t="n">
        <f aca="false">Data!X26</f>
        <v>2320</v>
      </c>
      <c r="L17" s="26" t="n">
        <f aca="false">Data!Y26</f>
        <v>2922</v>
      </c>
      <c r="M17" s="26" t="n">
        <f aca="false">Data!Z26</f>
        <v>3442</v>
      </c>
      <c r="N17" s="30" t="n">
        <v>2999</v>
      </c>
      <c r="O17" s="31" t="n">
        <f aca="false">SUM(J17:N17)</f>
        <v>14427</v>
      </c>
      <c r="P17" s="27"/>
      <c r="Q17" s="29" t="s">
        <v>27</v>
      </c>
      <c r="R17" s="32" t="n">
        <f aca="false">+Data!W73</f>
        <v>27.5</v>
      </c>
      <c r="S17" s="32" t="n">
        <f aca="false">+Data!X73</f>
        <v>75</v>
      </c>
      <c r="T17" s="32" t="n">
        <f aca="false">+Data!Y73</f>
        <v>45.75</v>
      </c>
      <c r="U17" s="32" t="n">
        <f aca="false">+Data!Z73</f>
        <v>57.5</v>
      </c>
      <c r="V17" s="33" t="n">
        <v>15</v>
      </c>
      <c r="W17" s="31" t="n">
        <f aca="false">SUM(R17:V17)</f>
        <v>220.75</v>
      </c>
    </row>
    <row r="18" customFormat="false" ht="16.5" hidden="false" customHeight="false" outlineLevel="0" collapsed="false">
      <c r="A18" s="34"/>
      <c r="B18" s="26"/>
      <c r="C18" s="13"/>
      <c r="D18" s="26"/>
      <c r="E18" s="27"/>
      <c r="F18" s="27"/>
      <c r="G18" s="28"/>
      <c r="H18" s="27"/>
      <c r="I18" s="29" t="s">
        <v>28</v>
      </c>
      <c r="J18" s="26" t="n">
        <f aca="false">Data!W29</f>
        <v>31</v>
      </c>
      <c r="K18" s="26" t="n">
        <f aca="false">Data!X29</f>
        <v>12</v>
      </c>
      <c r="L18" s="26" t="n">
        <f aca="false">Data!Y29</f>
        <v>39</v>
      </c>
      <c r="M18" s="26" t="n">
        <f aca="false">Data!Z29</f>
        <v>22</v>
      </c>
      <c r="N18" s="30" t="n">
        <v>13</v>
      </c>
      <c r="O18" s="31" t="n">
        <f aca="false">SUM(J18:N18)</f>
        <v>117</v>
      </c>
      <c r="P18" s="27"/>
      <c r="Q18" s="41" t="s">
        <v>29</v>
      </c>
      <c r="R18" s="26"/>
      <c r="S18" s="26"/>
      <c r="T18" s="26"/>
      <c r="U18" s="26"/>
      <c r="V18" s="33"/>
      <c r="W18" s="31"/>
    </row>
    <row r="19" customFormat="false" ht="16.5" hidden="false" customHeight="false" outlineLevel="0" collapsed="false">
      <c r="A19" s="25" t="s">
        <v>30</v>
      </c>
      <c r="B19" s="35"/>
      <c r="C19" s="22"/>
      <c r="D19" s="26"/>
      <c r="E19" s="27"/>
      <c r="F19" s="27"/>
      <c r="G19" s="28"/>
      <c r="H19" s="27"/>
      <c r="I19" s="29" t="s">
        <v>31</v>
      </c>
      <c r="J19" s="26" t="n">
        <f aca="false">Data!W32</f>
        <v>16</v>
      </c>
      <c r="K19" s="26" t="n">
        <f aca="false">Data!X32</f>
        <v>24</v>
      </c>
      <c r="L19" s="26" t="n">
        <f aca="false">Data!Y32</f>
        <v>26</v>
      </c>
      <c r="M19" s="26" t="n">
        <f aca="false">Data!Z32</f>
        <v>36</v>
      </c>
      <c r="N19" s="30" t="n">
        <v>15</v>
      </c>
      <c r="O19" s="31" t="n">
        <f aca="false">SUM(J19:N19)</f>
        <v>117</v>
      </c>
      <c r="P19" s="27"/>
      <c r="Q19" s="29" t="s">
        <v>32</v>
      </c>
      <c r="R19" s="32" t="n">
        <f aca="false">Data!W66</f>
        <v>41496</v>
      </c>
      <c r="S19" s="32" t="n">
        <f aca="false">Data!X66</f>
        <v>43480</v>
      </c>
      <c r="T19" s="32" t="n">
        <f aca="false">Data!Y66</f>
        <v>6180</v>
      </c>
      <c r="U19" s="32" t="n">
        <f aca="false">Data!Z66</f>
        <v>12570</v>
      </c>
      <c r="V19" s="33" t="n">
        <v>2660</v>
      </c>
      <c r="W19" s="31" t="n">
        <f aca="false">SUM(R19:V19)</f>
        <v>106386</v>
      </c>
    </row>
    <row r="20" customFormat="false" ht="16.5" hidden="false" customHeight="false" outlineLevel="0" collapsed="false">
      <c r="A20" s="25"/>
      <c r="B20" s="26"/>
      <c r="C20" s="26"/>
      <c r="D20" s="26"/>
      <c r="E20" s="27"/>
      <c r="F20" s="27"/>
      <c r="G20" s="28"/>
      <c r="H20" s="27"/>
      <c r="I20" s="29" t="s">
        <v>33</v>
      </c>
      <c r="J20" s="26" t="n">
        <f aca="false">Data!W35</f>
        <v>6</v>
      </c>
      <c r="K20" s="26" t="n">
        <f aca="false">Data!X35</f>
        <v>14</v>
      </c>
      <c r="L20" s="26" t="n">
        <f aca="false">Data!Y35</f>
        <v>16</v>
      </c>
      <c r="M20" s="26" t="n">
        <f aca="false">Data!Z35</f>
        <v>17</v>
      </c>
      <c r="N20" s="30" t="n">
        <v>6</v>
      </c>
      <c r="O20" s="31" t="n">
        <f aca="false">SUM(J20:N20)</f>
        <v>59</v>
      </c>
      <c r="P20" s="27"/>
      <c r="Q20" s="29" t="s">
        <v>34</v>
      </c>
      <c r="R20" s="32" t="n">
        <f aca="false">Data!W67</f>
        <v>170192</v>
      </c>
      <c r="S20" s="32" t="n">
        <f aca="false">Data!X67</f>
        <v>17427</v>
      </c>
      <c r="T20" s="32" t="n">
        <f aca="false">Data!Y67</f>
        <v>13890</v>
      </c>
      <c r="U20" s="32" t="n">
        <f aca="false">Data!Z67</f>
        <v>155545</v>
      </c>
      <c r="V20" s="33" t="n">
        <v>23943</v>
      </c>
      <c r="W20" s="31" t="n">
        <f aca="false">SUM(R20:V20)</f>
        <v>380997</v>
      </c>
    </row>
    <row r="21" customFormat="false" ht="16.5" hidden="false" customHeight="false" outlineLevel="0" collapsed="false">
      <c r="A21" s="25" t="s">
        <v>35</v>
      </c>
      <c r="B21" s="26"/>
      <c r="C21" s="26"/>
      <c r="D21" s="26"/>
      <c r="E21" s="27"/>
      <c r="F21" s="27"/>
      <c r="G21" s="28"/>
      <c r="H21" s="27"/>
      <c r="I21" s="29" t="s">
        <v>36</v>
      </c>
      <c r="J21" s="37" t="n">
        <f aca="false">+Data!W38</f>
        <v>0.31459987782529</v>
      </c>
      <c r="K21" s="37" t="n">
        <f aca="false">+Data!X38</f>
        <v>0.427576090942428</v>
      </c>
      <c r="L21" s="37" t="n">
        <f aca="false">+Data!Y38</f>
        <v>0.390911739003787</v>
      </c>
      <c r="M21" s="37" t="n">
        <f aca="false">+Data!Z38</f>
        <v>0.394912324030625</v>
      </c>
      <c r="N21" s="38" t="n">
        <v>0.43</v>
      </c>
      <c r="O21" s="31"/>
      <c r="P21" s="27"/>
      <c r="Q21" s="29" t="s">
        <v>37</v>
      </c>
      <c r="R21" s="32" t="n">
        <f aca="false">Data!W68</f>
        <v>26520.525</v>
      </c>
      <c r="S21" s="32" t="n">
        <f aca="false">Data!X68</f>
        <v>17873.853</v>
      </c>
      <c r="T21" s="32" t="n">
        <f aca="false">Data!Y68</f>
        <v>49474.929</v>
      </c>
      <c r="U21" s="32" t="n">
        <f aca="false">Data!Z68</f>
        <v>20144.014</v>
      </c>
      <c r="V21" s="33" t="n">
        <v>17176</v>
      </c>
      <c r="W21" s="31" t="n">
        <f aca="false">SUM(S21:V21)</f>
        <v>104668.796</v>
      </c>
    </row>
    <row r="22" customFormat="false" ht="16.5" hidden="false" customHeight="false" outlineLevel="0" collapsed="false">
      <c r="A22" s="25"/>
      <c r="B22" s="26" t="s">
        <v>38</v>
      </c>
      <c r="C22" s="26"/>
      <c r="D22" s="26"/>
      <c r="E22" s="27"/>
      <c r="F22" s="27"/>
      <c r="G22" s="28"/>
      <c r="H22" s="27"/>
      <c r="I22" s="40" t="s">
        <v>39</v>
      </c>
      <c r="J22" s="35"/>
      <c r="K22" s="35"/>
      <c r="L22" s="35"/>
      <c r="M22" s="35"/>
      <c r="N22" s="26"/>
      <c r="O22" s="31"/>
      <c r="P22" s="27"/>
      <c r="Q22" s="42" t="s">
        <v>40</v>
      </c>
      <c r="R22" s="43" t="n">
        <f aca="false">Data!W69</f>
        <v>0</v>
      </c>
      <c r="S22" s="43" t="n">
        <f aca="false">Data!X69</f>
        <v>0</v>
      </c>
      <c r="T22" s="43" t="n">
        <f aca="false">Data!Y69</f>
        <v>2758</v>
      </c>
      <c r="U22" s="43" t="n">
        <f aca="false">Data!Z69</f>
        <v>6549.8396</v>
      </c>
      <c r="V22" s="44" t="n">
        <v>5586</v>
      </c>
      <c r="W22" s="45" t="n">
        <f aca="false">SUM(R22:V22)</f>
        <v>14893.8396</v>
      </c>
    </row>
    <row r="23" customFormat="false" ht="16.5" hidden="false" customHeight="false" outlineLevel="0" collapsed="false">
      <c r="A23" s="35"/>
      <c r="B23" s="35"/>
      <c r="C23" s="26"/>
      <c r="D23" s="26"/>
      <c r="E23" s="27"/>
      <c r="F23" s="27"/>
      <c r="G23" s="28"/>
      <c r="H23" s="27"/>
      <c r="I23" s="29" t="s">
        <v>32</v>
      </c>
      <c r="J23" s="26" t="n">
        <f aca="false">Data!W43</f>
        <v>18</v>
      </c>
      <c r="K23" s="26" t="n">
        <f aca="false">Data!X43</f>
        <v>25</v>
      </c>
      <c r="L23" s="26" t="n">
        <f aca="false">Data!Y43</f>
        <v>53</v>
      </c>
      <c r="M23" s="26" t="n">
        <f aca="false">Data!Z43</f>
        <v>77</v>
      </c>
      <c r="N23" s="30" t="n">
        <v>19</v>
      </c>
      <c r="O23" s="31" t="n">
        <f aca="false">SUM(J23:N23)</f>
        <v>192</v>
      </c>
      <c r="P23" s="27"/>
      <c r="Q23" s="46"/>
      <c r="R23" s="27"/>
      <c r="S23" s="27"/>
      <c r="T23" s="27"/>
      <c r="U23" s="27"/>
      <c r="V23" s="27"/>
      <c r="W23" s="27"/>
    </row>
    <row r="24" customFormat="false" ht="16.5" hidden="false" customHeight="false" outlineLevel="0" collapsed="false">
      <c r="A24" s="25" t="s">
        <v>41</v>
      </c>
      <c r="B24" s="13"/>
      <c r="C24" s="26"/>
      <c r="D24" s="26"/>
      <c r="E24" s="27"/>
      <c r="F24" s="27"/>
      <c r="G24" s="28"/>
      <c r="H24" s="27"/>
      <c r="I24" s="29" t="s">
        <v>34</v>
      </c>
      <c r="J24" s="26" t="n">
        <f aca="false">Data!W46</f>
        <v>27</v>
      </c>
      <c r="K24" s="26" t="n">
        <f aca="false">Data!X46</f>
        <v>25</v>
      </c>
      <c r="L24" s="26" t="n">
        <f aca="false">Data!Y46</f>
        <v>23</v>
      </c>
      <c r="M24" s="26" t="n">
        <f aca="false">Data!Z46</f>
        <v>26</v>
      </c>
      <c r="N24" s="30" t="n">
        <v>22</v>
      </c>
      <c r="O24" s="31" t="n">
        <f aca="false">SUM(J24:N24)</f>
        <v>123</v>
      </c>
      <c r="P24" s="27"/>
      <c r="Q24" s="47"/>
      <c r="R24" s="48" t="s">
        <v>42</v>
      </c>
      <c r="S24" s="48"/>
      <c r="T24" s="48"/>
      <c r="U24" s="48"/>
      <c r="V24" s="48"/>
      <c r="W24" s="49"/>
    </row>
    <row r="25" customFormat="false" ht="16.5" hidden="false" customHeight="false" outlineLevel="0" collapsed="false">
      <c r="A25" s="25"/>
      <c r="B25" s="26" t="s">
        <v>43</v>
      </c>
      <c r="C25" s="26"/>
      <c r="D25" s="26"/>
      <c r="E25" s="27"/>
      <c r="F25" s="5"/>
      <c r="G25" s="6"/>
      <c r="H25" s="10"/>
      <c r="I25" s="29" t="s">
        <v>37</v>
      </c>
      <c r="J25" s="26" t="n">
        <f aca="false">Data!W49</f>
        <v>131</v>
      </c>
      <c r="K25" s="26" t="n">
        <f aca="false">Data!X49</f>
        <v>102</v>
      </c>
      <c r="L25" s="26" t="n">
        <f aca="false">Data!Y49</f>
        <v>121</v>
      </c>
      <c r="M25" s="26" t="n">
        <f aca="false">Data!Z49</f>
        <v>67</v>
      </c>
      <c r="N25" s="50" t="n">
        <v>90</v>
      </c>
      <c r="O25" s="31" t="n">
        <f aca="false">SUM(J25:N25)</f>
        <v>511</v>
      </c>
      <c r="P25" s="10"/>
      <c r="Q25" s="17"/>
      <c r="R25" s="18" t="s">
        <v>4</v>
      </c>
      <c r="S25" s="18" t="s">
        <v>5</v>
      </c>
      <c r="T25" s="18" t="s">
        <v>6</v>
      </c>
      <c r="U25" s="18" t="s">
        <v>7</v>
      </c>
      <c r="V25" s="18" t="s">
        <v>8</v>
      </c>
      <c r="W25" s="51"/>
    </row>
    <row r="26" customFormat="false" ht="16.5" hidden="false" customHeight="false" outlineLevel="0" collapsed="false">
      <c r="A26" s="52"/>
      <c r="B26" s="26"/>
      <c r="C26" s="26"/>
      <c r="D26" s="26"/>
      <c r="E26" s="27"/>
      <c r="F26" s="5"/>
      <c r="G26" s="6"/>
      <c r="H26" s="10"/>
      <c r="I26" s="29" t="s">
        <v>40</v>
      </c>
      <c r="J26" s="26" t="n">
        <f aca="false">Data!W52</f>
        <v>6</v>
      </c>
      <c r="K26" s="26" t="n">
        <f aca="false">Data!X52</f>
        <v>7</v>
      </c>
      <c r="L26" s="26" t="n">
        <f aca="false">Data!Y52</f>
        <v>17</v>
      </c>
      <c r="M26" s="26" t="n">
        <f aca="false">Data!Z52</f>
        <v>17</v>
      </c>
      <c r="N26" s="50" t="n">
        <v>0</v>
      </c>
      <c r="O26" s="31" t="n">
        <f aca="false">SUM(J26:N26)</f>
        <v>47</v>
      </c>
      <c r="P26" s="10"/>
      <c r="Q26" s="24" t="s">
        <v>44</v>
      </c>
      <c r="R26" s="5" t="n">
        <v>11</v>
      </c>
      <c r="S26" s="5" t="n">
        <v>6</v>
      </c>
      <c r="T26" s="5" t="n">
        <v>7</v>
      </c>
      <c r="U26" s="5" t="n">
        <v>7</v>
      </c>
      <c r="V26" s="53" t="n">
        <v>4</v>
      </c>
      <c r="W26" s="51"/>
    </row>
    <row r="27" customFormat="false" ht="16.5" hidden="false" customHeight="false" outlineLevel="0" collapsed="false">
      <c r="A27" s="21"/>
      <c r="B27" s="26"/>
      <c r="C27" s="26"/>
      <c r="D27" s="26"/>
      <c r="E27" s="27"/>
      <c r="F27" s="5"/>
      <c r="G27" s="6"/>
      <c r="H27" s="10"/>
      <c r="I27" s="29" t="s">
        <v>45</v>
      </c>
      <c r="J27" s="54" t="n">
        <f aca="false">+Data!W55</f>
        <v>0.0274725274725275</v>
      </c>
      <c r="K27" s="54" t="n">
        <f aca="false">+Data!X55</f>
        <v>0.0880503144654088</v>
      </c>
      <c r="L27" s="54" t="n">
        <f aca="false">+Data!Y55</f>
        <v>0.0514018691588785</v>
      </c>
      <c r="M27" s="54" t="n">
        <f aca="false">+Data!Z55</f>
        <v>0.0374331550802139</v>
      </c>
      <c r="N27" s="38" t="n">
        <v>0.02</v>
      </c>
      <c r="O27" s="55"/>
      <c r="P27" s="10"/>
      <c r="Q27" s="56"/>
      <c r="R27" s="5"/>
      <c r="S27" s="5"/>
      <c r="T27" s="5"/>
      <c r="U27" s="5"/>
      <c r="V27" s="53"/>
      <c r="W27" s="51"/>
    </row>
    <row r="28" customFormat="false" ht="16.5" hidden="false" customHeight="false" outlineLevel="0" collapsed="false">
      <c r="A28" s="57"/>
      <c r="B28" s="26"/>
      <c r="C28" s="27"/>
      <c r="D28" s="27"/>
      <c r="E28" s="27"/>
      <c r="F28" s="5"/>
      <c r="G28" s="6"/>
      <c r="H28" s="10"/>
      <c r="I28" s="58"/>
      <c r="J28" s="59"/>
      <c r="K28" s="59"/>
      <c r="L28" s="59"/>
      <c r="M28" s="59"/>
      <c r="N28" s="59"/>
      <c r="O28" s="55"/>
      <c r="P28" s="10"/>
      <c r="Q28" s="24" t="s">
        <v>46</v>
      </c>
      <c r="R28" s="5" t="n">
        <v>137</v>
      </c>
      <c r="S28" s="5" t="n">
        <v>242</v>
      </c>
      <c r="T28" s="5" t="n">
        <v>263</v>
      </c>
      <c r="U28" s="5" t="n">
        <v>173</v>
      </c>
      <c r="V28" s="53" t="n">
        <v>146</v>
      </c>
      <c r="W28" s="51"/>
    </row>
    <row r="29" customFormat="false" ht="6.75" hidden="false" customHeight="true" outlineLevel="0" collapsed="false">
      <c r="A29" s="60"/>
      <c r="B29" s="61"/>
      <c r="C29" s="61"/>
      <c r="D29" s="61"/>
      <c r="E29" s="61"/>
      <c r="F29" s="61"/>
      <c r="G29" s="62"/>
      <c r="H29" s="10"/>
      <c r="I29" s="63"/>
      <c r="J29" s="64"/>
      <c r="K29" s="64"/>
      <c r="L29" s="64"/>
      <c r="M29" s="64"/>
      <c r="N29" s="64"/>
      <c r="O29" s="65"/>
      <c r="P29" s="10"/>
      <c r="Q29" s="66"/>
      <c r="R29" s="67"/>
      <c r="S29" s="67"/>
      <c r="T29" s="61"/>
      <c r="U29" s="61"/>
      <c r="V29" s="61"/>
      <c r="W29" s="62"/>
    </row>
    <row r="30" customFormat="false" ht="12.75" hidden="false" customHeight="false" outlineLevel="0" collapsed="false">
      <c r="A30" s="68"/>
      <c r="B30" s="69"/>
      <c r="C30" s="69"/>
      <c r="D30" s="69"/>
      <c r="E30" s="69"/>
      <c r="F30" s="69"/>
      <c r="G30" s="69"/>
      <c r="I30" s="70"/>
      <c r="J30" s="70"/>
      <c r="K30" s="70"/>
      <c r="L30" s="69"/>
      <c r="M30" s="69"/>
      <c r="N30" s="69"/>
      <c r="O30" s="69"/>
      <c r="Q30" s="70"/>
      <c r="R30" s="70"/>
      <c r="S30" s="70"/>
      <c r="T30" s="69"/>
      <c r="U30" s="69"/>
      <c r="V30" s="69"/>
      <c r="W30" s="69"/>
    </row>
    <row r="31" customFormat="false" ht="12.75" hidden="false" customHeight="true" outlineLevel="0" collapsed="false">
      <c r="A31" s="71"/>
      <c r="J31" s="69"/>
      <c r="K31" s="69"/>
      <c r="L31" s="69"/>
      <c r="M31" s="69"/>
      <c r="N31" s="69"/>
      <c r="O31" s="69"/>
      <c r="P31" s="69"/>
      <c r="Q31" s="72"/>
      <c r="R31" s="72"/>
      <c r="S31" s="72"/>
      <c r="T31" s="72"/>
      <c r="U31" s="72"/>
      <c r="V31" s="72"/>
      <c r="W31" s="72"/>
    </row>
    <row r="32" customFormat="false" ht="12.75" hidden="false" customHeight="true" outlineLevel="0" collapsed="false">
      <c r="A32" s="73"/>
    </row>
    <row r="33" customFormat="false" ht="12.75" hidden="false" customHeight="true" outlineLevel="0" collapsed="false">
      <c r="A33" s="73"/>
    </row>
    <row r="34" customFormat="false" ht="12.75" hidden="false" customHeight="true" outlineLevel="0" collapsed="false">
      <c r="A34" s="70"/>
    </row>
    <row r="35" customFormat="false" ht="12.75" hidden="false" customHeight="true" outlineLevel="0" collapsed="false">
      <c r="A35" s="70"/>
    </row>
    <row r="36" customFormat="false" ht="12.75" hidden="false" customHeight="true" outlineLevel="0" collapsed="false">
      <c r="A36" s="70"/>
    </row>
    <row r="37" customFormat="false" ht="12.75" hidden="false" customHeight="true" outlineLevel="0" collapsed="false">
      <c r="A37" s="70"/>
    </row>
    <row r="38" customFormat="false" ht="12.75" hidden="false" customHeight="true" outlineLevel="0" collapsed="false">
      <c r="A38" s="70"/>
    </row>
    <row r="39" customFormat="false" ht="12.75" hidden="false" customHeight="true" outlineLevel="0" collapsed="false">
      <c r="A39" s="70"/>
    </row>
    <row r="40" customFormat="false" ht="12.75" hidden="false" customHeight="true" outlineLevel="0" collapsed="false">
      <c r="A40" s="70"/>
    </row>
    <row r="41" customFormat="false" ht="12.75" hidden="false" customHeight="true" outlineLevel="0" collapsed="false">
      <c r="A41" s="69"/>
    </row>
    <row r="42" customFormat="false" ht="12.75" hidden="false" customHeight="true" outlineLevel="0" collapsed="false">
      <c r="A42" s="69"/>
    </row>
    <row r="43" customFormat="false" ht="12.75" hidden="false" customHeight="true" outlineLevel="0" collapsed="false">
      <c r="A43" s="69"/>
    </row>
    <row r="44" customFormat="false" ht="12.75" hidden="false" customHeight="true" outlineLevel="0" collapsed="false">
      <c r="A44" s="69"/>
    </row>
    <row r="45" customFormat="false" ht="12.75" hidden="false" customHeight="true" outlineLevel="0" collapsed="false">
      <c r="A45" s="69"/>
    </row>
    <row r="46" customFormat="false" ht="12.75" hidden="false" customHeight="true" outlineLevel="0" collapsed="false">
      <c r="A46" s="35"/>
    </row>
    <row r="47" customFormat="false" ht="12.75" hidden="false" customHeight="true" outlineLevel="0" collapsed="false">
      <c r="A47" s="35"/>
    </row>
    <row r="48" customFormat="false" ht="12.75" hidden="false" customHeight="true" outlineLevel="0" collapsed="false">
      <c r="A48" s="74"/>
    </row>
    <row r="49" customFormat="false" ht="12.75" hidden="false" customHeight="true" outlineLevel="0" collapsed="false">
      <c r="A49" s="74"/>
    </row>
    <row r="50" customFormat="false" ht="12.75" hidden="false" customHeight="true" outlineLevel="0" collapsed="false">
      <c r="A50" s="74"/>
    </row>
    <row r="51" customFormat="false" ht="12.75" hidden="false" customHeight="true" outlineLevel="0" collapsed="false">
      <c r="A51" s="74"/>
    </row>
    <row r="52" customFormat="false" ht="12.75" hidden="false" customHeight="true" outlineLevel="0" collapsed="false">
      <c r="A52" s="74"/>
    </row>
    <row r="53" customFormat="false" ht="12.75" hidden="false" customHeight="true" outlineLevel="0" collapsed="false">
      <c r="A53" s="74"/>
    </row>
    <row r="54" customFormat="false" ht="12.75" hidden="false" customHeight="true" outlineLevel="0" collapsed="false">
      <c r="A54" s="74"/>
    </row>
    <row r="55" customFormat="false" ht="12.75" hidden="false" customHeight="true" outlineLevel="0" collapsed="false">
      <c r="A55" s="74"/>
    </row>
    <row r="56" customFormat="false" ht="12.75" hidden="false" customHeight="true" outlineLevel="0" collapsed="false">
      <c r="A56" s="74"/>
    </row>
    <row r="57" customFormat="false" ht="12.75" hidden="false" customHeight="true" outlineLevel="0" collapsed="false">
      <c r="A57" s="74"/>
    </row>
    <row r="58" customFormat="false" ht="12.75" hidden="false" customHeight="true" outlineLevel="0" collapsed="false">
      <c r="A58" s="74"/>
    </row>
    <row r="59" customFormat="false" ht="12.75" hidden="false" customHeight="true" outlineLevel="0" collapsed="false">
      <c r="A59" s="74"/>
    </row>
    <row r="60" customFormat="false" ht="12.75" hidden="false" customHeight="true" outlineLevel="0" collapsed="false">
      <c r="A60" s="74"/>
    </row>
    <row r="61" customFormat="false" ht="12.75" hidden="false" customHeight="true" outlineLevel="0" collapsed="false">
      <c r="A61" s="74"/>
    </row>
    <row r="62" customFormat="false" ht="12.75" hidden="false" customHeight="true" outlineLevel="0" collapsed="false">
      <c r="A62" s="74"/>
    </row>
    <row r="63" customFormat="false" ht="12.75" hidden="false" customHeight="true" outlineLevel="0" collapsed="false">
      <c r="A63" s="74"/>
    </row>
    <row r="64" customFormat="false" ht="12.75" hidden="false" customHeight="true" outlineLevel="0" collapsed="false">
      <c r="A64" s="74"/>
    </row>
    <row r="65" customFormat="false" ht="12.75" hidden="false" customHeight="true" outlineLevel="0" collapsed="false">
      <c r="A65" s="74"/>
    </row>
    <row r="66" customFormat="false" ht="12.75" hidden="false" customHeight="true" outlineLevel="0" collapsed="false">
      <c r="A66" s="74"/>
    </row>
    <row r="67" customFormat="false" ht="12.75" hidden="false" customHeight="true" outlineLevel="0" collapsed="false">
      <c r="A67" s="74"/>
    </row>
    <row r="68" customFormat="false" ht="12.75" hidden="false" customHeight="true" outlineLevel="0" collapsed="false">
      <c r="A68" s="75"/>
    </row>
    <row r="69" customFormat="false" ht="12.75" hidden="false" customHeight="true" outlineLevel="0" collapsed="false">
      <c r="A69" s="76"/>
    </row>
    <row r="70" customFormat="false" ht="12.75" hidden="false" customHeight="true" outlineLevel="0" collapsed="false">
      <c r="A70" s="73"/>
    </row>
    <row r="71" customFormat="false" ht="12.75" hidden="false" customHeight="true" outlineLevel="0" collapsed="false">
      <c r="A71" s="73"/>
    </row>
    <row r="72" customFormat="false" ht="12.75" hidden="false" customHeight="true" outlineLevel="0" collapsed="false">
      <c r="A72" s="73"/>
    </row>
    <row r="73" customFormat="false" ht="12.75" hidden="false" customHeight="true" outlineLevel="0" collapsed="false">
      <c r="A73" s="73"/>
    </row>
    <row r="74" customFormat="false" ht="12.75" hidden="false" customHeight="true" outlineLevel="0" collapsed="false">
      <c r="A74" s="73"/>
    </row>
    <row r="75" customFormat="false" ht="12.75" hidden="false" customHeight="true" outlineLevel="0" collapsed="false">
      <c r="A75" s="73"/>
    </row>
    <row r="76" customFormat="false" ht="12.75" hidden="false" customHeight="true" outlineLevel="0" collapsed="false">
      <c r="A76" s="70"/>
    </row>
    <row r="77" customFormat="false" ht="12.75" hidden="false" customHeight="true" outlineLevel="0" collapsed="false">
      <c r="A77" s="69"/>
    </row>
    <row r="78" customFormat="false" ht="12.75" hidden="false" customHeight="true" outlineLevel="0" collapsed="false">
      <c r="A78" s="35"/>
    </row>
    <row r="79" customFormat="false" ht="12.75" hidden="false" customHeight="true" outlineLevel="0" collapsed="false">
      <c r="A79" s="35"/>
    </row>
    <row r="80" customFormat="false" ht="12.75" hidden="false" customHeight="true" outlineLevel="0" collapsed="false">
      <c r="A80" s="74"/>
    </row>
    <row r="81" customFormat="false" ht="12.75" hidden="false" customHeight="true" outlineLevel="0" collapsed="false">
      <c r="A81" s="74"/>
    </row>
    <row r="82" customFormat="false" ht="12.75" hidden="false" customHeight="true" outlineLevel="0" collapsed="false">
      <c r="A82" s="74"/>
    </row>
    <row r="83" customFormat="false" ht="12.75" hidden="false" customHeight="true" outlineLevel="0" collapsed="false">
      <c r="A83" s="74"/>
    </row>
    <row r="84" customFormat="false" ht="12.75" hidden="false" customHeight="true" outlineLevel="0" collapsed="false">
      <c r="A84" s="74"/>
    </row>
    <row r="85" customFormat="false" ht="12.75" hidden="false" customHeight="true" outlineLevel="0" collapsed="false">
      <c r="A85" s="74"/>
    </row>
    <row r="86" customFormat="false" ht="12.75" hidden="false" customHeight="true" outlineLevel="0" collapsed="false">
      <c r="A86" s="74"/>
    </row>
    <row r="87" customFormat="false" ht="12.75" hidden="false" customHeight="true" outlineLevel="0" collapsed="false">
      <c r="A87" s="69"/>
    </row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</sheetData>
  <mergeCells count="3">
    <mergeCell ref="J8:O8"/>
    <mergeCell ref="R8:W8"/>
    <mergeCell ref="R24:V24"/>
  </mergeCells>
  <printOptions headings="false" gridLines="false" gridLinesSet="true" horizontalCentered="true" verticalCentered="true"/>
  <pageMargins left="0.170138888888889" right="0.159722222222222" top="0.5" bottom="0.3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&amp;L&amp;"Arial,Bold"&amp;18Global Risk Management Operations
Contact:    Sally Beck x35926&amp;C&amp;"Arial,Bold"&amp;18Weekly Report
Week of May 24 - May 30</oddHeader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192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14790</v>
      </c>
      <c r="C6" s="35" t="n">
        <v>1869240046.28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2956</v>
      </c>
      <c r="C7" s="35" t="n">
        <v>22403354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1027</v>
      </c>
      <c r="C9" s="85" t="n">
        <v>42951000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1</v>
      </c>
      <c r="C11" s="85" t="n">
        <v>45000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15</v>
      </c>
      <c r="C12" s="85" t="n">
        <v>4300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7</v>
      </c>
      <c r="C14" s="176" t="n">
        <v>17500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3</v>
      </c>
      <c r="C17" s="176" t="n">
        <v>9000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17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192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3339</v>
      </c>
      <c r="C29" s="176" t="n">
        <v>2319020585.14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2968</v>
      </c>
      <c r="C30" s="176" t="n">
        <v>73755269.76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1830</v>
      </c>
      <c r="C32" s="176" t="n">
        <v>131822933.66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25</v>
      </c>
      <c r="C33" s="176" t="n">
        <v>2272500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1</v>
      </c>
      <c r="C34" s="176" t="n">
        <v>45000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7</v>
      </c>
      <c r="C35" s="176" t="n">
        <v>37000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645</v>
      </c>
      <c r="C36" s="176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10</v>
      </c>
      <c r="C37" s="176" t="n">
        <v>132600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277</v>
      </c>
      <c r="C39" s="176" t="n">
        <v>363558.61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50</v>
      </c>
      <c r="C40" s="176" t="n">
        <v>7652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192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5</v>
      </c>
      <c r="C49" s="35" t="n">
        <v>528000</v>
      </c>
      <c r="D49" s="180" t="s">
        <v>183</v>
      </c>
      <c r="E49" s="180"/>
    </row>
    <row r="50" customFormat="false" ht="12.75" hidden="false" customHeight="false" outlineLevel="0" collapsed="false">
      <c r="A50" s="175" t="s">
        <v>32</v>
      </c>
      <c r="B50" s="35"/>
      <c r="C50" s="35"/>
      <c r="D50" s="180"/>
      <c r="E50" s="180"/>
    </row>
    <row r="51" customFormat="false" ht="12.75" hidden="false" customHeight="false" outlineLevel="0" collapsed="false">
      <c r="A51" s="175" t="s">
        <v>163</v>
      </c>
      <c r="B51" s="35" t="n">
        <v>3</v>
      </c>
      <c r="C51" s="35" t="n">
        <v>520</v>
      </c>
      <c r="D51" s="180" t="s">
        <v>184</v>
      </c>
      <c r="E51" s="180"/>
    </row>
    <row r="52" customFormat="false" ht="12.75" hidden="false" customHeight="false" outlineLevel="0" collapsed="false">
      <c r="B52" s="180"/>
      <c r="C52" s="180"/>
      <c r="D52" s="180"/>
      <c r="E52" s="180"/>
    </row>
    <row r="53" customFormat="false" ht="12.75" hidden="false" customHeight="false" outlineLevel="0" collapsed="false">
      <c r="A53" s="90" t="s">
        <v>185</v>
      </c>
      <c r="B53" s="183" t="n">
        <v>1</v>
      </c>
      <c r="C53" s="183"/>
      <c r="D53" s="180"/>
      <c r="E53" s="180"/>
    </row>
    <row r="54" customFormat="false" ht="12.75" hidden="false" customHeight="false" outlineLevel="0" collapsed="false">
      <c r="B54" s="180"/>
      <c r="C54" s="180"/>
      <c r="D54" s="180"/>
      <c r="E54" s="180"/>
    </row>
    <row r="55" customFormat="false" ht="12.75" hidden="false" customHeight="false" outlineLevel="0" collapsed="false">
      <c r="A55" s="87" t="s">
        <v>186</v>
      </c>
      <c r="B55" s="180"/>
      <c r="C55" s="184" t="n">
        <v>528</v>
      </c>
      <c r="D55" s="180"/>
      <c r="E55" s="180"/>
    </row>
    <row r="56" customFormat="false" ht="12.75" hidden="false" customHeight="false" outlineLevel="0" collapsed="false">
      <c r="B56" s="180"/>
      <c r="C56" s="180"/>
      <c r="D56" s="180"/>
      <c r="E56" s="180"/>
    </row>
    <row r="57" customFormat="false" ht="12.75" hidden="false" customHeight="false" outlineLevel="0" collapsed="false">
      <c r="B57" s="180"/>
      <c r="C57" s="180"/>
      <c r="D57" s="180"/>
      <c r="E57" s="180"/>
    </row>
    <row r="58" customFormat="false" ht="12.75" hidden="false" customHeight="false" outlineLevel="0" collapsed="false">
      <c r="A58" s="84" t="s">
        <v>187</v>
      </c>
      <c r="B58" s="183"/>
      <c r="C58" s="185" t="n">
        <v>381258.61</v>
      </c>
      <c r="D58" s="183"/>
      <c r="E58" s="183"/>
      <c r="F58" s="90"/>
    </row>
    <row r="59" customFormat="false" ht="12.75" hidden="false" customHeight="false" outlineLevel="0" collapsed="false">
      <c r="B59" s="180"/>
      <c r="C59" s="180"/>
      <c r="D59" s="180"/>
    </row>
    <row r="60" customFormat="false" ht="12.75" hidden="false" customHeight="false" outlineLevel="0" collapsed="false">
      <c r="B60" s="180"/>
      <c r="C60" s="180"/>
      <c r="D60" s="180"/>
    </row>
    <row r="61" customFormat="false" ht="12.75" hidden="false" customHeight="false" outlineLevel="0" collapsed="false">
      <c r="B61" s="180"/>
      <c r="C61" s="18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U69" activeCellId="0" sqref="U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193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10971</v>
      </c>
      <c r="C6" s="35" t="n">
        <v>1375461970.24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2427</v>
      </c>
      <c r="C7" s="35" t="n">
        <v>18936958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856</v>
      </c>
      <c r="C9" s="85" t="n">
        <v>41731000.01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1</v>
      </c>
      <c r="C11" s="85" t="n">
        <v>10000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0</v>
      </c>
      <c r="C12" s="85" t="n">
        <v>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2</v>
      </c>
      <c r="C14" s="176" t="n">
        <v>5000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6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193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1946</v>
      </c>
      <c r="C29" s="176" t="n">
        <v>1561334818.77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2267</v>
      </c>
      <c r="C30" s="176" t="n">
        <v>24032413.14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1469</v>
      </c>
      <c r="C32" s="176" t="n">
        <v>103904699.08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12</v>
      </c>
      <c r="C33" s="176" t="n">
        <v>1776500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2</v>
      </c>
      <c r="C34" s="176" t="n">
        <v>73200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3</v>
      </c>
      <c r="C35" s="176" t="n">
        <v>15000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361</v>
      </c>
      <c r="C36" s="176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2</v>
      </c>
      <c r="C37" s="176" t="n">
        <v>12500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183</v>
      </c>
      <c r="C39" s="176" t="n">
        <v>126035.8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32</v>
      </c>
      <c r="C40" s="176" t="n">
        <v>16252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193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1</v>
      </c>
      <c r="C49" s="35" t="n">
        <v>88000</v>
      </c>
      <c r="D49" s="180" t="s">
        <v>183</v>
      </c>
      <c r="E49" s="180"/>
    </row>
    <row r="50" customFormat="false" ht="12.75" hidden="false" customHeight="false" outlineLevel="0" collapsed="false">
      <c r="A50" s="175" t="s">
        <v>32</v>
      </c>
      <c r="B50" s="35"/>
      <c r="C50" s="35"/>
      <c r="D50" s="180"/>
      <c r="E50" s="180"/>
    </row>
    <row r="51" customFormat="false" ht="12.75" hidden="false" customHeight="false" outlineLevel="0" collapsed="false">
      <c r="A51" s="175" t="s">
        <v>163</v>
      </c>
      <c r="B51" s="35" t="n">
        <v>5</v>
      </c>
      <c r="C51" s="35" t="n">
        <v>2000</v>
      </c>
      <c r="D51" s="180" t="s">
        <v>184</v>
      </c>
      <c r="E51" s="180"/>
    </row>
    <row r="52" customFormat="false" ht="12.75" hidden="false" customHeight="false" outlineLevel="0" collapsed="false">
      <c r="B52" s="180"/>
      <c r="C52" s="180"/>
      <c r="D52" s="180"/>
      <c r="E52" s="180"/>
    </row>
    <row r="53" customFormat="false" ht="12.75" hidden="false" customHeight="false" outlineLevel="0" collapsed="false">
      <c r="A53" s="90" t="s">
        <v>185</v>
      </c>
      <c r="B53" s="183" t="n">
        <v>0</v>
      </c>
      <c r="C53" s="183"/>
      <c r="D53" s="180"/>
      <c r="E53" s="180"/>
    </row>
    <row r="54" customFormat="false" ht="12.75" hidden="false" customHeight="false" outlineLevel="0" collapsed="false">
      <c r="B54" s="180"/>
      <c r="C54" s="180"/>
      <c r="D54" s="180"/>
      <c r="E54" s="180"/>
    </row>
    <row r="55" customFormat="false" ht="12.75" hidden="false" customHeight="false" outlineLevel="0" collapsed="false">
      <c r="A55" s="87" t="s">
        <v>186</v>
      </c>
      <c r="B55" s="180"/>
      <c r="C55" s="184" t="n">
        <v>88</v>
      </c>
      <c r="D55" s="180"/>
      <c r="E55" s="180"/>
    </row>
    <row r="56" customFormat="false" ht="12.75" hidden="false" customHeight="false" outlineLevel="0" collapsed="false">
      <c r="B56" s="180"/>
      <c r="C56" s="180"/>
      <c r="D56" s="180"/>
      <c r="E56" s="180"/>
    </row>
    <row r="57" customFormat="false" ht="12.75" hidden="false" customHeight="false" outlineLevel="0" collapsed="false">
      <c r="B57" s="180"/>
      <c r="C57" s="180"/>
      <c r="D57" s="180"/>
      <c r="E57" s="180"/>
    </row>
    <row r="58" customFormat="false" ht="12.75" hidden="false" customHeight="false" outlineLevel="0" collapsed="false">
      <c r="A58" s="84" t="s">
        <v>187</v>
      </c>
      <c r="B58" s="183"/>
      <c r="C58" s="185" t="n">
        <v>144375.8</v>
      </c>
      <c r="D58" s="183"/>
      <c r="E58" s="183"/>
      <c r="F58" s="90"/>
    </row>
    <row r="59" customFormat="false" ht="12.75" hidden="false" customHeight="false" outlineLevel="0" collapsed="false">
      <c r="B59" s="180"/>
      <c r="C59" s="180"/>
      <c r="D59" s="180"/>
    </row>
    <row r="60" customFormat="false" ht="12.75" hidden="false" customHeight="false" outlineLevel="0" collapsed="false">
      <c r="B60" s="180"/>
      <c r="C60" s="180"/>
      <c r="D60" s="180"/>
    </row>
    <row r="61" customFormat="false" ht="12.75" hidden="false" customHeight="false" outlineLevel="0" collapsed="false">
      <c r="B61" s="180"/>
      <c r="C61" s="18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194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10211</v>
      </c>
      <c r="C6" s="35" t="n">
        <v>1100132468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1796</v>
      </c>
      <c r="C7" s="35" t="n">
        <v>15451320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1548</v>
      </c>
      <c r="C9" s="85" t="n">
        <v>40624000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1</v>
      </c>
      <c r="C10" s="85" t="n">
        <v>37500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3</v>
      </c>
      <c r="C11" s="85" t="n">
        <v>135000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1</v>
      </c>
      <c r="C12" s="85" t="n">
        <v>300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0</v>
      </c>
      <c r="C14" s="176" t="n">
        <v>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6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tr">
        <f aca="false">B2</f>
        <v>Week ending 2/22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2449</v>
      </c>
      <c r="C29" s="176" t="n">
        <v>1765555183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1860</v>
      </c>
      <c r="C30" s="176" t="n">
        <v>22539170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1587</v>
      </c>
      <c r="C32" s="176" t="n">
        <v>107025834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14</v>
      </c>
      <c r="C33" s="176" t="n">
        <v>1613000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10</v>
      </c>
      <c r="C34" s="176" t="n">
        <v>640000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23</v>
      </c>
      <c r="C35" s="176" t="n">
        <v>377500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142</v>
      </c>
      <c r="C36" s="176" t="n">
        <v>5786000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6</v>
      </c>
      <c r="C37" s="176" t="n">
        <v>37500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72</v>
      </c>
      <c r="C39" s="176" t="n">
        <v>56436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0</v>
      </c>
      <c r="C40" s="176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tr">
        <f aca="false">B2</f>
        <v>Week ending 2/22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4</v>
      </c>
      <c r="C49" s="35" t="n">
        <v>176000</v>
      </c>
      <c r="D49" s="0" t="s">
        <v>183</v>
      </c>
    </row>
    <row r="50" customFormat="false" ht="12.75" hidden="false" customHeight="false" outlineLevel="0" collapsed="false">
      <c r="A50" s="175" t="s">
        <v>32</v>
      </c>
      <c r="B50" s="35"/>
      <c r="C50" s="35"/>
    </row>
    <row r="51" customFormat="false" ht="12.75" hidden="false" customHeight="false" outlineLevel="0" collapsed="false">
      <c r="A51" s="175" t="s">
        <v>163</v>
      </c>
      <c r="B51" s="35"/>
      <c r="C51" s="35"/>
      <c r="D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1</v>
      </c>
      <c r="C53" s="90"/>
    </row>
    <row r="55" customFormat="false" ht="12.75" hidden="false" customHeight="false" outlineLevel="0" collapsed="false">
      <c r="A55" s="87" t="s">
        <v>186</v>
      </c>
      <c r="C55" s="187" t="n">
        <f aca="false">C49/1000</f>
        <v>176</v>
      </c>
    </row>
    <row r="58" customFormat="false" ht="12.75" hidden="false" customHeight="false" outlineLevel="0" collapsed="false">
      <c r="A58" s="84" t="s">
        <v>187</v>
      </c>
      <c r="B58" s="90"/>
      <c r="C58" s="188" t="n">
        <f aca="false">C55+C51+C40+C39+C17+C16</f>
        <v>56612</v>
      </c>
      <c r="D58" s="90"/>
      <c r="E58" s="90"/>
      <c r="F58" s="9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0" topLeftCell="B1" activePane="topRight" state="frozen"/>
      <selection pane="topLeft" activeCell="A8" activeCellId="0" sqref="A8"/>
      <selection pane="topRight" activeCell="X7" activeCellId="0" sqref="X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45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195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12043</v>
      </c>
      <c r="C6" s="35" t="n">
        <v>1626706705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1776</v>
      </c>
      <c r="C7" s="35" t="n">
        <v>19123325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1184</v>
      </c>
      <c r="C9" s="85" t="n">
        <v>33587500.01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2</v>
      </c>
      <c r="C11" s="85" t="n">
        <v>90000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4</v>
      </c>
      <c r="C12" s="85" t="n">
        <v>1200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0</v>
      </c>
      <c r="C14" s="176" t="n">
        <v>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7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195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3029</v>
      </c>
      <c r="C29" s="176" t="n">
        <v>1755371946.19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1995</v>
      </c>
      <c r="C30" s="176" t="n">
        <v>24524311.38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1409</v>
      </c>
      <c r="C32" s="176" t="n">
        <v>113725513.07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9</v>
      </c>
      <c r="C33" s="176" t="n">
        <v>705250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0</v>
      </c>
      <c r="C34" s="176" t="n">
        <v>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14</v>
      </c>
      <c r="C35" s="176" t="n">
        <v>68000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102</v>
      </c>
      <c r="C36" s="176" t="n">
        <v>4422278</v>
      </c>
      <c r="D36" s="80" t="s">
        <v>105</v>
      </c>
      <c r="E36" s="80"/>
      <c r="F36" s="189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3</v>
      </c>
      <c r="C37" s="176" t="n">
        <v>7500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107</v>
      </c>
      <c r="C39" s="176" t="n">
        <v>161955.196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0</v>
      </c>
      <c r="C40" s="176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195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5</v>
      </c>
      <c r="C49" s="35" t="n">
        <v>401000</v>
      </c>
      <c r="D49" s="0" t="s">
        <v>183</v>
      </c>
    </row>
    <row r="50" customFormat="false" ht="12.75" hidden="false" customHeight="false" outlineLevel="0" collapsed="false">
      <c r="A50" s="175" t="s">
        <v>32</v>
      </c>
      <c r="B50" s="35"/>
      <c r="C50" s="35"/>
    </row>
    <row r="51" customFormat="false" ht="12.75" hidden="false" customHeight="false" outlineLevel="0" collapsed="false">
      <c r="A51" s="175" t="s">
        <v>163</v>
      </c>
      <c r="B51" s="35" t="n">
        <v>5</v>
      </c>
      <c r="C51" s="35" t="n">
        <v>947</v>
      </c>
      <c r="D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1</v>
      </c>
      <c r="C53" s="90"/>
    </row>
    <row r="55" customFormat="false" ht="12.75" hidden="false" customHeight="false" outlineLevel="0" collapsed="false">
      <c r="A55" s="87" t="s">
        <v>186</v>
      </c>
      <c r="C55" s="187" t="n">
        <v>401</v>
      </c>
    </row>
    <row r="58" customFormat="false" ht="12.75" hidden="false" customHeight="false" outlineLevel="0" collapsed="false">
      <c r="A58" s="84" t="s">
        <v>187</v>
      </c>
      <c r="B58" s="90"/>
      <c r="C58" s="188" t="n">
        <v>163303.196</v>
      </c>
      <c r="D58" s="90"/>
      <c r="E58" s="90"/>
      <c r="F58" s="90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196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14417</v>
      </c>
      <c r="C6" s="35" t="n">
        <v>1693251006.43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2005</v>
      </c>
      <c r="C7" s="35" t="n">
        <v>15858405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1348</v>
      </c>
      <c r="C9" s="85" t="n">
        <v>37581000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1</v>
      </c>
      <c r="C10" s="85" t="n">
        <v>37500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3</v>
      </c>
      <c r="C11" s="85" t="n">
        <v>165000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7</v>
      </c>
      <c r="C12" s="85" t="n">
        <v>2100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0</v>
      </c>
      <c r="C14" s="176" t="n">
        <v>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6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196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2892</v>
      </c>
      <c r="C29" s="176" t="n">
        <v>2616814896.43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2410</v>
      </c>
      <c r="C30" s="176" t="n">
        <v>33742855.31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1753</v>
      </c>
      <c r="C32" s="176" t="n">
        <v>126016308.16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31</v>
      </c>
      <c r="C33" s="176" t="n">
        <v>2711200.02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1</v>
      </c>
      <c r="C34" s="176" t="n">
        <v>57000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15</v>
      </c>
      <c r="C35" s="176" t="n">
        <v>97500</v>
      </c>
      <c r="D35" s="80" t="s">
        <v>103</v>
      </c>
      <c r="E35" s="80" t="n">
        <v>4176550</v>
      </c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174</v>
      </c>
      <c r="C36" s="176" t="n">
        <v>4982000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3</v>
      </c>
      <c r="C37" s="176" t="n">
        <v>5200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117</v>
      </c>
      <c r="C39" s="176" t="n">
        <v>119654.16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0</v>
      </c>
      <c r="C40" s="176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196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7</v>
      </c>
      <c r="C49" s="35" t="n">
        <v>646000</v>
      </c>
      <c r="D49" s="0" t="s">
        <v>183</v>
      </c>
    </row>
    <row r="50" customFormat="false" ht="12.75" hidden="false" customHeight="false" outlineLevel="0" collapsed="false">
      <c r="A50" s="175" t="s">
        <v>32</v>
      </c>
      <c r="B50" s="35"/>
      <c r="C50" s="35"/>
    </row>
    <row r="51" customFormat="false" ht="12.75" hidden="false" customHeight="false" outlineLevel="0" collapsed="false">
      <c r="A51" s="175" t="s">
        <v>163</v>
      </c>
      <c r="B51" s="35" t="n">
        <v>4</v>
      </c>
      <c r="C51" s="35" t="n">
        <v>683</v>
      </c>
      <c r="D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1</v>
      </c>
      <c r="C53" s="90"/>
    </row>
    <row r="55" customFormat="false" ht="12.75" hidden="false" customHeight="false" outlineLevel="0" collapsed="false">
      <c r="A55" s="87" t="s">
        <v>186</v>
      </c>
      <c r="C55" s="187" t="n">
        <v>646</v>
      </c>
    </row>
    <row r="58" customFormat="false" ht="12.75" hidden="false" customHeight="false" outlineLevel="0" collapsed="false">
      <c r="A58" s="84" t="s">
        <v>187</v>
      </c>
      <c r="B58" s="90"/>
      <c r="C58" s="188" t="n">
        <v>120983.16</v>
      </c>
      <c r="D58" s="90"/>
      <c r="E58" s="90"/>
      <c r="F58" s="9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1" ySplit="0" topLeftCell="B1" activePane="topRight" state="frozen"/>
      <selection pane="topLeft" activeCell="A7" activeCellId="0" sqref="A7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197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f aca="false">'[4]Thrusday 02-15-01'!S9+'[4]Thrusday 02-15-01'!S10+-'[4]Thursday 02-08-01'!S9-'[4]Thursday 02-08-01'!S10</f>
        <v>14423</v>
      </c>
      <c r="C6" s="35" t="n">
        <f aca="false">'[4]Thrusday 02-15-01'!S67+'[4]Thrusday 02-15-01'!S68-'[4]Thursday 02-08-01'!S67-'[4]Thursday 02-08-01'!S68</f>
        <v>1547814272.26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f aca="false">'[4]Thrusday 02-15-01'!S17+'[4]Thrusday 02-15-01'!S18-'[4]Thursday 02-08-01'!S17-'[4]Thursday 02-08-01'!S18</f>
        <v>2195</v>
      </c>
      <c r="C7" s="35" t="n">
        <f aca="false">'[4]Thrusday 02-15-01'!S75+'[4]Thrusday 02-15-01'!S76-'[4]Thursday 02-08-01'!S75-'[4]Thursday 02-08-01'!S76</f>
        <v>19115360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f aca="false">'[4]Thrusday 02-15-01'!S30+'[4]Thrusday 02-15-01'!S31+'[4]Thrusday 02-15-01'!S33-'[4]Thursday 02-08-01'!S30-'[4]Thursday 02-08-01'!S31-'[4]Thursday 02-08-01'!S33</f>
        <v>1567</v>
      </c>
      <c r="C9" s="85" t="n">
        <f aca="false">'[4]Thrusday 02-15-01'!S88+'[4]Thrusday 02-15-01'!S89+'[4]Thrusday 02-15-01'!S91-'[4]Thursday 02-08-01'!S88-'[4]Thursday 02-08-01'!S89-'[4]Thursday 02-08-01'!S91</f>
        <v>40310000.01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f aca="false">'[4]Thrusday 02-15-01'!S34-'[4]Thursday 02-08-01'!S34</f>
        <v>3</v>
      </c>
      <c r="C10" s="85" t="n">
        <f aca="false">'[4]Thrusday 02-15-01'!S92-'[4]Thursday 02-08-01'!S92</f>
        <v>82750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f aca="false">'[4]Thrusday 02-15-01'!S35-'[4]Thursday 02-08-01'!S35</f>
        <v>19</v>
      </c>
      <c r="C11" s="85" t="n">
        <f aca="false">'[4]Thrusday 02-15-01'!S93-'[4]Thursday 02-08-01'!S93</f>
        <v>825000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f aca="false">'[4]Thrusday 02-15-01'!S39-'[4]Thursday 02-08-01'!S39</f>
        <v>10</v>
      </c>
      <c r="C12" s="85" t="n">
        <f aca="false">'[4]Thrusday 02-15-01'!S97-'[4]Thursday 02-08-01'!S97</f>
        <v>3000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f aca="false">'[4]Thrusday 02-15-01'!S48-'[4]Thursday 02-08-01'!S47</f>
        <v>0</v>
      </c>
      <c r="C13" s="85" t="n">
        <f aca="false">'[4]Thrusday 02-15-01'!S105-'[4]Thursday 02-08-01'!S105</f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f aca="false">'[4]Thrusday 02-15-01'!S37-'[4]Thursday 02-08-01'!S37</f>
        <v>8</v>
      </c>
      <c r="C14" s="85" t="n">
        <f aca="false">'[4]Thrusday 02-15-01'!S95-'[4]Thursday 02-08-01'!S95</f>
        <v>10000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f aca="false">'[4]Thrusday 02-15-01'!S38-'[4]Thursday 02-08-01'!S38</f>
        <v>0</v>
      </c>
      <c r="C16" s="85" t="n">
        <f aca="false">'[4]Thrusday 02-15-01'!S96-'[4]Thursday 02-08-01'!S96</f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f aca="false">'[4]Thrusday 02-15-01'!S44-'[4]Thursday 02-08-01'!S44</f>
        <v>0</v>
      </c>
      <c r="C17" s="85" t="n">
        <f aca="false">'[4]Thrusday 02-15-01'!S102-'[4]Thursday 02-08-01'!S101</f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4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197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f aca="false">'[4]Thrusday 02-15-01'!T9+'[4]Thrusday 02-15-01'!T10-'[4]Thursday 02-08-01'!T9-'[4]Thursday 02-08-01'!T10</f>
        <v>2800</v>
      </c>
      <c r="C29" s="176" t="n">
        <f aca="false">'[4]Thrusday 02-15-01'!T67+'[4]Thrusday 02-15-01'!T68-'[4]Thursday 02-08-01'!T67-'[4]Thursday 02-08-01'!T68</f>
        <v>2702923729.95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f aca="false">'[4]Thrusday 02-15-01'!T17+'[4]Thrusday 02-15-01'!T18-'[4]Thursday 02-08-01'!T17-'[4]Thursday 02-08-01'!T18</f>
        <v>2392</v>
      </c>
      <c r="C30" s="176" t="n">
        <f aca="false">'[4]Thrusday 02-15-01'!T75+'[4]Thrusday 02-15-01'!T76-'[4]Thursday 02-08-01'!T75-'[4]Thursday 02-08-01'!T76</f>
        <v>29975959.19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f aca="false">'[4]Thrusday 02-15-01'!T30+'[4]Thrusday 02-15-01'!T31+'[4]Thrusday 02-15-01'!T33-'[4]Thursday 02-08-01'!T30-'[4]Thursday 02-08-01'!T31-'[4]Thursday 02-08-01'!T33</f>
        <v>1786</v>
      </c>
      <c r="C32" s="176" t="n">
        <f aca="false">'[4]Thrusday 02-15-01'!T88+'[4]Thrusday 02-15-01'!T89+'[4]Thrusday 02-15-01'!T91-'[4]Thursday 02-08-01'!T88-'[4]Thursday 02-08-01'!T89-'[4]Thursday 02-08-01'!T91</f>
        <v>134484274.46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f aca="false">'[4]Thrusday 02-15-01'!T34-'[4]Thursday 02-08-01'!T34</f>
        <v>13</v>
      </c>
      <c r="C33" s="176" t="n">
        <f aca="false">'[4]Thrusday 02-15-01'!T92-'[4]Thursday 02-08-01'!T92</f>
        <v>1827699.96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f aca="false">'[4]Thrusday 02-15-01'!T35-'[4]Thursday 02-08-01'!T35</f>
        <v>23</v>
      </c>
      <c r="C34" s="176" t="n">
        <f aca="false">'[4]Thrusday 02-15-01'!T93-'[4]Thursday 02-08-01'!T93</f>
        <v>1302500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f aca="false">'[4]Thrusday 02-15-01'!T39-'[4]Thursday 02-08-01'!T39</f>
        <v>29</v>
      </c>
      <c r="C35" s="176" t="n">
        <f aca="false">'[4]Thrusday 02-15-01'!T97-'[4]Thursday 02-08-01'!T97</f>
        <v>140000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f aca="false">'[4]Thrusday 02-15-01'!T48-'[4]Thursday 02-08-01'!T47</f>
        <v>122</v>
      </c>
      <c r="C36" s="176" t="n">
        <f aca="false">'[4]Thrusday 02-15-01'!T106-'[4]Thursday 02-08-01'!T105</f>
        <v>4975000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f aca="false">'[4]Thrusday 02-15-01'!T37-'[4]Thursday 02-08-01'!T37</f>
        <v>12</v>
      </c>
      <c r="C37" s="176" t="n">
        <f aca="false">'[4]Thrusday 02-15-01'!T95-'[4]Thursday 02-08-01'!T95</f>
        <v>30000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f aca="false">'[4]Thrusday 02-15-01'!T38-'[4]Thursday 02-08-01'!T38+34</f>
        <v>82</v>
      </c>
      <c r="C39" s="176" t="n">
        <v>9638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f aca="false">'[4]Thrusday 02-15-01'!T44-'[4]Thursday 02-08-01'!T43</f>
        <v>1</v>
      </c>
      <c r="C40" s="176" t="n">
        <f aca="false">'[4]Thrusday 02-15-01'!T102-'[4]Thursday 02-08-01'!T101</f>
        <v>1270.5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197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4</v>
      </c>
      <c r="C49" s="35" t="n">
        <v>374000</v>
      </c>
      <c r="D49" s="0" t="s">
        <v>183</v>
      </c>
    </row>
    <row r="50" customFormat="false" ht="12.75" hidden="false" customHeight="false" outlineLevel="0" collapsed="false">
      <c r="A50" s="175" t="s">
        <v>32</v>
      </c>
      <c r="B50" s="35"/>
      <c r="C50" s="35"/>
    </row>
    <row r="51" customFormat="false" ht="12.75" hidden="false" customHeight="false" outlineLevel="0" collapsed="false">
      <c r="A51" s="175" t="s">
        <v>163</v>
      </c>
      <c r="B51" s="35" t="n">
        <v>3</v>
      </c>
      <c r="C51" s="35" t="n">
        <v>680</v>
      </c>
      <c r="D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1</v>
      </c>
      <c r="C53" s="90"/>
    </row>
    <row r="55" customFormat="false" ht="12.75" hidden="false" customHeight="false" outlineLevel="0" collapsed="false">
      <c r="A55" s="87" t="s">
        <v>186</v>
      </c>
      <c r="C55" s="187" t="n">
        <f aca="false">C49/1000</f>
        <v>374</v>
      </c>
    </row>
    <row r="58" customFormat="false" ht="12.75" hidden="false" customHeight="false" outlineLevel="0" collapsed="false">
      <c r="A58" s="84" t="s">
        <v>187</v>
      </c>
      <c r="B58" s="90"/>
      <c r="C58" s="188" t="n">
        <f aca="false">C55+C51+C40+C39+C17+C16</f>
        <v>11962.5</v>
      </c>
      <c r="D58" s="90"/>
      <c r="E58" s="90"/>
      <c r="F58" s="90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0" topLeftCell="B1" activePane="topRight" state="frozen"/>
      <selection pane="topLeft" activeCell="A8" activeCellId="0" sqref="A8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198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80" t="n">
        <f aca="false">'[5]Thrusday 02-08-01'!S9+'[5]Thrusday 02-08-01'!S10+-'[5]Thursday 02-01-01'!S9-'[5]Thursday 02-01-01'!S10</f>
        <v>15960</v>
      </c>
      <c r="C6" s="35" t="n">
        <f aca="false">'[5]Thrusday 02-08-01'!S67+'[5]Thrusday 02-08-01'!S68-'[5]Thursday 02-01-01'!S67-'[5]Thursday 02-01-01'!S68</f>
        <v>1917251550.22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80" t="n">
        <f aca="false">'[5]Thrusday 02-08-01'!S17+'[5]Thrusday 02-08-01'!S18-'[5]Thursday 02-01-01'!S17-'[5]Thursday 02-01-01'!S18</f>
        <v>2251</v>
      </c>
      <c r="C7" s="35" t="n">
        <f aca="false">'[5]Thrusday 02-08-01'!S75+'[5]Thrusday 02-08-01'!S76-'[5]Thursday 02-01-01'!S75-'[5]Thursday 02-01-01'!S76</f>
        <v>23577055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4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80" t="n">
        <f aca="false">'[5]Thrusday 02-08-01'!S30+'[5]Thrusday 02-08-01'!S31+'[5]Thrusday 02-08-01'!S33-'[5]Thursday 02-01-01'!S30-'[5]Thursday 02-01-01'!S31-'[5]Thursday 02-01-01'!S33</f>
        <v>1758</v>
      </c>
      <c r="C9" s="85" t="n">
        <f aca="false">'[5]Thrusday 02-08-01'!S88+'[5]Thrusday 02-08-01'!S89+'[5]Thrusday 02-08-01'!S91-'[5]Thursday 02-01-01'!S88-'[5]Thursday 02-01-01'!S89-'[5]Thursday 02-01-01'!S91</f>
        <v>44727857.14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80" t="n">
        <f aca="false">'[5]Thrusday 02-08-01'!S34-'[5]Thursday 02-01-01'!S34</f>
        <v>6</v>
      </c>
      <c r="C10" s="85" t="n">
        <f aca="false">'[5]Thrusday 02-08-01'!S92-'[5]Thursday 02-01-01'!S92</f>
        <v>225000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80" t="n">
        <f aca="false">'[5]Thrusday 02-08-01'!S35-'[5]Thursday 02-01-01'!S35</f>
        <v>2</v>
      </c>
      <c r="C11" s="85" t="n">
        <f aca="false">'[5]Thrusday 02-08-01'!S93-'[5]Thursday 02-01-01'!S93</f>
        <v>90000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80" t="n">
        <f aca="false">'[5]Thrusday 02-08-01'!S39-'[5]Thursday 02-01-01'!S39</f>
        <v>13</v>
      </c>
      <c r="C12" s="85" t="n">
        <f aca="false">'[5]Thrusday 02-08-01'!S97-'[5]Thursday 02-01-01'!S97</f>
        <v>6400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f aca="false">'[5]Thrusday 02-08-01'!S47-'[5]Thursday 02-01-01'!S47</f>
        <v>0</v>
      </c>
      <c r="C13" s="85" t="n">
        <f aca="false">'[5]Thrusday 02-08-01'!S105-'[5]Thursday 02-01-01'!S105</f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80" t="n">
        <f aca="false">'[5]Thrusday 02-08-01'!S37-'[5]Thursday 02-01-01'!S37</f>
        <v>16</v>
      </c>
      <c r="C14" s="85" t="n">
        <f aca="false">'[5]Thrusday 02-08-01'!S95-'[5]Thursday 02-01-01'!S95</f>
        <v>40000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4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f aca="false">'[5]Thrusday 02-08-01'!S38-'[5]Thursday 02-01-01'!S38+11</f>
        <v>11</v>
      </c>
      <c r="C16" s="85" t="n">
        <f aca="false">'[5]Thrusday 02-08-01'!S96-'[5]Thursday 02-01-01'!S96+1068</f>
        <v>1068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80" t="n">
        <f aca="false">'[5]Thrusday 02-08-01'!S43-'[5]Thursday 02-01-01'!S43</f>
        <v>0</v>
      </c>
      <c r="C17" s="85" t="n">
        <f aca="false">'[5]Thrusday 02-08-01'!S101-'[5]Thursday 02-01-01'!S101</f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0"/>
      <c r="C18" s="80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0"/>
      <c r="C19" s="80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4" t="n">
        <v>12</v>
      </c>
      <c r="C20" s="174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</row>
    <row r="25" customFormat="false" ht="12.75" hidden="false" customHeight="false" outlineLevel="0" collapsed="false">
      <c r="B25" s="170" t="s">
        <v>198</v>
      </c>
      <c r="C25" s="170"/>
      <c r="D25" s="171" t="s">
        <v>174</v>
      </c>
    </row>
    <row r="26" customFormat="false" ht="12.75" hidden="false" customHeight="false" outlineLevel="0" collapsed="false">
      <c r="A26" s="172" t="s">
        <v>175</v>
      </c>
      <c r="B26" s="75" t="s">
        <v>1</v>
      </c>
      <c r="C26" s="75" t="s">
        <v>176</v>
      </c>
      <c r="D26" s="173" t="s">
        <v>127</v>
      </c>
    </row>
    <row r="27" customFormat="false" ht="12.75" hidden="false" customHeight="false" outlineLevel="0" collapsed="false">
      <c r="A27" s="90"/>
      <c r="B27" s="90"/>
      <c r="C27" s="90"/>
    </row>
    <row r="28" customFormat="false" ht="12.75" hidden="false" customHeight="false" outlineLevel="0" collapsed="false">
      <c r="A28" s="84" t="s">
        <v>10</v>
      </c>
      <c r="B28" s="80"/>
      <c r="C28" s="80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80" t="n">
        <f aca="false">'[5]Thrusday 02-08-01'!T9+'[5]Thrusday 02-08-01'!T10-'[5]Thursday 02-01-01'!T9-'[5]Thursday 02-01-01'!T10</f>
        <v>2561</v>
      </c>
      <c r="C29" s="80" t="n">
        <f aca="false">'[5]Thrusday 02-08-01'!T67+'[5]Thrusday 02-08-01'!T68-'[5]Thursday 02-01-01'!T67-'[5]Thursday 02-01-01'!T68</f>
        <v>1668926814.42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80" t="n">
        <f aca="false">'[5]Thrusday 02-08-01'!T17+'[5]Thrusday 02-08-01'!T18-'[5]Thursday 02-01-01'!T17-'[5]Thursday 02-01-01'!T18</f>
        <v>2380</v>
      </c>
      <c r="C30" s="80" t="n">
        <f aca="false">'[5]Thrusday 02-08-01'!T75+'[5]Thrusday 02-08-01'!T76-'[5]Thursday 02-01-01'!T75-'[5]Thursday 02-01-01'!T76</f>
        <v>27822910.14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4"/>
      <c r="C31" s="80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80" t="n">
        <f aca="false">'[5]Thrusday 02-08-01'!T30+'[5]Thrusday 02-08-01'!T31+'[5]Thrusday 02-08-01'!T33-'[5]Thursday 02-01-01'!T30-'[5]Thursday 02-01-01'!T31-'[5]Thursday 02-01-01'!T33</f>
        <v>1617</v>
      </c>
      <c r="C32" s="80" t="n">
        <f aca="false">'[5]Thrusday 02-08-01'!T88+'[5]Thrusday 02-08-01'!T89+'[5]Thrusday 02-08-01'!T91-'[5]Thursday 02-01-01'!T88-'[5]Thursday 02-01-01'!T89-'[5]Thursday 02-01-01'!T91</f>
        <v>109669662.09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80" t="n">
        <f aca="false">'[5]Thrusday 02-08-01'!T34-'[5]Thursday 02-01-01'!T34</f>
        <v>23</v>
      </c>
      <c r="C33" s="80" t="n">
        <f aca="false">'[5]Thrusday 02-08-01'!T92-'[5]Thursday 02-01-01'!T92</f>
        <v>3909990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80" t="n">
        <f aca="false">'[5]Thrusday 02-08-01'!T35-'[5]Thursday 02-01-01'!T35</f>
        <v>21</v>
      </c>
      <c r="C34" s="80" t="n">
        <f aca="false">'[5]Thrusday 02-08-01'!T93-'[5]Thursday 02-01-01'!T93</f>
        <v>1437499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80" t="n">
        <f aca="false">'[5]Thrusday 02-08-01'!T39-'[5]Thursday 02-01-01'!T39</f>
        <v>11</v>
      </c>
      <c r="C35" s="80" t="n">
        <f aca="false">'[5]Thrusday 02-08-01'!T97-'[5]Thursday 02-01-01'!T97</f>
        <v>97000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f aca="false">'[5]Thrusday 02-08-01'!T47-'[5]Thursday 02-01-01'!T47</f>
        <v>153</v>
      </c>
      <c r="C36" s="80" t="n">
        <f aca="false">'[5]Thrusday 02-08-01'!T105-'[5]Thursday 02-01-01'!T105</f>
        <v>8754250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80" t="n">
        <f aca="false">'[5]Thrusday 02-08-01'!T37-'[5]Thursday 02-01-01'!T37</f>
        <v>17</v>
      </c>
      <c r="C37" s="80" t="n">
        <f aca="false">'[5]Thrusday 02-08-01'!T95-'[5]Thursday 02-01-01'!T95</f>
        <v>60100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4"/>
      <c r="C38" s="80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f aca="false">'[5]Thrusday 02-08-01'!T38-'[5]Thursday 02-01-01'!T38+25</f>
        <v>88</v>
      </c>
      <c r="C39" s="176" t="n">
        <f aca="false">'[5]Thrusday 02-08-01'!T96-'[5]Thursday 02-01-01'!T96+24083</f>
        <v>83999.9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80" t="n">
        <f aca="false">'[5]Thrusday 02-08-01'!T43-'[5]Thursday 02-01-01'!T43</f>
        <v>10</v>
      </c>
      <c r="C40" s="80" t="n">
        <f aca="false">'[5]Thrusday 02-08-01'!T101-'[5]Thursday 02-01-01'!T101</f>
        <v>20000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80"/>
      <c r="C41" s="80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0"/>
      <c r="C42" s="80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0"/>
      <c r="C43" s="80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</row>
    <row r="45" customFormat="false" ht="12.75" hidden="false" customHeight="false" outlineLevel="0" collapsed="false">
      <c r="B45" s="170" t="s">
        <v>198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7</v>
      </c>
      <c r="C49" s="35" t="n">
        <v>668000</v>
      </c>
      <c r="D49" s="0" t="s">
        <v>183</v>
      </c>
    </row>
    <row r="50" customFormat="false" ht="12.75" hidden="false" customHeight="false" outlineLevel="0" collapsed="false">
      <c r="A50" s="175" t="s">
        <v>32</v>
      </c>
      <c r="B50" s="35"/>
      <c r="C50" s="35"/>
    </row>
    <row r="51" customFormat="false" ht="12.75" hidden="false" customHeight="false" outlineLevel="0" collapsed="false">
      <c r="A51" s="175" t="s">
        <v>163</v>
      </c>
      <c r="B51" s="35" t="n">
        <v>5</v>
      </c>
      <c r="C51" s="35" t="n">
        <v>1130</v>
      </c>
      <c r="D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1</v>
      </c>
      <c r="C53" s="90"/>
    </row>
    <row r="55" customFormat="false" ht="12.75" hidden="false" customHeight="false" outlineLevel="0" collapsed="false">
      <c r="A55" s="87" t="s">
        <v>186</v>
      </c>
      <c r="C55" s="187" t="n">
        <f aca="false">C49/1000</f>
        <v>668</v>
      </c>
    </row>
    <row r="58" customFormat="false" ht="12.75" hidden="false" customHeight="false" outlineLevel="0" collapsed="false">
      <c r="A58" s="84" t="s">
        <v>187</v>
      </c>
      <c r="B58" s="90"/>
      <c r="C58" s="188" t="n">
        <f aca="false">C55+C51+C40+C39+C17+C16</f>
        <v>106865.9</v>
      </c>
      <c r="D58" s="90"/>
      <c r="E58" s="90"/>
      <c r="F58" s="90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pane xSplit="1" ySplit="0" topLeftCell="B1" activePane="topRight" state="frozen"/>
      <selection pane="topLeft" activeCell="A30" activeCellId="0" sqref="A30"/>
      <selection pane="topRight" activeCell="Q10" activeCellId="0" sqref="Q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199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15177</v>
      </c>
      <c r="C6" s="35" t="n">
        <v>1871114782.54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2512</v>
      </c>
      <c r="C7" s="35" t="n">
        <v>26007420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1324</v>
      </c>
      <c r="C9" s="85" t="n">
        <v>37574000.02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4</v>
      </c>
      <c r="C11" s="85" t="n">
        <v>165000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2</v>
      </c>
      <c r="C12" s="85" t="n">
        <v>600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9</v>
      </c>
      <c r="C14" s="176" t="n">
        <v>22500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2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199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2680</v>
      </c>
      <c r="C29" s="176" t="n">
        <v>1759586008.02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2417</v>
      </c>
      <c r="C30" s="176" t="n">
        <v>26887997.97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1693</v>
      </c>
      <c r="C32" s="176" t="n">
        <v>146278275.05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11</v>
      </c>
      <c r="C33" s="176" t="n">
        <v>1684250.08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4</v>
      </c>
      <c r="C34" s="176" t="n">
        <v>82500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9</v>
      </c>
      <c r="C35" s="176" t="n">
        <v>45000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596</v>
      </c>
      <c r="C36" s="176" t="n">
        <v>17863222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7</v>
      </c>
      <c r="C37" s="176" t="n">
        <v>10350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155</v>
      </c>
      <c r="C39" s="176" t="n">
        <v>87311.55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0</v>
      </c>
      <c r="C40" s="176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199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7</v>
      </c>
      <c r="C49" s="35" t="n">
        <v>792000</v>
      </c>
      <c r="D49" s="0" t="s">
        <v>183</v>
      </c>
    </row>
    <row r="50" customFormat="false" ht="12.75" hidden="false" customHeight="false" outlineLevel="0" collapsed="false">
      <c r="A50" s="175" t="s">
        <v>32</v>
      </c>
      <c r="B50" s="35"/>
      <c r="C50" s="35"/>
    </row>
    <row r="51" customFormat="false" ht="12.75" hidden="false" customHeight="false" outlineLevel="0" collapsed="false">
      <c r="A51" s="175" t="s">
        <v>163</v>
      </c>
      <c r="B51" s="35" t="n">
        <v>11</v>
      </c>
      <c r="C51" s="35" t="n">
        <v>4480</v>
      </c>
      <c r="D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2</v>
      </c>
      <c r="C53" s="90"/>
    </row>
    <row r="55" customFormat="false" ht="12.75" hidden="false" customHeight="false" outlineLevel="0" collapsed="false">
      <c r="A55" s="87" t="s">
        <v>186</v>
      </c>
      <c r="C55" s="187" t="n">
        <v>792</v>
      </c>
    </row>
    <row r="58" customFormat="false" ht="12.75" hidden="false" customHeight="false" outlineLevel="0" collapsed="false">
      <c r="A58" s="84" t="s">
        <v>187</v>
      </c>
      <c r="B58" s="90"/>
      <c r="C58" s="188" t="n">
        <v>92583.55</v>
      </c>
      <c r="D58" s="90"/>
      <c r="E58" s="90"/>
      <c r="F58" s="90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200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14137</v>
      </c>
      <c r="C6" s="35" t="n">
        <v>1754284573.9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2252</v>
      </c>
      <c r="C7" s="35" t="n">
        <v>18605150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1314</v>
      </c>
      <c r="C9" s="85" t="n">
        <v>44978000.01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0</v>
      </c>
      <c r="C11" s="85" t="n">
        <v>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5</v>
      </c>
      <c r="C12" s="85" t="n">
        <v>1500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2</v>
      </c>
      <c r="C14" s="176" t="n">
        <v>5000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2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200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2558</v>
      </c>
      <c r="C29" s="176" t="n">
        <v>1717688901.26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2521</v>
      </c>
      <c r="C30" s="176" t="n">
        <v>30972225.48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1583</v>
      </c>
      <c r="C32" s="176" t="n">
        <v>165861721.76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27</v>
      </c>
      <c r="C33" s="176" t="n">
        <v>1028500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5</v>
      </c>
      <c r="C34" s="176" t="n">
        <v>206200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12</v>
      </c>
      <c r="C35" s="176" t="n">
        <v>52500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306</v>
      </c>
      <c r="C36" s="176" t="n">
        <v>8685000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14</v>
      </c>
      <c r="C37" s="176" t="n">
        <v>67050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207</v>
      </c>
      <c r="C39" s="176" t="n">
        <v>268130.31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14</v>
      </c>
      <c r="C40" s="176" t="n">
        <v>5600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200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5</v>
      </c>
      <c r="C49" s="35" t="n">
        <v>612000</v>
      </c>
      <c r="D49" s="0" t="s">
        <v>183</v>
      </c>
    </row>
    <row r="50" customFormat="false" ht="12.75" hidden="false" customHeight="false" outlineLevel="0" collapsed="false">
      <c r="A50" s="175" t="s">
        <v>32</v>
      </c>
      <c r="B50" s="35"/>
      <c r="C50" s="35"/>
    </row>
    <row r="51" customFormat="false" ht="12.75" hidden="false" customHeight="false" outlineLevel="0" collapsed="false">
      <c r="A51" s="175" t="s">
        <v>163</v>
      </c>
      <c r="B51" s="35" t="n">
        <v>3</v>
      </c>
      <c r="C51" s="35" t="n">
        <v>1420</v>
      </c>
      <c r="D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1</v>
      </c>
      <c r="C53" s="90"/>
    </row>
    <row r="55" customFormat="false" ht="12.75" hidden="false" customHeight="false" outlineLevel="0" collapsed="false">
      <c r="A55" s="87" t="s">
        <v>186</v>
      </c>
      <c r="C55" s="187" t="n">
        <v>612</v>
      </c>
    </row>
    <row r="58" customFormat="false" ht="12.75" hidden="false" customHeight="false" outlineLevel="0" collapsed="false">
      <c r="A58" s="84" t="s">
        <v>187</v>
      </c>
      <c r="B58" s="90"/>
      <c r="C58" s="188" t="n">
        <v>275762.31</v>
      </c>
      <c r="D58" s="90"/>
      <c r="E58" s="90"/>
      <c r="F58" s="9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201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16658</v>
      </c>
      <c r="C6" s="35" t="n">
        <v>2284624434.16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2303</v>
      </c>
      <c r="C7" s="35" t="n">
        <v>19431220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1074</v>
      </c>
      <c r="C9" s="85" t="n">
        <v>52381000.01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1</v>
      </c>
      <c r="C11" s="85" t="n">
        <v>45000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1</v>
      </c>
      <c r="C12" s="85" t="n">
        <v>300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8</v>
      </c>
      <c r="C14" s="176" t="n">
        <v>20000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3</v>
      </c>
      <c r="C17" s="176" t="n">
        <v>3000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4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201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3926</v>
      </c>
      <c r="C29" s="176" t="n">
        <v>2650733445.76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2493</v>
      </c>
      <c r="C30" s="176" t="n">
        <v>27769371.54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1746</v>
      </c>
      <c r="C32" s="176" t="n">
        <v>141361829.88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14</v>
      </c>
      <c r="C33" s="176" t="n">
        <v>2047003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10</v>
      </c>
      <c r="C34" s="176" t="n">
        <v>1188000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6</v>
      </c>
      <c r="C35" s="176" t="n">
        <v>25500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552</v>
      </c>
      <c r="C36" s="176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15</v>
      </c>
      <c r="C37" s="176" t="n">
        <v>81950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81</v>
      </c>
      <c r="C39" s="176" t="n">
        <v>111616.08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0</v>
      </c>
      <c r="C40" s="176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201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9</v>
      </c>
      <c r="C49" s="35" t="n">
        <v>1112000</v>
      </c>
      <c r="D49" s="180" t="s">
        <v>183</v>
      </c>
      <c r="E49" s="180"/>
    </row>
    <row r="50" customFormat="false" ht="12.75" hidden="false" customHeight="false" outlineLevel="0" collapsed="false">
      <c r="A50" s="175" t="s">
        <v>32</v>
      </c>
      <c r="B50" s="35"/>
      <c r="C50" s="35"/>
      <c r="D50" s="180"/>
      <c r="E50" s="180"/>
    </row>
    <row r="51" customFormat="false" ht="12.75" hidden="false" customHeight="false" outlineLevel="0" collapsed="false">
      <c r="A51" s="175" t="s">
        <v>163</v>
      </c>
      <c r="B51" s="35" t="n">
        <v>12</v>
      </c>
      <c r="C51" s="35" t="n">
        <v>53500</v>
      </c>
      <c r="D51" s="180" t="s">
        <v>184</v>
      </c>
      <c r="E51" s="180"/>
    </row>
    <row r="52" customFormat="false" ht="12.75" hidden="false" customHeight="false" outlineLevel="0" collapsed="false">
      <c r="B52" s="180"/>
      <c r="C52" s="180"/>
      <c r="D52" s="180"/>
      <c r="E52" s="180"/>
    </row>
    <row r="53" customFormat="false" ht="12.75" hidden="false" customHeight="false" outlineLevel="0" collapsed="false">
      <c r="A53" s="90" t="s">
        <v>185</v>
      </c>
      <c r="B53" s="183" t="n">
        <v>1</v>
      </c>
      <c r="C53" s="183"/>
      <c r="D53" s="180"/>
      <c r="E53" s="180"/>
    </row>
    <row r="54" customFormat="false" ht="12.75" hidden="false" customHeight="false" outlineLevel="0" collapsed="false">
      <c r="B54" s="180"/>
      <c r="C54" s="180"/>
      <c r="D54" s="180"/>
      <c r="E54" s="180"/>
    </row>
    <row r="55" customFormat="false" ht="12.75" hidden="false" customHeight="false" outlineLevel="0" collapsed="false">
      <c r="A55" s="87" t="s">
        <v>186</v>
      </c>
      <c r="B55" s="180"/>
      <c r="C55" s="184" t="n">
        <v>1112</v>
      </c>
      <c r="D55" s="180"/>
      <c r="E55" s="180"/>
    </row>
    <row r="56" customFormat="false" ht="12.75" hidden="false" customHeight="false" outlineLevel="0" collapsed="false">
      <c r="B56" s="180"/>
      <c r="C56" s="180"/>
      <c r="D56" s="180"/>
      <c r="E56" s="180"/>
    </row>
    <row r="57" customFormat="false" ht="12.75" hidden="false" customHeight="false" outlineLevel="0" collapsed="false">
      <c r="B57" s="180"/>
      <c r="C57" s="180"/>
      <c r="D57" s="180"/>
      <c r="E57" s="180"/>
    </row>
    <row r="58" customFormat="false" ht="12.75" hidden="false" customHeight="false" outlineLevel="0" collapsed="false">
      <c r="A58" s="84" t="s">
        <v>187</v>
      </c>
      <c r="B58" s="183"/>
      <c r="C58" s="185" t="n">
        <v>169228.08</v>
      </c>
      <c r="D58" s="183"/>
      <c r="E58" s="183"/>
      <c r="F58" s="9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11"/>
  <sheetViews>
    <sheetView showFormulas="false" showGridLines="true" showRowColHeaders="true" showZeros="true" rightToLeft="false" tabSelected="false" showOutlineSymbols="true" defaultGridColor="true" view="normal" topLeftCell="E10" colorId="64" zoomScale="100" zoomScaleNormal="100" zoomScalePageLayoutView="100" workbookViewId="0">
      <pane xSplit="1" ySplit="0" topLeftCell="V5" activePane="topRight" state="frozen"/>
      <selection pane="topLeft" activeCell="E10" activeCellId="0" sqref="E10"/>
      <selection pane="topRight" activeCell="Z39" activeCellId="0" sqref="Z39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7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5" min="5" style="0" width="13.7"/>
    <col collapsed="false" customWidth="true" hidden="false" outlineLevel="0" max="6" min="6" style="0" width="11.56"/>
    <col collapsed="false" customWidth="true" hidden="false" outlineLevel="0" max="7" min="7" style="0" width="14.41"/>
    <col collapsed="false" customWidth="true" hidden="false" outlineLevel="0" max="8" min="8" style="0" width="10.85"/>
    <col collapsed="false" customWidth="true" hidden="false" outlineLevel="0" max="9" min="9" style="35" width="10.85"/>
    <col collapsed="false" customWidth="true" hidden="false" outlineLevel="0" max="12" min="10" style="0" width="9.7"/>
    <col collapsed="false" customWidth="true" hidden="false" outlineLevel="0" max="14" min="13" style="0" width="10.56"/>
    <col collapsed="false" customWidth="true" hidden="false" outlineLevel="0" max="24" min="15" style="0" width="11.13"/>
    <col collapsed="false" customWidth="true" hidden="false" outlineLevel="0" max="27" min="25" style="0" width="12.7"/>
    <col collapsed="false" customWidth="true" hidden="false" outlineLevel="0" max="28" min="28" style="0" width="3.28"/>
    <col collapsed="false" customWidth="true" hidden="false" outlineLevel="0" max="29" min="29" style="0" width="13.85"/>
  </cols>
  <sheetData>
    <row r="1" customFormat="false" ht="12.75" hidden="true" customHeight="false" outlineLevel="0" collapsed="false">
      <c r="A1" s="77" t="s">
        <v>1</v>
      </c>
      <c r="E1" s="0" t="s">
        <v>47</v>
      </c>
    </row>
    <row r="2" customFormat="false" ht="12.75" hidden="true" customHeight="false" outlineLevel="0" collapsed="false">
      <c r="A2" s="77" t="s">
        <v>48</v>
      </c>
      <c r="B2" s="0" t="n">
        <v>6500</v>
      </c>
      <c r="F2" s="0" t="s">
        <v>49</v>
      </c>
      <c r="G2" s="0" t="s">
        <v>50</v>
      </c>
      <c r="H2" s="0" t="s">
        <v>15</v>
      </c>
    </row>
    <row r="3" customFormat="false" ht="12.75" hidden="true" customHeight="false" outlineLevel="0" collapsed="false">
      <c r="A3" s="77" t="s">
        <v>51</v>
      </c>
      <c r="B3" s="0" t="n">
        <v>7500</v>
      </c>
      <c r="E3" s="0" t="s">
        <v>52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7" t="s">
        <v>53</v>
      </c>
      <c r="B4" s="0" t="n">
        <v>4000</v>
      </c>
      <c r="E4" s="0" t="s">
        <v>54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7" t="s">
        <v>55</v>
      </c>
      <c r="B5" s="0" t="n">
        <v>55</v>
      </c>
      <c r="E5" s="0" t="s">
        <v>56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7" t="s">
        <v>57</v>
      </c>
      <c r="B6" s="0" t="n">
        <v>3</v>
      </c>
      <c r="E6" s="0" t="s">
        <v>58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7" t="s">
        <v>59</v>
      </c>
      <c r="B7" s="0" t="n">
        <v>5</v>
      </c>
    </row>
    <row r="8" customFormat="false" ht="12.75" hidden="true" customHeight="false" outlineLevel="0" collapsed="false">
      <c r="A8" s="77" t="s">
        <v>60</v>
      </c>
      <c r="B8" s="0" t="n">
        <v>10</v>
      </c>
    </row>
    <row r="9" customFormat="false" ht="12.75" hidden="true" customHeight="false" outlineLevel="0" collapsed="false">
      <c r="A9" s="77" t="s">
        <v>61</v>
      </c>
      <c r="B9" s="0" t="n">
        <v>20</v>
      </c>
    </row>
    <row r="10" customFormat="false" ht="12.75" hidden="false" customHeight="false" outlineLevel="0" collapsed="false">
      <c r="E10" s="78" t="s">
        <v>1</v>
      </c>
    </row>
    <row r="11" customFormat="false" ht="15" hidden="false" customHeight="false" outlineLevel="0" collapsed="false">
      <c r="A11" s="77" t="s">
        <v>62</v>
      </c>
      <c r="B11" s="0" t="n">
        <v>50</v>
      </c>
      <c r="F11" s="79" t="s">
        <v>63</v>
      </c>
      <c r="G11" s="79" t="s">
        <v>64</v>
      </c>
      <c r="H11" s="79" t="s">
        <v>65</v>
      </c>
      <c r="I11" s="79" t="s">
        <v>66</v>
      </c>
      <c r="J11" s="79" t="s">
        <v>67</v>
      </c>
      <c r="K11" s="79" t="s">
        <v>68</v>
      </c>
      <c r="L11" s="79" t="s">
        <v>69</v>
      </c>
      <c r="M11" s="79" t="s">
        <v>70</v>
      </c>
      <c r="N11" s="79" t="s">
        <v>71</v>
      </c>
      <c r="O11" s="79" t="s">
        <v>72</v>
      </c>
      <c r="P11" s="79" t="s">
        <v>73</v>
      </c>
      <c r="Q11" s="79" t="s">
        <v>74</v>
      </c>
      <c r="R11" s="79" t="s">
        <v>75</v>
      </c>
      <c r="S11" s="79" t="s">
        <v>76</v>
      </c>
      <c r="T11" s="79" t="s">
        <v>77</v>
      </c>
      <c r="U11" s="79" t="s">
        <v>78</v>
      </c>
      <c r="V11" s="79" t="s">
        <v>79</v>
      </c>
      <c r="W11" s="79" t="s">
        <v>80</v>
      </c>
      <c r="X11" s="79" t="s">
        <v>81</v>
      </c>
      <c r="Y11" s="79" t="s">
        <v>82</v>
      </c>
      <c r="Z11" s="79" t="s">
        <v>83</v>
      </c>
      <c r="AA11" s="79" t="s">
        <v>84</v>
      </c>
    </row>
    <row r="12" customFormat="false" ht="12.75" hidden="false" customHeight="false" outlineLevel="0" collapsed="false">
      <c r="A12" s="77" t="s">
        <v>23</v>
      </c>
      <c r="B12" s="0" t="n">
        <v>175</v>
      </c>
      <c r="E12" s="0" t="s">
        <v>85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35" t="n">
        <f aca="false">+'template from individuals'!H37+'template from individuals'!I37</f>
        <v>16623</v>
      </c>
      <c r="J12" s="80" t="n">
        <f aca="false">+'WE 2-1 EOL Data'!B6+'WE 2-1 EOL Data'!B29</f>
        <v>19791</v>
      </c>
      <c r="K12" s="80" t="n">
        <f aca="false">+'WE 2-8 EOL Data'!B6+'WE 2-8 EOL Data'!B29</f>
        <v>18521</v>
      </c>
      <c r="L12" s="80" t="n">
        <f aca="false">+'WE 2-15 EOL Data'!$B6+'WE 2-15 EOL Data'!$B29</f>
        <v>17223</v>
      </c>
      <c r="M12" s="80" t="n">
        <f aca="false">+'WE 2-22 EOL Data'!$B6+'WE 2-22 EOL Data'!$B29</f>
        <v>12660</v>
      </c>
      <c r="N12" s="80" t="n">
        <f aca="false">+'WE 2-28 EOL Data'!B6+'WE 2-28 EOL Data'!B29</f>
        <v>15072</v>
      </c>
      <c r="O12" s="80" t="n">
        <f aca="false">+'WE 3-7 EOL Data'!B6+'WE 3-7 EOL Data'!B29</f>
        <v>17309</v>
      </c>
      <c r="P12" s="80" t="n">
        <f aca="false">+'WE 3-14 EOL Data'!B6+'WE 3-14 EOL Data'!B29</f>
        <v>17857</v>
      </c>
      <c r="Q12" s="80" t="n">
        <f aca="false">+Q13+Q14</f>
        <v>16695</v>
      </c>
      <c r="R12" s="80" t="n">
        <f aca="false">+R13+R14</f>
        <v>20584</v>
      </c>
      <c r="S12" s="80" t="n">
        <f aca="false">+S13+S14</f>
        <v>20385</v>
      </c>
      <c r="T12" s="80" t="n">
        <f aca="false">+T13+T14</f>
        <v>18454</v>
      </c>
      <c r="U12" s="80" t="n">
        <f aca="false">+U13+U14</f>
        <v>12917</v>
      </c>
      <c r="V12" s="80" t="n">
        <f aca="false">+V13+V14</f>
        <v>18129</v>
      </c>
      <c r="W12" s="80" t="n">
        <f aca="false">+W13+W14</f>
        <v>20552</v>
      </c>
      <c r="X12" s="80" t="n">
        <f aca="false">+X13+X14</f>
        <v>17060</v>
      </c>
      <c r="Y12" s="80" t="n">
        <f aca="false">+Y13+Y14</f>
        <v>18249</v>
      </c>
      <c r="Z12" s="80" t="n">
        <f aca="false">+Z13+Z14</f>
        <v>18093</v>
      </c>
      <c r="AA12" s="80" t="n">
        <f aca="false">+AA13+AA14</f>
        <v>17677</v>
      </c>
      <c r="AC12" s="81" t="s">
        <v>86</v>
      </c>
    </row>
    <row r="13" customFormat="false" ht="12.75" hidden="false" customHeight="false" outlineLevel="0" collapsed="false">
      <c r="E13" s="82" t="s">
        <v>87</v>
      </c>
      <c r="J13" s="80"/>
      <c r="K13" s="80" t="n">
        <f aca="false">+'WE 2-8 EOL Data'!B29</f>
        <v>2561</v>
      </c>
      <c r="L13" s="80" t="n">
        <f aca="false">+'WE 2-15 EOL Data'!B29</f>
        <v>2800</v>
      </c>
      <c r="M13" s="80" t="n">
        <f aca="false">+'WE 2-22 EOL Data'!B29</f>
        <v>2449</v>
      </c>
      <c r="N13" s="80" t="n">
        <f aca="false">+'WE 2-28 EOL Data'!B29</f>
        <v>3029</v>
      </c>
      <c r="O13" s="80" t="n">
        <f aca="false">+'WE 3-7 EOL Data'!B29</f>
        <v>2892</v>
      </c>
      <c r="P13" s="80" t="n">
        <f aca="false">+'WE 3-14 EOL Data'!B29</f>
        <v>2680</v>
      </c>
      <c r="Q13" s="80" t="n">
        <f aca="false">+'WE 3-21 EOL Data'!B29</f>
        <v>2558</v>
      </c>
      <c r="R13" s="80" t="n">
        <f aca="false">+'WE 3-28 EOL Data'!B29</f>
        <v>3926</v>
      </c>
      <c r="S13" s="80" t="n">
        <f aca="false">+'WE 4-4 EOL Data'!B29</f>
        <v>3413</v>
      </c>
      <c r="T13" s="80" t="n">
        <f aca="false">+'WE 4-11 EOL Data'!B29</f>
        <v>2556</v>
      </c>
      <c r="U13" s="80" t="n">
        <f aca="false">+'WE 4-18 EOL Data'!B29</f>
        <v>1946</v>
      </c>
      <c r="V13" s="80" t="n">
        <f aca="false">+'WE 4-25 EOL Data'!B29</f>
        <v>3339</v>
      </c>
      <c r="W13" s="80" t="n">
        <f aca="false">+'WE 5-2 EOL Data'!B29</f>
        <v>3627</v>
      </c>
      <c r="X13" s="80" t="n">
        <f aca="false">+'WE 5-9 EOL Data'!B29</f>
        <v>2542</v>
      </c>
      <c r="Y13" s="80" t="n">
        <f aca="false">+'WE 5-16 EOL Data'!B29</f>
        <v>2547</v>
      </c>
      <c r="Z13" s="80" t="n">
        <f aca="false">+'WE 5-23 EOL Data'!B28</f>
        <v>2608</v>
      </c>
      <c r="AA13" s="80" t="n">
        <f aca="false">+'WE 5-30 EOL Data'!B28</f>
        <v>3281</v>
      </c>
      <c r="AC13" s="81"/>
    </row>
    <row r="14" customFormat="false" ht="12.75" hidden="false" customHeight="false" outlineLevel="0" collapsed="false">
      <c r="E14" s="82" t="s">
        <v>88</v>
      </c>
      <c r="J14" s="80"/>
      <c r="K14" s="80" t="n">
        <f aca="false">+'WE 2-8 EOL Data'!B6</f>
        <v>15960</v>
      </c>
      <c r="L14" s="80" t="n">
        <f aca="false">+'WE 2-15 EOL Data'!B6</f>
        <v>14423</v>
      </c>
      <c r="M14" s="80" t="n">
        <f aca="false">+'WE 2-22 EOL Data'!B6</f>
        <v>10211</v>
      </c>
      <c r="N14" s="80" t="n">
        <f aca="false">+'WE 2-28 EOL Data'!B6</f>
        <v>12043</v>
      </c>
      <c r="O14" s="80" t="n">
        <f aca="false">+'WE 3-7 EOL Data'!B6</f>
        <v>14417</v>
      </c>
      <c r="P14" s="80" t="n">
        <f aca="false">+'WE 3-14 EOL Data'!B6</f>
        <v>15177</v>
      </c>
      <c r="Q14" s="80" t="n">
        <f aca="false">+'WE 3-21 EOL Data'!B6</f>
        <v>14137</v>
      </c>
      <c r="R14" s="80" t="n">
        <f aca="false">+'WE 3-28 EOL Data'!B6</f>
        <v>16658</v>
      </c>
      <c r="S14" s="80" t="n">
        <f aca="false">+'WE 4-4 EOL Data'!B6</f>
        <v>16972</v>
      </c>
      <c r="T14" s="80" t="n">
        <f aca="false">+'WE 4-11 EOL Data'!B6</f>
        <v>15898</v>
      </c>
      <c r="U14" s="80" t="n">
        <f aca="false">+'WE 4-18 EOL Data'!B6</f>
        <v>10971</v>
      </c>
      <c r="V14" s="80" t="n">
        <f aca="false">+'WE 4-25 EOL Data'!B6</f>
        <v>14790</v>
      </c>
      <c r="W14" s="80" t="n">
        <f aca="false">+'WE 5-2 EOL Data'!B6</f>
        <v>16925</v>
      </c>
      <c r="X14" s="80" t="n">
        <f aca="false">+'WE 5-9 EOL Data'!B6</f>
        <v>14518</v>
      </c>
      <c r="Y14" s="80" t="n">
        <f aca="false">+'WE 5-16 EOL Data'!B6</f>
        <v>15702</v>
      </c>
      <c r="Z14" s="80" t="n">
        <f aca="false">+'WE 5-23 EOL Data'!B6</f>
        <v>15485</v>
      </c>
      <c r="AA14" s="80" t="n">
        <f aca="false">+'WE 5-30 EOL Data'!B6</f>
        <v>14396</v>
      </c>
      <c r="AC14" s="81"/>
    </row>
    <row r="15" customFormat="false" ht="12.75" hidden="false" customHeight="false" outlineLevel="0" collapsed="false">
      <c r="A15" s="77" t="s">
        <v>31</v>
      </c>
      <c r="B15" s="0" t="n">
        <v>2</v>
      </c>
      <c r="E15" s="0" t="s">
        <v>89</v>
      </c>
      <c r="F15" s="0" t="n">
        <f aca="false">+'template from individuals'!B38+'template from individuals'!C38</f>
        <v>1730</v>
      </c>
      <c r="G15" s="0" t="n">
        <f aca="false">+'template from individuals'!D38+'template from individuals'!E38</f>
        <v>3436</v>
      </c>
      <c r="H15" s="0" t="n">
        <f aca="false">+'template from individuals'!F38+'template from individuals'!G38</f>
        <v>3781</v>
      </c>
      <c r="I15" s="35" t="n">
        <f aca="false">+'template from individuals'!H38+'template from individuals'!I38</f>
        <v>3695</v>
      </c>
      <c r="J15" s="80" t="n">
        <f aca="false">+'WE 2-1 EOL Data'!B7+'WE 2-1 EOL Data'!B30</f>
        <v>4599</v>
      </c>
      <c r="K15" s="80" t="n">
        <f aca="false">+'WE 2-8 EOL Data'!B7+'WE 2-8 EOL Data'!B30</f>
        <v>4631</v>
      </c>
      <c r="L15" s="80" t="n">
        <f aca="false">+'WE 2-15 EOL Data'!$B7+'WE 2-15 EOL Data'!$B30</f>
        <v>4587</v>
      </c>
      <c r="M15" s="80" t="n">
        <f aca="false">+'WE 2-22 EOL Data'!$B7+'WE 2-22 EOL Data'!$B30</f>
        <v>3656</v>
      </c>
      <c r="N15" s="80" t="n">
        <f aca="false">+'WE 2-28 EOL Data'!B7+'WE 2-28 EOL Data'!B30</f>
        <v>3771</v>
      </c>
      <c r="O15" s="80" t="n">
        <f aca="false">+'WE 3-7 EOL Data'!B7+'WE 3-7 EOL Data'!B30</f>
        <v>4415</v>
      </c>
      <c r="P15" s="80" t="n">
        <f aca="false">+'WE 3-14 EOL Data'!B7+'WE 3-14 EOL Data'!B30</f>
        <v>4929</v>
      </c>
      <c r="Q15" s="80" t="n">
        <f aca="false">+Q16+Q17</f>
        <v>4773</v>
      </c>
      <c r="R15" s="80" t="n">
        <f aca="false">+R16+R17</f>
        <v>4796</v>
      </c>
      <c r="S15" s="80" t="n">
        <f aca="false">+S16+S17</f>
        <v>5262</v>
      </c>
      <c r="T15" s="80" t="n">
        <f aca="false">+T16+T17</f>
        <v>5391</v>
      </c>
      <c r="U15" s="80" t="n">
        <f aca="false">+U16+U17</f>
        <v>4694</v>
      </c>
      <c r="V15" s="80" t="n">
        <f aca="false">+V16+V17</f>
        <v>5924</v>
      </c>
      <c r="W15" s="80" t="n">
        <f aca="false">+W16+W17</f>
        <v>6088</v>
      </c>
      <c r="X15" s="80" t="n">
        <f aca="false">+X16+X17</f>
        <v>4946</v>
      </c>
      <c r="Y15" s="80" t="n">
        <f aca="false">+Y16+Y17</f>
        <v>4960</v>
      </c>
      <c r="Z15" s="80" t="n">
        <f aca="false">+Z16+Z17</f>
        <v>5325</v>
      </c>
      <c r="AA15" s="80" t="n">
        <f aca="false">+AA16+AA17</f>
        <v>4845</v>
      </c>
      <c r="AC15" s="81" t="s">
        <v>90</v>
      </c>
    </row>
    <row r="16" customFormat="false" ht="12.75" hidden="false" customHeight="false" outlineLevel="0" collapsed="false">
      <c r="E16" s="82" t="s">
        <v>87</v>
      </c>
      <c r="J16" s="80"/>
      <c r="K16" s="80" t="n">
        <f aca="false">+'WE 2-8 EOL Data'!B30</f>
        <v>2380</v>
      </c>
      <c r="L16" s="80" t="n">
        <f aca="false">+'WE 2-15 EOL Data'!B30</f>
        <v>2392</v>
      </c>
      <c r="M16" s="80" t="n">
        <f aca="false">+'WE 2-22 EOL Data'!B30</f>
        <v>1860</v>
      </c>
      <c r="N16" s="80" t="n">
        <f aca="false">+'WE 2-28 EOL Data'!B30</f>
        <v>1995</v>
      </c>
      <c r="O16" s="80" t="n">
        <f aca="false">+'WE 3-7 EOL Data'!B30</f>
        <v>2410</v>
      </c>
      <c r="P16" s="80" t="n">
        <f aca="false">+'WE 3-14 EOL Data'!B30</f>
        <v>2417</v>
      </c>
      <c r="Q16" s="80" t="n">
        <f aca="false">+'WE 3-21 EOL Data'!B30</f>
        <v>2521</v>
      </c>
      <c r="R16" s="80" t="n">
        <f aca="false">+'WE 3-28 EOL Data'!B30</f>
        <v>2493</v>
      </c>
      <c r="S16" s="80" t="n">
        <f aca="false">+'WE 4-4 EOL Data'!B30</f>
        <v>2588</v>
      </c>
      <c r="T16" s="80" t="n">
        <f aca="false">+'WE 4-11 EOL Data'!B30</f>
        <v>2667</v>
      </c>
      <c r="U16" s="80" t="n">
        <f aca="false">+'WE 4-18 EOL Data'!B30</f>
        <v>2267</v>
      </c>
      <c r="V16" s="80" t="n">
        <f aca="false">+'WE 4-25 EOL Data'!B30</f>
        <v>2968</v>
      </c>
      <c r="W16" s="80" t="n">
        <f aca="false">+'WE 5-2 EOL Data'!B30</f>
        <v>2924</v>
      </c>
      <c r="X16" s="80" t="n">
        <f aca="false">+'WE 5-9 EOL Data'!B30</f>
        <v>2474</v>
      </c>
      <c r="Y16" s="80" t="n">
        <f aca="false">+'WE 5-16 EOL Data'!B30</f>
        <v>2390</v>
      </c>
      <c r="Z16" s="80" t="n">
        <f aca="false">+'WE 5-23 EOL Data'!B29</f>
        <v>2447</v>
      </c>
      <c r="AA16" s="80" t="n">
        <f aca="false">+'WE 5-30 EOL Data'!B29</f>
        <v>1904</v>
      </c>
      <c r="AC16" s="81"/>
    </row>
    <row r="17" customFormat="false" ht="12.75" hidden="false" customHeight="false" outlineLevel="0" collapsed="false">
      <c r="E17" s="82" t="s">
        <v>88</v>
      </c>
      <c r="J17" s="80"/>
      <c r="K17" s="80" t="n">
        <f aca="false">+'WE 2-8 EOL Data'!B7</f>
        <v>2251</v>
      </c>
      <c r="L17" s="80" t="n">
        <f aca="false">+'WE 2-15 EOL Data'!B7</f>
        <v>2195</v>
      </c>
      <c r="M17" s="80" t="n">
        <f aca="false">+'WE 2-22 EOL Data'!B7</f>
        <v>1796</v>
      </c>
      <c r="N17" s="80" t="n">
        <f aca="false">+'WE 2-28 EOL Data'!B7</f>
        <v>1776</v>
      </c>
      <c r="O17" s="80" t="n">
        <f aca="false">+'WE 3-7 EOL Data'!B7</f>
        <v>2005</v>
      </c>
      <c r="P17" s="80" t="n">
        <f aca="false">+'WE 3-14 EOL Data'!B7</f>
        <v>2512</v>
      </c>
      <c r="Q17" s="80" t="n">
        <f aca="false">+'WE 3-21 EOL Data'!B7</f>
        <v>2252</v>
      </c>
      <c r="R17" s="80" t="n">
        <f aca="false">+'WE 3-28 EOL Data'!B7</f>
        <v>2303</v>
      </c>
      <c r="S17" s="80" t="n">
        <f aca="false">+'WE 4-4 EOL Data'!B7</f>
        <v>2674</v>
      </c>
      <c r="T17" s="80" t="n">
        <f aca="false">+'WE 4-11 EOL Data'!B7</f>
        <v>2724</v>
      </c>
      <c r="U17" s="80" t="n">
        <f aca="false">+'WE 4-18 EOL Data'!B7</f>
        <v>2427</v>
      </c>
      <c r="V17" s="80" t="n">
        <f aca="false">+'WE 4-25 EOL Data'!B7</f>
        <v>2956</v>
      </c>
      <c r="W17" s="80" t="n">
        <f aca="false">+'WE 5-2 EOL Data'!B7</f>
        <v>3164</v>
      </c>
      <c r="X17" s="80" t="n">
        <f aca="false">+'WE 5-9 EOL Data'!B7</f>
        <v>2472</v>
      </c>
      <c r="Y17" s="80" t="n">
        <f aca="false">+'WE 5-16 EOL Data'!B7</f>
        <v>2570</v>
      </c>
      <c r="Z17" s="80" t="n">
        <f aca="false">+'WE 5-23 EOL Data'!B7</f>
        <v>2878</v>
      </c>
      <c r="AA17" s="80" t="n">
        <f aca="false">+'WE 5-30 EOL Data'!B7</f>
        <v>2941</v>
      </c>
      <c r="AC17" s="81"/>
    </row>
    <row r="18" customFormat="false" ht="12.75" hidden="false" customHeight="false" outlineLevel="0" collapsed="false">
      <c r="E18" s="0" t="s">
        <v>91</v>
      </c>
      <c r="J18" s="80"/>
      <c r="K18" s="83" t="n">
        <f aca="false">(+K17+K14)/(K15+K12)</f>
        <v>0.786584312370422</v>
      </c>
      <c r="L18" s="83" t="n">
        <f aca="false">(+L17+L14)/(L15+L12)</f>
        <v>0.761944062356717</v>
      </c>
      <c r="M18" s="83" t="n">
        <f aca="false">(+M17+M14)/(M15+M12)</f>
        <v>0.735903407697965</v>
      </c>
      <c r="N18" s="83" t="n">
        <f aca="false">(+N17+N14)/(N15+N12)</f>
        <v>0.733375789417821</v>
      </c>
      <c r="O18" s="83" t="n">
        <f aca="false">(+O17+O14)/(O15+O12)</f>
        <v>0.755938132940527</v>
      </c>
      <c r="P18" s="83" t="n">
        <f aca="false">(+P17+P14)/(P15+P12)</f>
        <v>0.776310014921443</v>
      </c>
      <c r="Q18" s="83" t="n">
        <f aca="false">(+Q17+Q14)/(Q15+Q12)</f>
        <v>0.763415315818893</v>
      </c>
      <c r="R18" s="83" t="n">
        <f aca="false">(+R17+R14)/(R15+R12)</f>
        <v>0.747084318360914</v>
      </c>
      <c r="S18" s="83" t="n">
        <f aca="false">(+S17+S14)/(S15+S12)</f>
        <v>0.766015518384216</v>
      </c>
      <c r="T18" s="83" t="n">
        <f aca="false">(+T17+T14)/(T15+T12)</f>
        <v>0.780960369050115</v>
      </c>
      <c r="U18" s="83" t="n">
        <f aca="false">(+U17+U14)/(U15+U12)</f>
        <v>0.760774515927545</v>
      </c>
      <c r="V18" s="83" t="n">
        <f aca="false">(+V17+V14)/(V15+V12)</f>
        <v>0.737787386188833</v>
      </c>
      <c r="W18" s="83" t="n">
        <f aca="false">(+W17+W14)/(W15+W12)</f>
        <v>0.754091591591592</v>
      </c>
      <c r="X18" s="83" t="n">
        <f aca="false">(+X17+X14)/(X15+X12)</f>
        <v>0.772062164864128</v>
      </c>
      <c r="Y18" s="83" t="n">
        <f aca="false">(+Y17+Y14)/(Y15+Y12)</f>
        <v>0.787280796242837</v>
      </c>
      <c r="Z18" s="83" t="n">
        <f aca="false">(+Z17+Z14)/(Z15+Z12)</f>
        <v>0.784140404816808</v>
      </c>
      <c r="AA18" s="83" t="n">
        <f aca="false">(+AA17+AA14)/(AA15+AA12)</f>
        <v>0.769780658911287</v>
      </c>
      <c r="AC18" s="81"/>
    </row>
    <row r="19" customFormat="false" ht="12.75" hidden="false" customHeight="false" outlineLevel="0" collapsed="false">
      <c r="E19" s="84" t="s">
        <v>10</v>
      </c>
      <c r="J19" s="80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C19" s="81"/>
    </row>
    <row r="20" customFormat="false" ht="12.75" hidden="false" customHeight="false" outlineLevel="0" collapsed="false">
      <c r="E20" s="84" t="s">
        <v>92</v>
      </c>
      <c r="J20" s="80"/>
      <c r="K20" s="85" t="n">
        <f aca="false">+K13+K16</f>
        <v>4941</v>
      </c>
      <c r="L20" s="85" t="n">
        <f aca="false">+L13+L16</f>
        <v>5192</v>
      </c>
      <c r="M20" s="85" t="n">
        <f aca="false">+M13+M16</f>
        <v>4309</v>
      </c>
      <c r="N20" s="85" t="n">
        <f aca="false">+N13+N16</f>
        <v>5024</v>
      </c>
      <c r="O20" s="85" t="n">
        <f aca="false">+O13+O16</f>
        <v>5302</v>
      </c>
      <c r="P20" s="85" t="n">
        <f aca="false">+P13+P16</f>
        <v>5097</v>
      </c>
      <c r="Q20" s="85" t="n">
        <f aca="false">+Q13+Q16</f>
        <v>5079</v>
      </c>
      <c r="R20" s="85" t="n">
        <f aca="false">+R13+R16</f>
        <v>6419</v>
      </c>
      <c r="S20" s="85" t="n">
        <f aca="false">+S13+S16</f>
        <v>6001</v>
      </c>
      <c r="T20" s="85" t="n">
        <f aca="false">+T13+T16</f>
        <v>5223</v>
      </c>
      <c r="U20" s="85" t="n">
        <f aca="false">+U13+U16</f>
        <v>4213</v>
      </c>
      <c r="V20" s="85" t="n">
        <f aca="false">+V13+V16</f>
        <v>6307</v>
      </c>
      <c r="W20" s="85" t="n">
        <f aca="false">+W13+W16</f>
        <v>6551</v>
      </c>
      <c r="X20" s="85" t="n">
        <f aca="false">+X13+X16</f>
        <v>5016</v>
      </c>
      <c r="Y20" s="85" t="n">
        <f aca="false">+Y13+Y16</f>
        <v>4937</v>
      </c>
      <c r="Z20" s="85" t="n">
        <f aca="false">+Z13+Z16</f>
        <v>5055</v>
      </c>
      <c r="AA20" s="85" t="n">
        <f aca="false">+AA13+AA16</f>
        <v>5185</v>
      </c>
      <c r="AC20" s="81"/>
    </row>
    <row r="21" customFormat="false" ht="12.75" hidden="false" customHeight="false" outlineLevel="0" collapsed="false">
      <c r="E21" s="84" t="s">
        <v>93</v>
      </c>
      <c r="J21" s="80"/>
      <c r="K21" s="85" t="n">
        <f aca="false">+K17+K14</f>
        <v>18211</v>
      </c>
      <c r="L21" s="85" t="n">
        <f aca="false">+L17+L14</f>
        <v>16618</v>
      </c>
      <c r="M21" s="85" t="n">
        <f aca="false">+M17+M14</f>
        <v>12007</v>
      </c>
      <c r="N21" s="85" t="n">
        <f aca="false">+N17+N14</f>
        <v>13819</v>
      </c>
      <c r="O21" s="85" t="n">
        <f aca="false">+O17+O14</f>
        <v>16422</v>
      </c>
      <c r="P21" s="85" t="n">
        <f aca="false">+P17+P14</f>
        <v>17689</v>
      </c>
      <c r="Q21" s="85" t="n">
        <f aca="false">+Q17+Q14</f>
        <v>16389</v>
      </c>
      <c r="R21" s="85" t="n">
        <f aca="false">+R17+R14</f>
        <v>18961</v>
      </c>
      <c r="S21" s="85" t="n">
        <f aca="false">+S17+S14</f>
        <v>19646</v>
      </c>
      <c r="T21" s="85" t="n">
        <f aca="false">+T17+T14</f>
        <v>18622</v>
      </c>
      <c r="U21" s="85" t="n">
        <f aca="false">+U17+U14</f>
        <v>13398</v>
      </c>
      <c r="V21" s="85" t="n">
        <f aca="false">+V17+V14</f>
        <v>17746</v>
      </c>
      <c r="W21" s="85" t="n">
        <f aca="false">+W17+W14</f>
        <v>20089</v>
      </c>
      <c r="X21" s="85" t="n">
        <f aca="false">+X17+X14</f>
        <v>16990</v>
      </c>
      <c r="Y21" s="85" t="n">
        <f aca="false">+Y17+Y14</f>
        <v>18272</v>
      </c>
      <c r="Z21" s="85" t="n">
        <f aca="false">+Z17+Z14</f>
        <v>18363</v>
      </c>
      <c r="AA21" s="85" t="n">
        <f aca="false">+AA17+AA14</f>
        <v>17337</v>
      </c>
      <c r="AC21" s="81"/>
    </row>
    <row r="22" customFormat="false" ht="15" hidden="false" customHeight="false" outlineLevel="0" collapsed="false">
      <c r="A22" s="77" t="s">
        <v>94</v>
      </c>
      <c r="B22" s="0" t="n">
        <v>20</v>
      </c>
      <c r="F22" s="79" t="s">
        <v>63</v>
      </c>
      <c r="G22" s="79" t="s">
        <v>64</v>
      </c>
      <c r="H22" s="79" t="s">
        <v>65</v>
      </c>
      <c r="I22" s="79" t="s">
        <v>66</v>
      </c>
      <c r="J22" s="79" t="s">
        <v>67</v>
      </c>
      <c r="K22" s="79" t="str">
        <f aca="false">+K11</f>
        <v>2/2 - 2/8</v>
      </c>
      <c r="L22" s="79" t="str">
        <f aca="false">+L11</f>
        <v>2/9 - 2/15</v>
      </c>
      <c r="M22" s="79" t="str">
        <f aca="false">+M11</f>
        <v>2/16 - 2/22</v>
      </c>
      <c r="N22" s="79" t="str">
        <f aca="false">+N11</f>
        <v>2/23 - 2/28</v>
      </c>
      <c r="O22" s="79" t="str">
        <f aca="false">+O11</f>
        <v>3/1 - 3/7</v>
      </c>
      <c r="P22" s="79" t="str">
        <f aca="false">+P11</f>
        <v>3/8 - 3/14</v>
      </c>
      <c r="Q22" s="79" t="str">
        <f aca="false">+Q11</f>
        <v>3/15 - 3/21</v>
      </c>
      <c r="R22" s="79" t="str">
        <f aca="false">+R11</f>
        <v>3/22 - 3/28</v>
      </c>
      <c r="S22" s="79" t="str">
        <f aca="false">+S11</f>
        <v>3/29 - 4/4</v>
      </c>
      <c r="T22" s="79" t="str">
        <f aca="false">+T11</f>
        <v>4/5 - 4/11</v>
      </c>
      <c r="U22" s="79" t="str">
        <f aca="false">+U11</f>
        <v>4/12 - 4/18</v>
      </c>
      <c r="V22" s="79" t="str">
        <f aca="false">+V11</f>
        <v>4/19 - 4/25</v>
      </c>
      <c r="W22" s="79" t="str">
        <f aca="false">+W11</f>
        <v>4/26 - 5/2</v>
      </c>
      <c r="X22" s="79" t="str">
        <f aca="false">+X11</f>
        <v>5/3 - 5/9</v>
      </c>
      <c r="Y22" s="79" t="str">
        <f aca="false">+Y11</f>
        <v>5/10 - 5/16</v>
      </c>
      <c r="Z22" s="79" t="str">
        <f aca="false">+Z11</f>
        <v>5/17 - 5/23</v>
      </c>
      <c r="AA22" s="79" t="s">
        <v>84</v>
      </c>
      <c r="AC22" s="86"/>
    </row>
    <row r="23" customFormat="false" ht="12.75" hidden="false" customHeight="false" outlineLevel="0" collapsed="false">
      <c r="A23" s="77" t="s">
        <v>95</v>
      </c>
      <c r="B23" s="0" t="n">
        <v>30</v>
      </c>
      <c r="E23" s="0" t="s">
        <v>96</v>
      </c>
      <c r="F23" s="0" t="n">
        <f aca="false">+'template from individuals'!B45+'template from individuals'!C45</f>
        <v>91</v>
      </c>
      <c r="G23" s="0" t="n">
        <f aca="false">+'template from individuals'!D45+'template from individuals'!E45</f>
        <v>130</v>
      </c>
      <c r="H23" s="0" t="n">
        <f aca="false">+'template from individuals'!F45+'template from individuals'!G45</f>
        <v>103</v>
      </c>
      <c r="I23" s="35" t="n">
        <f aca="false">+'template from individuals'!H45+'template from individuals'!I45</f>
        <v>169</v>
      </c>
      <c r="J23" s="80" t="n">
        <f aca="false">+'WE 2-1 EOL Data'!B13+'WE 2-1 EOL Data'!B36</f>
        <v>145</v>
      </c>
      <c r="K23" s="80" t="n">
        <f aca="false">+'WE 2-8 EOL Data'!B13+'WE 2-8 EOL Data'!B36</f>
        <v>153</v>
      </c>
      <c r="L23" s="80" t="n">
        <f aca="false">+'WE 2-15 EOL Data'!$B13+'WE 2-15 EOL Data'!$B36</f>
        <v>122</v>
      </c>
      <c r="M23" s="80" t="n">
        <f aca="false">+'WE 2-22 EOL Data'!$B13+'WE 2-22 EOL Data'!$B36</f>
        <v>142</v>
      </c>
      <c r="N23" s="80" t="n">
        <f aca="false">+'WE 2-28 EOL Data'!B13+'WE 2-28 EOL Data'!B36</f>
        <v>102</v>
      </c>
      <c r="O23" s="80" t="n">
        <f aca="false">+'WE 3-7 EOL Data'!B13+'WE 3-7 EOL Data'!B36</f>
        <v>174</v>
      </c>
      <c r="P23" s="80" t="n">
        <f aca="false">+'WE 3-14 EOL Data'!B13+'WE 3-14 EOL Data'!B36</f>
        <v>596</v>
      </c>
      <c r="Q23" s="80" t="n">
        <f aca="false">+Q24+Q25</f>
        <v>306</v>
      </c>
      <c r="R23" s="80" t="n">
        <f aca="false">+R24+R25</f>
        <v>552</v>
      </c>
      <c r="S23" s="80" t="n">
        <f aca="false">+S24+S25</f>
        <v>537</v>
      </c>
      <c r="T23" s="80" t="n">
        <f aca="false">+T24+T25</f>
        <v>580</v>
      </c>
      <c r="U23" s="80" t="n">
        <f aca="false">+U24+U25</f>
        <v>361</v>
      </c>
      <c r="V23" s="80" t="n">
        <f aca="false">+V24+V25</f>
        <v>645</v>
      </c>
      <c r="W23" s="80" t="n">
        <f aca="false">+W24+W25</f>
        <v>477</v>
      </c>
      <c r="X23" s="80" t="n">
        <f aca="false">+X24+X25</f>
        <v>357</v>
      </c>
      <c r="Y23" s="80" t="n">
        <f aca="false">+Y24+Y25</f>
        <v>430</v>
      </c>
      <c r="Z23" s="80" t="n">
        <f aca="false">+Z24+Z25</f>
        <v>532</v>
      </c>
      <c r="AA23" s="80" t="n">
        <f aca="false">+AA24+AA25</f>
        <v>357</v>
      </c>
      <c r="AC23" s="81" t="s">
        <v>97</v>
      </c>
    </row>
    <row r="24" customFormat="false" ht="12.75" hidden="false" customHeight="false" outlineLevel="0" collapsed="false">
      <c r="E24" s="82" t="s">
        <v>87</v>
      </c>
      <c r="J24" s="80"/>
      <c r="K24" s="80" t="n">
        <f aca="false">+'WE 2-8 EOL Data'!B36</f>
        <v>153</v>
      </c>
      <c r="L24" s="80" t="n">
        <f aca="false">+'WE 2-15 EOL Data'!B36</f>
        <v>122</v>
      </c>
      <c r="M24" s="80" t="n">
        <f aca="false">+'WE 2-22 EOL Data'!B36</f>
        <v>142</v>
      </c>
      <c r="N24" s="80" t="n">
        <f aca="false">+'WE 2-28 EOL Data'!B36</f>
        <v>102</v>
      </c>
      <c r="O24" s="80" t="n">
        <f aca="false">+'WE 3-7 EOL Data'!B36</f>
        <v>174</v>
      </c>
      <c r="P24" s="80" t="n">
        <f aca="false">+'WE 3-14 EOL Data'!B36</f>
        <v>596</v>
      </c>
      <c r="Q24" s="80" t="n">
        <f aca="false">+'WE 3-21 EOL Data'!B36</f>
        <v>306</v>
      </c>
      <c r="R24" s="80" t="n">
        <f aca="false">+'WE 3-28 EOL Data'!B36</f>
        <v>552</v>
      </c>
      <c r="S24" s="80" t="n">
        <f aca="false">+'WE 4-4 EOL Data'!B36</f>
        <v>537</v>
      </c>
      <c r="T24" s="80" t="n">
        <f aca="false">+'WE 4-11 EOL Data'!B36</f>
        <v>580</v>
      </c>
      <c r="U24" s="80" t="n">
        <f aca="false">+'WE 4-18 EOL Data'!B36</f>
        <v>361</v>
      </c>
      <c r="V24" s="80" t="n">
        <f aca="false">+'WE 4-25 EOL Data'!B36</f>
        <v>645</v>
      </c>
      <c r="W24" s="80" t="n">
        <f aca="false">+'WE 5-2 EOL Data'!B36</f>
        <v>477</v>
      </c>
      <c r="X24" s="80" t="n">
        <f aca="false">+'WE 5-9 EOL Data'!B36</f>
        <v>357</v>
      </c>
      <c r="Y24" s="80" t="n">
        <f aca="false">+'WE 5-16 EOL Data'!B36</f>
        <v>430</v>
      </c>
      <c r="Z24" s="80" t="n">
        <f aca="false">+'WE 5-23 EOL Data'!B35</f>
        <v>532</v>
      </c>
      <c r="AA24" s="80" t="n">
        <f aca="false">+'WE 5-30 EOL Data'!B35</f>
        <v>357</v>
      </c>
      <c r="AC24" s="81"/>
    </row>
    <row r="25" customFormat="false" ht="12.75" hidden="false" customHeight="false" outlineLevel="0" collapsed="false">
      <c r="E25" s="82" t="s">
        <v>88</v>
      </c>
      <c r="J25" s="80"/>
      <c r="K25" s="80" t="n">
        <f aca="false">+'WE 2-8 EOL Data'!B13</f>
        <v>0</v>
      </c>
      <c r="L25" s="80" t="n">
        <f aca="false">+'WE 2-15 EOL Data'!B13</f>
        <v>0</v>
      </c>
      <c r="M25" s="80" t="n">
        <f aca="false">+'WE 2-22 EOL Data'!B13</f>
        <v>0</v>
      </c>
      <c r="N25" s="80" t="n">
        <f aca="false">+'WE 2-28 EOL Data'!B13</f>
        <v>0</v>
      </c>
      <c r="O25" s="80" t="n">
        <f aca="false">+'WE 3-7 EOL Data'!B13</f>
        <v>0</v>
      </c>
      <c r="P25" s="80" t="n">
        <f aca="false">+'WE 3-14 EOL Data'!B13</f>
        <v>0</v>
      </c>
      <c r="Q25" s="80" t="n">
        <f aca="false">+'WE 3-21 EOL Data'!B13</f>
        <v>0</v>
      </c>
      <c r="R25" s="80" t="n">
        <f aca="false">+'WE 3-28 EOL Data'!C13</f>
        <v>0</v>
      </c>
      <c r="S25" s="80" t="n">
        <f aca="false">+'WE 4-4 EOL Data'!B13</f>
        <v>0</v>
      </c>
      <c r="T25" s="80" t="n">
        <f aca="false">+'WE 4-11 EOL Data'!B13</f>
        <v>0</v>
      </c>
      <c r="U25" s="80" t="n">
        <f aca="false">+'WE 4-18 EOL Data'!B13</f>
        <v>0</v>
      </c>
      <c r="V25" s="80" t="n">
        <f aca="false">+'WE 4-25 EOL Data'!B13</f>
        <v>0</v>
      </c>
      <c r="W25" s="80" t="n">
        <f aca="false">+'WE 5-2 EOL Data'!B13</f>
        <v>0</v>
      </c>
      <c r="X25" s="80" t="n">
        <f aca="false">+'WE 5-9 EOL Data'!B13</f>
        <v>0</v>
      </c>
      <c r="Y25" s="80" t="n">
        <f aca="false">+'WE 5-16 EOL Data'!B13</f>
        <v>0</v>
      </c>
      <c r="Z25" s="80" t="n">
        <f aca="false">+'WE 5-23 EOL Data'!B13</f>
        <v>0</v>
      </c>
      <c r="AA25" s="80" t="n">
        <f aca="false">+'WE 5-30 EOL Data'!B13</f>
        <v>0</v>
      </c>
      <c r="AC25" s="81"/>
    </row>
    <row r="26" customFormat="false" ht="12.75" hidden="false" customHeight="false" outlineLevel="0" collapsed="false">
      <c r="A26" s="77" t="s">
        <v>98</v>
      </c>
      <c r="B26" s="0" t="n">
        <v>1</v>
      </c>
      <c r="E26" s="0" t="s">
        <v>99</v>
      </c>
      <c r="F26" s="0" t="n">
        <f aca="false">+'template from individuals'!B47+'template from individuals'!C47</f>
        <v>1835</v>
      </c>
      <c r="G26" s="0" t="n">
        <f aca="false">+'template from individuals'!D47+'template from individuals'!E47</f>
        <v>3258</v>
      </c>
      <c r="H26" s="0" t="n">
        <f aca="false">+'template from individuals'!F47+'template from individuals'!G47</f>
        <v>2199</v>
      </c>
      <c r="I26" s="35" t="n">
        <f aca="false">+'template from individuals'!H47+'template from individuals'!I47</f>
        <v>3063</v>
      </c>
      <c r="J26" s="80" t="n">
        <f aca="false">+'WE 2-1 EOL Data'!B9+'WE 2-1 EOL Data'!B32</f>
        <v>3322</v>
      </c>
      <c r="K26" s="80" t="n">
        <f aca="false">+'WE 2-8 EOL Data'!B9+'WE 2-8 EOL Data'!B32</f>
        <v>3375</v>
      </c>
      <c r="L26" s="80" t="n">
        <f aca="false">+'WE 2-15 EOL Data'!$B9+'WE 2-15 EOL Data'!$B32</f>
        <v>3353</v>
      </c>
      <c r="M26" s="80" t="n">
        <f aca="false">+'WE 2-22 EOL Data'!$B9+'WE 2-22 EOL Data'!$B32</f>
        <v>3135</v>
      </c>
      <c r="N26" s="80" t="n">
        <f aca="false">+'WE 2-28 EOL Data'!B9+'WE 2-28 EOL Data'!B32</f>
        <v>2593</v>
      </c>
      <c r="O26" s="80" t="n">
        <f aca="false">+'WE 3-7 EOL Data'!B9+'WE 3-7 EOL Data'!B32</f>
        <v>3101</v>
      </c>
      <c r="P26" s="80" t="n">
        <f aca="false">+'WE 3-14 EOL Data'!B9+'WE 3-14 EOL Data'!B32</f>
        <v>3017</v>
      </c>
      <c r="Q26" s="80" t="n">
        <f aca="false">+Q27+Q28</f>
        <v>2897</v>
      </c>
      <c r="R26" s="80" t="n">
        <f aca="false">+R27+R28</f>
        <v>2820</v>
      </c>
      <c r="S26" s="80" t="n">
        <f aca="false">+S27+S28</f>
        <v>2992</v>
      </c>
      <c r="T26" s="80" t="n">
        <f aca="false">+T27+T28</f>
        <v>2646</v>
      </c>
      <c r="U26" s="80" t="n">
        <f aca="false">+U27+U28</f>
        <v>2325</v>
      </c>
      <c r="V26" s="80" t="n">
        <f aca="false">+V27+V28</f>
        <v>2857</v>
      </c>
      <c r="W26" s="80" t="n">
        <f aca="false">+W27+W28</f>
        <v>2744</v>
      </c>
      <c r="X26" s="80" t="n">
        <f aca="false">+X27+X28</f>
        <v>2320</v>
      </c>
      <c r="Y26" s="80" t="n">
        <f aca="false">+Y27+Y28</f>
        <v>2922</v>
      </c>
      <c r="Z26" s="80" t="n">
        <f aca="false">+Z27+Z28</f>
        <v>3442</v>
      </c>
      <c r="AA26" s="80" t="n">
        <f aca="false">+AA27+AA28</f>
        <v>2999</v>
      </c>
      <c r="AC26" s="81" t="s">
        <v>100</v>
      </c>
    </row>
    <row r="27" customFormat="false" ht="12.75" hidden="false" customHeight="false" outlineLevel="0" collapsed="false">
      <c r="E27" s="82" t="s">
        <v>87</v>
      </c>
      <c r="J27" s="80"/>
      <c r="K27" s="80" t="n">
        <f aca="false">+'WE 2-8 EOL Data'!B32</f>
        <v>1617</v>
      </c>
      <c r="L27" s="80" t="n">
        <f aca="false">+'WE 2-15 EOL Data'!B32</f>
        <v>1786</v>
      </c>
      <c r="M27" s="80" t="n">
        <f aca="false">+'WE 2-22 EOL Data'!B32</f>
        <v>1587</v>
      </c>
      <c r="N27" s="80" t="n">
        <f aca="false">+'WE 2-28 EOL Data'!B32</f>
        <v>1409</v>
      </c>
      <c r="O27" s="80" t="n">
        <f aca="false">+'WE 3-7 EOL Data'!B32</f>
        <v>1753</v>
      </c>
      <c r="P27" s="80" t="n">
        <f aca="false">+'WE 3-14 EOL Data'!B32</f>
        <v>1693</v>
      </c>
      <c r="Q27" s="80" t="n">
        <f aca="false">+'WE 3-21 EOL Data'!B32</f>
        <v>1583</v>
      </c>
      <c r="R27" s="80" t="n">
        <f aca="false">+'WE 3-28 EOL Data'!B32</f>
        <v>1746</v>
      </c>
      <c r="S27" s="80" t="n">
        <f aca="false">+'WE 4-4 EOL Data'!B32</f>
        <v>1861</v>
      </c>
      <c r="T27" s="80" t="n">
        <f aca="false">+'WE 4-11 EOL Data'!B32</f>
        <v>1690</v>
      </c>
      <c r="U27" s="80" t="n">
        <f aca="false">+'WE 4-18 EOL Data'!B32</f>
        <v>1469</v>
      </c>
      <c r="V27" s="80" t="n">
        <f aca="false">+'WE 4-25 EOL Data'!B32</f>
        <v>1830</v>
      </c>
      <c r="W27" s="80" t="n">
        <f aca="false">+'WE 5-2 EOL Data'!B32</f>
        <v>1728</v>
      </c>
      <c r="X27" s="80" t="n">
        <f aca="false">+'WE 5-9 EOL Data'!B32</f>
        <v>1174</v>
      </c>
      <c r="Y27" s="80" t="n">
        <f aca="false">+'WE 5-16 EOL Data'!B32</f>
        <v>1610</v>
      </c>
      <c r="Z27" s="80" t="n">
        <f aca="false">+'WE 5-23 EOL Data'!B31</f>
        <v>1864</v>
      </c>
      <c r="AA27" s="80" t="n">
        <f aca="false">+'WE 5-30 EOL Data'!B31</f>
        <v>1539</v>
      </c>
      <c r="AC27" s="81"/>
    </row>
    <row r="28" customFormat="false" ht="12.75" hidden="false" customHeight="false" outlineLevel="0" collapsed="false">
      <c r="E28" s="82" t="s">
        <v>88</v>
      </c>
      <c r="J28" s="80"/>
      <c r="K28" s="80" t="n">
        <f aca="false">+'WE 2-8 EOL Data'!B9</f>
        <v>1758</v>
      </c>
      <c r="L28" s="80" t="n">
        <f aca="false">+'WE 2-15 EOL Data'!B9</f>
        <v>1567</v>
      </c>
      <c r="M28" s="80" t="n">
        <f aca="false">+'WE 2-22 EOL Data'!B9</f>
        <v>1548</v>
      </c>
      <c r="N28" s="80" t="n">
        <f aca="false">+'WE 2-28 EOL Data'!B9</f>
        <v>1184</v>
      </c>
      <c r="O28" s="80" t="n">
        <f aca="false">+'WE 3-7 EOL Data'!B9</f>
        <v>1348</v>
      </c>
      <c r="P28" s="80" t="n">
        <f aca="false">+'WE 3-14 EOL Data'!B9</f>
        <v>1324</v>
      </c>
      <c r="Q28" s="80" t="n">
        <f aca="false">+'WE 3-21 EOL Data'!B9</f>
        <v>1314</v>
      </c>
      <c r="R28" s="80" t="n">
        <f aca="false">+'WE 3-28 EOL Data'!B9</f>
        <v>1074</v>
      </c>
      <c r="S28" s="80" t="n">
        <f aca="false">+'WE 4-4 EOL Data'!B9</f>
        <v>1131</v>
      </c>
      <c r="T28" s="80" t="n">
        <f aca="false">+'WE 4-11 EOL Data'!B9</f>
        <v>956</v>
      </c>
      <c r="U28" s="80" t="n">
        <f aca="false">+'WE 4-18 EOL Data'!B9</f>
        <v>856</v>
      </c>
      <c r="V28" s="80" t="n">
        <f aca="false">+'WE 4-25 EOL Data'!B9</f>
        <v>1027</v>
      </c>
      <c r="W28" s="80" t="n">
        <f aca="false">+'WE 5-2 EOL Data'!B9</f>
        <v>1016</v>
      </c>
      <c r="X28" s="80" t="n">
        <f aca="false">+'WE 5-9 EOL Data'!B9</f>
        <v>1146</v>
      </c>
      <c r="Y28" s="80" t="n">
        <f aca="false">+'WE 5-16 EOL Data'!B9</f>
        <v>1312</v>
      </c>
      <c r="Z28" s="80" t="n">
        <f aca="false">+'WE 5-23 EOL Data'!B9</f>
        <v>1578</v>
      </c>
      <c r="AA28" s="80" t="n">
        <f aca="false">+'WE 5-30 EOL Data'!B9</f>
        <v>1460</v>
      </c>
      <c r="AC28" s="81"/>
    </row>
    <row r="29" customFormat="false" ht="12.75" hidden="false" customHeight="false" outlineLevel="0" collapsed="false">
      <c r="A29" s="77" t="s">
        <v>101</v>
      </c>
      <c r="B29" s="0" t="n">
        <v>3</v>
      </c>
      <c r="E29" s="0" t="s">
        <v>102</v>
      </c>
      <c r="F29" s="0" t="n">
        <f aca="false">+'template from individuals'!B49+'template from individuals'!C49</f>
        <v>52</v>
      </c>
      <c r="G29" s="0" t="n">
        <f aca="false">+'template from individuals'!D49+'template from individuals'!E49</f>
        <v>83</v>
      </c>
      <c r="H29" s="0" t="n">
        <f aca="false">+'template from individuals'!F49+'template from individuals'!G49</f>
        <v>84</v>
      </c>
      <c r="I29" s="35" t="n">
        <f aca="false">+'template from individuals'!H49+'template from individuals'!I49</f>
        <v>75</v>
      </c>
      <c r="J29" s="80" t="n">
        <f aca="false">+'WE 2-1 EOL Data'!B10+'WE 2-1 EOL Data'!B11+'WE 2-1 EOL Data'!B33+'WE 2-1 EOL Data'!B34</f>
        <v>83</v>
      </c>
      <c r="K29" s="80" t="n">
        <f aca="false">+'WE 2-8 EOL Data'!B10+'WE 2-8 EOL Data'!B33+'WE 2-8 EOL Data'!B11+'WE 2-8 EOL Data'!B34</f>
        <v>52</v>
      </c>
      <c r="L29" s="80" t="n">
        <f aca="false">+'WE 2-15 EOL Data'!$B10+'WE 2-15 EOL Data'!$B11+'WE 2-15 EOL Data'!$B33+'WE 2-15 EOL Data'!$B34</f>
        <v>58</v>
      </c>
      <c r="M29" s="80" t="n">
        <f aca="false">+'WE 2-22 EOL Data'!$B10+'WE 2-22 EOL Data'!$B11+'WE 2-22 EOL Data'!$B33+'WE 2-22 EOL Data'!$B34</f>
        <v>28</v>
      </c>
      <c r="N29" s="80" t="n">
        <f aca="false">+'WE 2-28 EOL Data'!B10+'WE 2-28 EOL Data'!B33+'WE 2-28 EOL Data'!B11+'WE 2-28 EOL Data'!B34</f>
        <v>12</v>
      </c>
      <c r="O29" s="80" t="n">
        <f aca="false">+'WE 3-7 EOL Data'!B10+'WE 3-7 EOL Data'!B11+'WE 3-7 EOL Data'!B33+'WE 3-7 EOL Data'!B34</f>
        <v>36</v>
      </c>
      <c r="P29" s="80" t="n">
        <f aca="false">+'WE 3-14 EOL Data'!B10+'WE 3-14 EOL Data'!B11+'WE 3-14 EOL Data'!B33+'WE 3-14 EOL Data'!B34</f>
        <v>20</v>
      </c>
      <c r="Q29" s="80" t="n">
        <f aca="false">+Q30+Q31</f>
        <v>33</v>
      </c>
      <c r="R29" s="80" t="n">
        <f aca="false">+R30+R31</f>
        <v>25</v>
      </c>
      <c r="S29" s="80" t="n">
        <f aca="false">+S30+S31</f>
        <v>20</v>
      </c>
      <c r="T29" s="80" t="n">
        <f aca="false">+T30+T31</f>
        <v>21</v>
      </c>
      <c r="U29" s="80" t="n">
        <f aca="false">+U30+U31</f>
        <v>15</v>
      </c>
      <c r="V29" s="80" t="n">
        <f aca="false">+V30+V31</f>
        <v>27</v>
      </c>
      <c r="W29" s="80" t="n">
        <f aca="false">+W30+W31</f>
        <v>31</v>
      </c>
      <c r="X29" s="80" t="n">
        <f aca="false">+X30+X31</f>
        <v>12</v>
      </c>
      <c r="Y29" s="80" t="n">
        <f aca="false">+Y30+Y31</f>
        <v>39</v>
      </c>
      <c r="Z29" s="80" t="n">
        <f aca="false">+Z30+Z31</f>
        <v>22</v>
      </c>
      <c r="AA29" s="80" t="n">
        <f aca="false">+AA30+AA31</f>
        <v>19</v>
      </c>
      <c r="AC29" s="81" t="s">
        <v>103</v>
      </c>
    </row>
    <row r="30" customFormat="false" ht="12.75" hidden="false" customHeight="false" outlineLevel="0" collapsed="false">
      <c r="E30" s="82" t="s">
        <v>87</v>
      </c>
      <c r="J30" s="80"/>
      <c r="K30" s="80" t="n">
        <f aca="false">+'WE 2-8 EOL Data'!B33+'WE 2-8 EOL Data'!B34</f>
        <v>44</v>
      </c>
      <c r="L30" s="80" t="n">
        <f aca="false">+'WE 2-15 EOL Data'!B33+'WE 2-15 EOL Data'!B34</f>
        <v>36</v>
      </c>
      <c r="M30" s="80" t="n">
        <f aca="false">+'WE 2-22 EOL Data'!B33+'WE 2-22 EOL Data'!B34</f>
        <v>24</v>
      </c>
      <c r="N30" s="80" t="n">
        <f aca="false">+'WE 2-28 EOL Data'!B33+'WE 2-28 EOL Data'!B34</f>
        <v>9</v>
      </c>
      <c r="O30" s="80" t="n">
        <f aca="false">+'WE 3-7 EOL Data'!B33+'WE 3-7 EOL Data'!B34</f>
        <v>32</v>
      </c>
      <c r="P30" s="80" t="n">
        <f aca="false">+'WE 3-14 EOL Data'!B33+'WE 3-14 EOL Data'!B34</f>
        <v>15</v>
      </c>
      <c r="Q30" s="80" t="n">
        <f aca="false">+'WE 3-21 EOL Data'!B33+'WE 3-21 EOL Data'!B34</f>
        <v>32</v>
      </c>
      <c r="R30" s="80" t="n">
        <f aca="false">+'WE 3-28 EOL Data'!B33+'WE 3-28 EOL Data'!B34</f>
        <v>24</v>
      </c>
      <c r="S30" s="80" t="n">
        <f aca="false">+'WE 4-4 EOL Data'!B33+'WE 4-4 EOL Data'!B34</f>
        <v>17</v>
      </c>
      <c r="T30" s="80" t="n">
        <f aca="false">+'WE 4-11 EOL Data'!B33+'WE 4-11 EOL Data'!B34</f>
        <v>16</v>
      </c>
      <c r="U30" s="80" t="n">
        <f aca="false">+'WE 4-18 EOL Data'!B33+'WE 4-18 EOL Data'!B34</f>
        <v>14</v>
      </c>
      <c r="V30" s="80" t="n">
        <f aca="false">+'WE 4-25 EOL Data'!B33+'WE 4-25 EOL Data'!B34</f>
        <v>26</v>
      </c>
      <c r="W30" s="80" t="n">
        <f aca="false">+'WE 5-2 EOL Data'!B33+'WE 5-2 EOL Data'!B34</f>
        <v>26</v>
      </c>
      <c r="X30" s="80" t="n">
        <f aca="false">+'WE 5-9 EOL Data'!B33+'WE 5-9 EOL Data'!B34</f>
        <v>11</v>
      </c>
      <c r="Y30" s="80" t="n">
        <f aca="false">+'WE 5-16 EOL Data'!B33+'WE 5-16 EOL Data'!B34</f>
        <v>33</v>
      </c>
      <c r="Z30" s="80" t="n">
        <f aca="false">+'WE 5-23 EOL Data'!B33+'WE 5-23 EOL Data'!B32</f>
        <v>21</v>
      </c>
      <c r="AA30" s="80" t="n">
        <f aca="false">+'WE 5-30 EOL Data'!B32+'WE 5-30 EOL Data'!B33</f>
        <v>18</v>
      </c>
      <c r="AC30" s="81"/>
    </row>
    <row r="31" customFormat="false" ht="12.75" hidden="false" customHeight="false" outlineLevel="0" collapsed="false">
      <c r="E31" s="82" t="s">
        <v>88</v>
      </c>
      <c r="J31" s="80"/>
      <c r="K31" s="80" t="n">
        <f aca="false">+'WE 2-8 EOL Data'!B10+'WE 2-8 EOL Data'!B11</f>
        <v>8</v>
      </c>
      <c r="L31" s="80" t="n">
        <f aca="false">+'WE 2-15 EOL Data'!B10+'WE 2-15 EOL Data'!B11</f>
        <v>22</v>
      </c>
      <c r="M31" s="80" t="n">
        <f aca="false">+'WE 2-22 EOL Data'!B10+'WE 2-22 EOL Data'!B11</f>
        <v>4</v>
      </c>
      <c r="N31" s="80" t="n">
        <f aca="false">+'WE 2-28 EOL Data'!B10+'WE 2-28 EOL Data'!B11</f>
        <v>3</v>
      </c>
      <c r="O31" s="80" t="n">
        <f aca="false">+'WE 3-7 EOL Data'!B10+'WE 3-7 EOL Data'!B11</f>
        <v>4</v>
      </c>
      <c r="P31" s="80" t="n">
        <f aca="false">+'WE 3-14 EOL Data'!B10+'WE 3-14 EOL Data'!B11</f>
        <v>5</v>
      </c>
      <c r="Q31" s="80" t="n">
        <f aca="false">+'WE 3-21 EOL Data'!B10+'WE 3-21 EOL Data'!B11</f>
        <v>1</v>
      </c>
      <c r="R31" s="80" t="n">
        <f aca="false">+'WE 3-28 EOL Data'!B10+'WE 3-28 EOL Data'!B11</f>
        <v>1</v>
      </c>
      <c r="S31" s="80" t="n">
        <f aca="false">+'WE 4-4 EOL Data'!B10+'WE 4-4 EOL Data'!B11</f>
        <v>3</v>
      </c>
      <c r="T31" s="80" t="n">
        <f aca="false">+'WE 4-11 EOL Data'!B10+'WE 4-11 EOL Data'!B11</f>
        <v>5</v>
      </c>
      <c r="U31" s="80" t="n">
        <f aca="false">+'WE 4-18 EOL Data'!B10+'WE 4-18 EOL Data'!B11</f>
        <v>1</v>
      </c>
      <c r="V31" s="80" t="n">
        <f aca="false">+'WE 4-25 EOL Data'!B10+'WE 4-25 EOL Data'!B11</f>
        <v>1</v>
      </c>
      <c r="W31" s="80" t="n">
        <f aca="false">+'WE 5-2 EOL Data'!B10+'WE 5-2 EOL Data'!B11</f>
        <v>5</v>
      </c>
      <c r="X31" s="80" t="n">
        <f aca="false">+'WE 5-9 EOL Data'!B10+'WE 5-9 EOL Data'!B11</f>
        <v>1</v>
      </c>
      <c r="Y31" s="80" t="n">
        <f aca="false">+'WE 5-16 EOL Data'!B10+'WE 5-16 EOL Data'!B11</f>
        <v>6</v>
      </c>
      <c r="Z31" s="80" t="n">
        <f aca="false">+'WE 5-23 EOL Data'!B10+'WE 5-23 EOL Data'!B11</f>
        <v>1</v>
      </c>
      <c r="AA31" s="80" t="n">
        <f aca="false">+'WE 5-30 EOL Data'!B10+'WE 5-30 EOL Data'!B11</f>
        <v>1</v>
      </c>
      <c r="AC31" s="81"/>
    </row>
    <row r="32" customFormat="false" ht="12.75" hidden="false" customHeight="false" outlineLevel="0" collapsed="false">
      <c r="A32" s="77" t="s">
        <v>28</v>
      </c>
      <c r="B32" s="0" t="n">
        <v>2</v>
      </c>
      <c r="E32" s="0" t="s">
        <v>104</v>
      </c>
      <c r="F32" s="0" t="n">
        <f aca="false">+'template from individuals'!B46+'template from individuals'!C46</f>
        <v>13</v>
      </c>
      <c r="G32" s="0" t="n">
        <f aca="false">+'template from individuals'!D46+'template from individuals'!E46</f>
        <v>27</v>
      </c>
      <c r="H32" s="0" t="n">
        <f aca="false">+'template from individuals'!F46+'template from individuals'!G46</f>
        <v>37</v>
      </c>
      <c r="I32" s="35" t="n">
        <f aca="false">+'template from individuals'!H46+'template from individuals'!I46</f>
        <v>36</v>
      </c>
      <c r="J32" s="80" t="n">
        <f aca="false">+'WE 2-1 EOL Data'!B12+'WE 2-1 EOL Data'!B35</f>
        <v>19</v>
      </c>
      <c r="K32" s="80" t="n">
        <f aca="false">+'WE 2-8 EOL Data'!B12+'WE 2-8 EOL Data'!B35</f>
        <v>24</v>
      </c>
      <c r="L32" s="80" t="n">
        <f aca="false">+'WE 2-15 EOL Data'!$B12+'WE 2-15 EOL Data'!$B35</f>
        <v>39</v>
      </c>
      <c r="M32" s="80" t="n">
        <f aca="false">+'WE 2-22 EOL Data'!$B12+'WE 2-22 EOL Data'!$B35</f>
        <v>24</v>
      </c>
      <c r="N32" s="80" t="n">
        <f aca="false">+'WE 2-28 EOL Data'!B12+'WE 2-28 EOL Data'!B35</f>
        <v>18</v>
      </c>
      <c r="O32" s="80" t="n">
        <f aca="false">+'WE 3-7 EOL Data'!B12+'WE 3-7 EOL Data'!B35</f>
        <v>22</v>
      </c>
      <c r="P32" s="80" t="n">
        <f aca="false">+'WE 3-14 EOL Data'!B12+'WE 3-14 EOL Data'!B35</f>
        <v>11</v>
      </c>
      <c r="Q32" s="80" t="n">
        <f aca="false">+Q33+Q34</f>
        <v>17</v>
      </c>
      <c r="R32" s="80" t="n">
        <f aca="false">+R33+R34</f>
        <v>7</v>
      </c>
      <c r="S32" s="80" t="n">
        <f aca="false">+S33+S34</f>
        <v>10</v>
      </c>
      <c r="T32" s="80" t="n">
        <f aca="false">+T33+T34</f>
        <v>9</v>
      </c>
      <c r="U32" s="80" t="n">
        <f aca="false">+U33+U34</f>
        <v>3</v>
      </c>
      <c r="V32" s="80" t="n">
        <f aca="false">+V33+V34</f>
        <v>22</v>
      </c>
      <c r="W32" s="80" t="n">
        <f aca="false">+W33+W34</f>
        <v>16</v>
      </c>
      <c r="X32" s="80" t="n">
        <f aca="false">+X33+X34</f>
        <v>24</v>
      </c>
      <c r="Y32" s="80" t="n">
        <f aca="false">+Y33+Y34</f>
        <v>26</v>
      </c>
      <c r="Z32" s="80" t="n">
        <f aca="false">+Z33+Z34</f>
        <v>36</v>
      </c>
      <c r="AA32" s="80" t="n">
        <f aca="false">+AA33+AA34</f>
        <v>15</v>
      </c>
      <c r="AC32" s="81" t="s">
        <v>105</v>
      </c>
    </row>
    <row r="33" customFormat="false" ht="12.75" hidden="false" customHeight="false" outlineLevel="0" collapsed="false">
      <c r="E33" s="82" t="s">
        <v>87</v>
      </c>
      <c r="J33" s="80"/>
      <c r="K33" s="80" t="n">
        <f aca="false">+'WE 2-8 EOL Data'!B35</f>
        <v>11</v>
      </c>
      <c r="L33" s="80" t="n">
        <f aca="false">+'WE 2-15 EOL Data'!B35</f>
        <v>29</v>
      </c>
      <c r="M33" s="80" t="n">
        <f aca="false">+'WE 2-22 EOL Data'!B35</f>
        <v>23</v>
      </c>
      <c r="N33" s="80" t="n">
        <f aca="false">+'WE 2-28 EOL Data'!B35</f>
        <v>14</v>
      </c>
      <c r="O33" s="80" t="n">
        <f aca="false">+'WE 3-7 EOL Data'!B35</f>
        <v>15</v>
      </c>
      <c r="P33" s="80" t="n">
        <f aca="false">+'WE 3-14 EOL Data'!B35</f>
        <v>9</v>
      </c>
      <c r="Q33" s="80" t="n">
        <f aca="false">+'WE 3-21 EOL Data'!B35</f>
        <v>12</v>
      </c>
      <c r="R33" s="80" t="n">
        <f aca="false">+'WE 3-28 EOL Data'!B35</f>
        <v>6</v>
      </c>
      <c r="S33" s="80" t="n">
        <f aca="false">+'WE 4-4 EOL Data'!B35</f>
        <v>10</v>
      </c>
      <c r="T33" s="80" t="n">
        <f aca="false">+'WE 4-11 EOL Data'!B35</f>
        <v>5</v>
      </c>
      <c r="U33" s="80" t="n">
        <f aca="false">+'WE 4-18 EOL Data'!B35</f>
        <v>3</v>
      </c>
      <c r="V33" s="80" t="n">
        <f aca="false">+'WE 4-25 EOL Data'!B35</f>
        <v>7</v>
      </c>
      <c r="W33" s="80" t="n">
        <f aca="false">+'WE 5-2 EOL Data'!B35</f>
        <v>8</v>
      </c>
      <c r="X33" s="80" t="n">
        <f aca="false">+'WE 5-9 EOL Data'!B35</f>
        <v>9</v>
      </c>
      <c r="Y33" s="80" t="n">
        <f aca="false">+'WE 5-16 EOL Data'!B35</f>
        <v>10</v>
      </c>
      <c r="Z33" s="80" t="n">
        <f aca="false">+'WE 5-23 EOL Data'!B34</f>
        <v>18</v>
      </c>
      <c r="AA33" s="80" t="n">
        <f aca="false">+'WE 5-30 EOL Data'!B34</f>
        <v>4</v>
      </c>
      <c r="AC33" s="81"/>
    </row>
    <row r="34" customFormat="false" ht="12.75" hidden="false" customHeight="false" outlineLevel="0" collapsed="false">
      <c r="E34" s="82" t="s">
        <v>88</v>
      </c>
      <c r="J34" s="80"/>
      <c r="K34" s="80" t="n">
        <f aca="false">+'WE 2-8 EOL Data'!B12</f>
        <v>13</v>
      </c>
      <c r="L34" s="80" t="n">
        <f aca="false">+'WE 2-15 EOL Data'!B12</f>
        <v>10</v>
      </c>
      <c r="M34" s="80" t="n">
        <f aca="false">+'WE 2-22 EOL Data'!B12</f>
        <v>1</v>
      </c>
      <c r="N34" s="80" t="n">
        <f aca="false">+'WE 2-28 EOL Data'!B12</f>
        <v>4</v>
      </c>
      <c r="O34" s="80" t="n">
        <f aca="false">+'WE 3-7 EOL Data'!B12</f>
        <v>7</v>
      </c>
      <c r="P34" s="80" t="n">
        <f aca="false">+'WE 3-14 EOL Data'!B12</f>
        <v>2</v>
      </c>
      <c r="Q34" s="80" t="n">
        <f aca="false">+'WE 3-21 EOL Data'!B12</f>
        <v>5</v>
      </c>
      <c r="R34" s="80" t="n">
        <f aca="false">+'WE 3-28 EOL Data'!B12</f>
        <v>1</v>
      </c>
      <c r="S34" s="80" t="n">
        <f aca="false">+'WE 4-4 EOL Data'!B12</f>
        <v>0</v>
      </c>
      <c r="T34" s="80" t="n">
        <f aca="false">+'WE 4-11 EOL Data'!B12</f>
        <v>4</v>
      </c>
      <c r="U34" s="80" t="n">
        <f aca="false">+'WE 4-18 EOL Data'!B12</f>
        <v>0</v>
      </c>
      <c r="V34" s="80" t="n">
        <f aca="false">+'WE 4-25 EOL Data'!B12</f>
        <v>15</v>
      </c>
      <c r="W34" s="80" t="n">
        <f aca="false">+'WE 5-2 EOL Data'!B12</f>
        <v>8</v>
      </c>
      <c r="X34" s="80" t="n">
        <f aca="false">+'WE 5-9 EOL Data'!B12</f>
        <v>15</v>
      </c>
      <c r="Y34" s="80" t="n">
        <f aca="false">+'WE 5-16 EOL Data'!B12</f>
        <v>16</v>
      </c>
      <c r="Z34" s="80" t="n">
        <f aca="false">+'WE 5-23 EOL Data'!B12</f>
        <v>18</v>
      </c>
      <c r="AA34" s="80" t="n">
        <f aca="false">+'WE 5-30 EOL Data'!B12</f>
        <v>11</v>
      </c>
      <c r="AC34" s="81"/>
    </row>
    <row r="35" customFormat="false" ht="12.75" hidden="false" customHeight="false" outlineLevel="0" collapsed="false">
      <c r="A35" s="77" t="s">
        <v>106</v>
      </c>
      <c r="B35" s="0" t="n">
        <v>65</v>
      </c>
      <c r="E35" s="0" t="s">
        <v>33</v>
      </c>
      <c r="F35" s="0" t="n">
        <f aca="false">+'template from individuals'!B48+'template from individuals'!C48</f>
        <v>2</v>
      </c>
      <c r="G35" s="0" t="n">
        <f aca="false">+'template from individuals'!D48+'template from individuals'!E48</f>
        <v>2</v>
      </c>
      <c r="H35" s="0" t="n">
        <f aca="false">+'template from individuals'!F48+'template from individuals'!G48</f>
        <v>14</v>
      </c>
      <c r="I35" s="35" t="n">
        <f aca="false">+'template from individuals'!H48+'template from individuals'!I48</f>
        <v>13</v>
      </c>
      <c r="J35" s="80" t="n">
        <f aca="false">+'WE 2-1 EOL Data'!B14+'WE 2-1 EOL Data'!B37</f>
        <v>14</v>
      </c>
      <c r="K35" s="80" t="n">
        <f aca="false">+'WE 2-8 EOL Data'!B14+'WE 2-8 EOL Data'!B37</f>
        <v>33</v>
      </c>
      <c r="L35" s="80" t="n">
        <f aca="false">+'WE 2-15 EOL Data'!$B14+'WE 2-15 EOL Data'!$B37</f>
        <v>20</v>
      </c>
      <c r="M35" s="80" t="n">
        <f aca="false">+'WE 2-22 EOL Data'!$B14+'WE 2-22 EOL Data'!$B37</f>
        <v>6</v>
      </c>
      <c r="N35" s="80" t="n">
        <f aca="false">+'WE 2-28 EOL Data'!B14+'WE 2-28 EOL Data'!B37</f>
        <v>3</v>
      </c>
      <c r="O35" s="80" t="n">
        <f aca="false">+'WE 3-7 EOL Data'!B14+'WE 3-7 EOL Data'!B37</f>
        <v>3</v>
      </c>
      <c r="P35" s="80" t="n">
        <f aca="false">+'WE 3-14 EOL Data'!B14+'WE 3-14 EOL Data'!B37</f>
        <v>16</v>
      </c>
      <c r="Q35" s="80" t="n">
        <f aca="false">+Q36+Q37</f>
        <v>16</v>
      </c>
      <c r="R35" s="80" t="n">
        <f aca="false">+R36+R37</f>
        <v>23</v>
      </c>
      <c r="S35" s="80" t="n">
        <f aca="false">+S36+S37</f>
        <v>17</v>
      </c>
      <c r="T35" s="80" t="n">
        <f aca="false">+T36+T37</f>
        <v>25</v>
      </c>
      <c r="U35" s="80" t="n">
        <f aca="false">+U36+U37</f>
        <v>4</v>
      </c>
      <c r="V35" s="80" t="n">
        <f aca="false">+V36+V37</f>
        <v>17</v>
      </c>
      <c r="W35" s="80" t="n">
        <f aca="false">+W36+W37</f>
        <v>6</v>
      </c>
      <c r="X35" s="80" t="n">
        <f aca="false">+X36+X37</f>
        <v>14</v>
      </c>
      <c r="Y35" s="80" t="n">
        <f aca="false">+Y36+Y37</f>
        <v>16</v>
      </c>
      <c r="Z35" s="80" t="n">
        <f aca="false">+Z36+Z37</f>
        <v>17</v>
      </c>
      <c r="AA35" s="80" t="n">
        <f aca="false">+AA36+AA37</f>
        <v>6</v>
      </c>
      <c r="AC35" s="81" t="s">
        <v>107</v>
      </c>
    </row>
    <row r="36" customFormat="false" ht="12.75" hidden="false" customHeight="false" outlineLevel="0" collapsed="false">
      <c r="E36" s="82" t="s">
        <v>87</v>
      </c>
      <c r="J36" s="80"/>
      <c r="K36" s="80" t="n">
        <f aca="false">+'WE 2-8 EOL Data'!B37</f>
        <v>17</v>
      </c>
      <c r="L36" s="80" t="n">
        <f aca="false">+'WE 2-15 EOL Data'!B37</f>
        <v>12</v>
      </c>
      <c r="M36" s="80" t="n">
        <f aca="false">+'WE 2-22 EOL Data'!B37</f>
        <v>6</v>
      </c>
      <c r="N36" s="80" t="n">
        <f aca="false">+'WE 2-28 EOL Data'!B37</f>
        <v>3</v>
      </c>
      <c r="O36" s="80" t="n">
        <f aca="false">+'WE 3-7 EOL Data'!B37</f>
        <v>3</v>
      </c>
      <c r="P36" s="80" t="n">
        <f aca="false">+'WE 3-14 EOL Data'!B37</f>
        <v>7</v>
      </c>
      <c r="Q36" s="80" t="n">
        <f aca="false">+'WE 3-21 EOL Data'!B37</f>
        <v>14</v>
      </c>
      <c r="R36" s="80" t="n">
        <f aca="false">+'WE 3-28 EOL Data'!B14</f>
        <v>8</v>
      </c>
      <c r="S36" s="80" t="n">
        <f aca="false">+'WE 4-4 EOL Data'!B37</f>
        <v>9</v>
      </c>
      <c r="T36" s="80" t="n">
        <f aca="false">+'WE 4-11 EOL Data'!B37</f>
        <v>14</v>
      </c>
      <c r="U36" s="80" t="n">
        <f aca="false">+'WE 4-18 EOL Data'!B37</f>
        <v>2</v>
      </c>
      <c r="V36" s="80" t="n">
        <f aca="false">+'WE 4-25 EOL Data'!B37</f>
        <v>10</v>
      </c>
      <c r="W36" s="80" t="n">
        <f aca="false">+'WE 5-2 EOL Data'!B37</f>
        <v>5</v>
      </c>
      <c r="X36" s="80" t="n">
        <f aca="false">+'WE 5-9 EOL Data'!B37</f>
        <v>10</v>
      </c>
      <c r="Y36" s="80" t="n">
        <f aca="false">+'WE 5-16 EOL Data'!B37</f>
        <v>8</v>
      </c>
      <c r="Z36" s="80" t="n">
        <f aca="false">+'WE 5-23 EOL Data'!B36</f>
        <v>15</v>
      </c>
      <c r="AA36" s="80" t="n">
        <f aca="false">+'WE 5-30 EOL Data'!B36</f>
        <v>4</v>
      </c>
      <c r="AC36" s="81"/>
    </row>
    <row r="37" customFormat="false" ht="12.75" hidden="false" customHeight="false" outlineLevel="0" collapsed="false">
      <c r="E37" s="82" t="s">
        <v>88</v>
      </c>
      <c r="J37" s="80"/>
      <c r="K37" s="80" t="n">
        <f aca="false">+'WE 2-8 EOL Data'!B14</f>
        <v>16</v>
      </c>
      <c r="L37" s="80" t="n">
        <f aca="false">+'WE 2-15 EOL Data'!B14</f>
        <v>8</v>
      </c>
      <c r="M37" s="80" t="n">
        <f aca="false">+'WE 2-22 EOL Data'!B14</f>
        <v>0</v>
      </c>
      <c r="N37" s="80" t="n">
        <f aca="false">+'WE 2-28 EOL Data'!B14</f>
        <v>0</v>
      </c>
      <c r="O37" s="80" t="n">
        <f aca="false">+'WE 3-7 EOL Data'!B14</f>
        <v>0</v>
      </c>
      <c r="P37" s="80" t="n">
        <f aca="false">+'WE 3-14 EOL Data'!B14</f>
        <v>9</v>
      </c>
      <c r="Q37" s="80" t="n">
        <f aca="false">+'WE 3-21 EOL Data'!B14</f>
        <v>2</v>
      </c>
      <c r="R37" s="80" t="n">
        <f aca="false">+'WE 3-28 EOL Data'!B37</f>
        <v>15</v>
      </c>
      <c r="S37" s="80" t="n">
        <f aca="false">+'WE 4-4 EOL Data'!B14</f>
        <v>8</v>
      </c>
      <c r="T37" s="80" t="n">
        <f aca="false">+'WE 4-11 EOL Data'!B14</f>
        <v>11</v>
      </c>
      <c r="U37" s="80" t="n">
        <f aca="false">+'WE 4-18 EOL Data'!B14</f>
        <v>2</v>
      </c>
      <c r="V37" s="80" t="n">
        <f aca="false">+'WE 4-25 EOL Data'!B14</f>
        <v>7</v>
      </c>
      <c r="W37" s="80" t="n">
        <f aca="false">+'WE 5-2 EOL Data'!B14</f>
        <v>1</v>
      </c>
      <c r="X37" s="80" t="n">
        <f aca="false">+'WE 5-9 EOL Data'!B14</f>
        <v>4</v>
      </c>
      <c r="Y37" s="80" t="n">
        <f aca="false">+'WE 5-16 EOL Data'!B14</f>
        <v>8</v>
      </c>
      <c r="Z37" s="80" t="n">
        <f aca="false">+'WE 5-23 EOL Data'!B14</f>
        <v>2</v>
      </c>
      <c r="AA37" s="80" t="n">
        <f aca="false">+'WE 5-30 EOL Data'!B14</f>
        <v>2</v>
      </c>
      <c r="AC37" s="81"/>
    </row>
    <row r="38" customFormat="false" ht="12.75" hidden="false" customHeight="false" outlineLevel="0" collapsed="false">
      <c r="E38" s="0" t="s">
        <v>91</v>
      </c>
      <c r="J38" s="80"/>
      <c r="K38" s="83" t="n">
        <f aca="false">+(K37+K34+K31+K28+K25)/(K35+K32+K29+K26+K23)</f>
        <v>0.493538630739621</v>
      </c>
      <c r="L38" s="83" t="n">
        <f aca="false">+(L37+L34+L31+L28+L25)/(L35+L32+L29+L26+L23)</f>
        <v>0.447383073496659</v>
      </c>
      <c r="M38" s="83" t="n">
        <f aca="false">+(M37+M34+M31+M28+M25)/(M35+M32+M29+M26+M23)</f>
        <v>0.465667166416792</v>
      </c>
      <c r="N38" s="83" t="n">
        <f aca="false">+(N37+N34+N31+N28+N25)/(N35+N32+N29+N26+N23)</f>
        <v>0.43658357771261</v>
      </c>
      <c r="O38" s="83" t="n">
        <f aca="false">+(O37+O34+O31+O28+O25)/(O35+O32+O29+O26+O23)</f>
        <v>0.407374100719425</v>
      </c>
      <c r="P38" s="83" t="n">
        <f aca="false">+(P37+P34+P31+P28+P25)/(P35+P32+P29+P26+P23)</f>
        <v>0.366120218579235</v>
      </c>
      <c r="Q38" s="83" t="n">
        <f aca="false">+(Q37+Q34+Q31+Q28+Q25)/(Q35+Q32+Q29+Q26+Q23)</f>
        <v>0.404405016824717</v>
      </c>
      <c r="R38" s="83" t="n">
        <f aca="false">+(R37+R34+R31+R28+R25)/(R35+R32+R29+R26+R23)</f>
        <v>0.318354245695944</v>
      </c>
      <c r="S38" s="83" t="n">
        <f aca="false">+(S37+S34+S31+S28+S25)/(S35+S32+S29+S26+S23)</f>
        <v>0.319351230425056</v>
      </c>
      <c r="T38" s="83" t="n">
        <f aca="false">+(T37+T34+T31+T28+T25)/(T35+T32+T29+T26+T23)</f>
        <v>0.297470283450168</v>
      </c>
      <c r="U38" s="83" t="n">
        <f aca="false">+(U37+U34+U31+U28+U25)/(U35+U32+U29+U26+U23)</f>
        <v>0.317208271787297</v>
      </c>
      <c r="V38" s="83" t="n">
        <f aca="false">+(V37+V34+V31+V28+V25)/(V35+V32+V29+V26+V23)</f>
        <v>0.294282511210762</v>
      </c>
      <c r="W38" s="83" t="n">
        <f aca="false">+(W37+W34+W31+W28+W25)/(W35+W32+W29+W26+W23)</f>
        <v>0.31459987782529</v>
      </c>
      <c r="X38" s="83" t="n">
        <f aca="false">+(X37+X34+X31+X28+X25)/(X35+X32+X29+X26+X23)</f>
        <v>0.427576090942428</v>
      </c>
      <c r="Y38" s="83" t="n">
        <f aca="false">+(Y37+Y34+Y31+Y28+Y25)/(Y35+Y32+Y29+Y26+Y23)</f>
        <v>0.390911739003787</v>
      </c>
      <c r="Z38" s="83" t="n">
        <f aca="false">+(Z37+Z34+Z31+Z28+Z25)/(Z35+Z32+Z29+Z26+Z23)</f>
        <v>0.394912324030625</v>
      </c>
      <c r="AA38" s="83" t="n">
        <f aca="false">+(AA37+AA34+AA31+AA28+AA25)/(AA35+AA32+AA29+AA26+AA23)</f>
        <v>0.434040047114252</v>
      </c>
      <c r="AC38" s="81"/>
    </row>
    <row r="39" customFormat="false" ht="12.75" hidden="false" customHeight="false" outlineLevel="0" collapsed="false">
      <c r="E39" s="84" t="s">
        <v>21</v>
      </c>
      <c r="J39" s="80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C39" s="81"/>
    </row>
    <row r="40" customFormat="false" ht="12.75" hidden="false" customHeight="false" outlineLevel="0" collapsed="false">
      <c r="E40" s="84" t="s">
        <v>92</v>
      </c>
      <c r="J40" s="80"/>
      <c r="K40" s="85" t="n">
        <f aca="false">+K36+K33+K30+K27+K24</f>
        <v>1842</v>
      </c>
      <c r="L40" s="85" t="n">
        <f aca="false">+L36+L33+L30+L27+L24</f>
        <v>1985</v>
      </c>
      <c r="M40" s="85" t="n">
        <f aca="false">+M36+M33+M30+M27+M24</f>
        <v>1782</v>
      </c>
      <c r="N40" s="85" t="n">
        <f aca="false">+N36+N33+N30+N27+N24</f>
        <v>1537</v>
      </c>
      <c r="O40" s="85" t="n">
        <f aca="false">+O36+O33+O30+O27+O24</f>
        <v>1977</v>
      </c>
      <c r="P40" s="85" t="n">
        <f aca="false">+P36+P33+P30+P27+P24</f>
        <v>2320</v>
      </c>
      <c r="Q40" s="85" t="n">
        <f aca="false">+Q36+Q33+Q30+Q27+Q24</f>
        <v>1947</v>
      </c>
      <c r="R40" s="85" t="n">
        <f aca="false">+R36+R33+R30+R27+R24</f>
        <v>2336</v>
      </c>
      <c r="S40" s="85" t="n">
        <f aca="false">+S36+S33+S30+S27+S24</f>
        <v>2434</v>
      </c>
      <c r="T40" s="85" t="n">
        <f aca="false">+T36+T33+T30+T27+T24</f>
        <v>2305</v>
      </c>
      <c r="U40" s="85" t="n">
        <f aca="false">+U36+U33+U30+U27+U24</f>
        <v>1849</v>
      </c>
      <c r="V40" s="85" t="n">
        <f aca="false">+V36+V33+V30+V27+V24</f>
        <v>2518</v>
      </c>
      <c r="W40" s="85" t="n">
        <f aca="false">+W36+W33+W30+W27+W24</f>
        <v>2244</v>
      </c>
      <c r="X40" s="85" t="n">
        <f aca="false">+X36+X33+X30+X27+X24</f>
        <v>1561</v>
      </c>
      <c r="Y40" s="85" t="n">
        <f aca="false">+Y36+Y33+Y30+Y27+Y24</f>
        <v>2091</v>
      </c>
      <c r="Z40" s="85" t="n">
        <f aca="false">+Z36+Z33+Z30+Z27+Z24</f>
        <v>2450</v>
      </c>
      <c r="AA40" s="85" t="n">
        <f aca="false">+AA36+AA33+AA30+AA27+AA24</f>
        <v>1922</v>
      </c>
      <c r="AC40" s="81"/>
    </row>
    <row r="41" customFormat="false" ht="12.75" hidden="false" customHeight="false" outlineLevel="0" collapsed="false">
      <c r="E41" s="84" t="s">
        <v>93</v>
      </c>
      <c r="J41" s="80"/>
      <c r="K41" s="85" t="n">
        <f aca="false">+K37+K34+K31+K28+K25</f>
        <v>1795</v>
      </c>
      <c r="L41" s="85" t="n">
        <f aca="false">+L37+L34+L31+L28+L25</f>
        <v>1607</v>
      </c>
      <c r="M41" s="85" t="n">
        <f aca="false">+M37+M34+M31+M28+M25</f>
        <v>1553</v>
      </c>
      <c r="N41" s="85" t="n">
        <f aca="false">+N37+N34+N31+N28+N25</f>
        <v>1191</v>
      </c>
      <c r="O41" s="85" t="n">
        <f aca="false">+O37+O34+O31+O28+O25</f>
        <v>1359</v>
      </c>
      <c r="P41" s="85" t="n">
        <f aca="false">+P37+P34+P31+P28+P25</f>
        <v>1340</v>
      </c>
      <c r="Q41" s="85" t="n">
        <f aca="false">+Q37+Q34+Q31+Q28+Q25</f>
        <v>1322</v>
      </c>
      <c r="R41" s="85" t="n">
        <f aca="false">+R37+R34+R31+R28+R25</f>
        <v>1091</v>
      </c>
      <c r="S41" s="85" t="n">
        <f aca="false">+S37+S34+S31+S28+S25</f>
        <v>1142</v>
      </c>
      <c r="T41" s="85" t="n">
        <f aca="false">+T37+T34+T31+T28+T25</f>
        <v>976</v>
      </c>
      <c r="U41" s="85" t="n">
        <f aca="false">+U37+U34+U31+U28+U25</f>
        <v>859</v>
      </c>
      <c r="V41" s="85" t="n">
        <f aca="false">+V37+V34+V31+V28+V25</f>
        <v>1050</v>
      </c>
      <c r="W41" s="85" t="n">
        <f aca="false">+W37+W34+W31+W28+W25</f>
        <v>1030</v>
      </c>
      <c r="X41" s="85" t="n">
        <f aca="false">+X37+X34+X31+X28+X25</f>
        <v>1166</v>
      </c>
      <c r="Y41" s="85" t="n">
        <f aca="false">+Y37+Y34+Y31+Y28+Y25</f>
        <v>1342</v>
      </c>
      <c r="Z41" s="85" t="n">
        <f aca="false">+Z37+Z34+Z31+Z28+Z25</f>
        <v>1599</v>
      </c>
      <c r="AA41" s="85" t="n">
        <f aca="false">+AA37+AA34+AA31+AA28+AA25</f>
        <v>1474</v>
      </c>
      <c r="AC41" s="81"/>
    </row>
    <row r="42" customFormat="false" ht="15" hidden="false" customHeight="false" outlineLevel="0" collapsed="false">
      <c r="A42" s="77" t="s">
        <v>33</v>
      </c>
      <c r="B42" s="0" t="n">
        <v>10</v>
      </c>
      <c r="F42" s="79" t="s">
        <v>63</v>
      </c>
      <c r="G42" s="79" t="s">
        <v>64</v>
      </c>
      <c r="H42" s="79" t="s">
        <v>65</v>
      </c>
      <c r="I42" s="79" t="s">
        <v>66</v>
      </c>
      <c r="J42" s="79" t="s">
        <v>67</v>
      </c>
      <c r="K42" s="79" t="str">
        <f aca="false">+K22</f>
        <v>2/2 - 2/8</v>
      </c>
      <c r="L42" s="79" t="str">
        <f aca="false">+L22</f>
        <v>2/9 - 2/15</v>
      </c>
      <c r="M42" s="79" t="str">
        <f aca="false">+M22</f>
        <v>2/16 - 2/22</v>
      </c>
      <c r="N42" s="79" t="str">
        <f aca="false">+N22</f>
        <v>2/23 - 2/28</v>
      </c>
      <c r="O42" s="79" t="str">
        <f aca="false">+O22</f>
        <v>3/1 - 3/7</v>
      </c>
      <c r="P42" s="79" t="str">
        <f aca="false">+P22</f>
        <v>3/8 - 3/14</v>
      </c>
      <c r="Q42" s="79" t="str">
        <f aca="false">+Q22</f>
        <v>3/15 - 3/21</v>
      </c>
      <c r="R42" s="79" t="str">
        <f aca="false">+R22</f>
        <v>3/22 - 3/28</v>
      </c>
      <c r="S42" s="79" t="str">
        <f aca="false">+S22</f>
        <v>3/29 - 4/4</v>
      </c>
      <c r="T42" s="79" t="str">
        <f aca="false">+T22</f>
        <v>4/5 - 4/11</v>
      </c>
      <c r="U42" s="79" t="str">
        <f aca="false">+U22</f>
        <v>4/12 - 4/18</v>
      </c>
      <c r="V42" s="79" t="str">
        <f aca="false">+V22</f>
        <v>4/19 - 4/25</v>
      </c>
      <c r="W42" s="79" t="str">
        <f aca="false">+W22</f>
        <v>4/26 - 5/2</v>
      </c>
      <c r="X42" s="79" t="str">
        <f aca="false">+X22</f>
        <v>5/3 - 5/9</v>
      </c>
      <c r="Y42" s="79" t="str">
        <f aca="false">+Y22</f>
        <v>5/10 - 5/16</v>
      </c>
      <c r="Z42" s="79" t="str">
        <f aca="false">+Z22</f>
        <v>5/17 - 5/23</v>
      </c>
      <c r="AA42" s="79" t="s">
        <v>84</v>
      </c>
      <c r="AC42" s="86"/>
    </row>
    <row r="43" customFormat="false" ht="12.75" hidden="false" customHeight="false" outlineLevel="0" collapsed="false">
      <c r="E43" s="0" t="s">
        <v>108</v>
      </c>
      <c r="F43" s="0" t="n">
        <f aca="false">+'template from individuals'!B56+'template from individuals'!C56</f>
        <v>5</v>
      </c>
      <c r="G43" s="0" t="n">
        <f aca="false">+'template from individuals'!D56+'template from individuals'!E56</f>
        <v>17</v>
      </c>
      <c r="H43" s="0" t="n">
        <f aca="false">+'template from individuals'!F56+'template from individuals'!G56</f>
        <v>9</v>
      </c>
      <c r="I43" s="35" t="n">
        <f aca="false">+'template from individuals'!H56+'template from individuals'!I56</f>
        <v>24</v>
      </c>
      <c r="J43" s="80" t="n">
        <f aca="false">+'EIM New Deals'!J7+'EIM New Deals'!K7+'EIM New Deals'!J14+'EIM New Deals'!K14</f>
        <v>4</v>
      </c>
      <c r="K43" s="80" t="n">
        <f aca="false">+'EIM New Deals'!L7+'EIM New Deals'!M7+'EIM New Deals'!L14+'EIM New Deals'!M14</f>
        <v>12</v>
      </c>
      <c r="L43" s="80" t="n">
        <f aca="false">+'EIM New Deals'!N$7+'EIM New Deals'!O$7+'EIM New Deals'!N$14+'EIM New Deals'!O$14</f>
        <v>30</v>
      </c>
      <c r="M43" s="80" t="n">
        <f aca="false">+'EIM New Deals'!P$7+'EIM New Deals'!Q$7+'EIM New Deals'!P$14+'EIM New Deals'!Q$14</f>
        <v>17</v>
      </c>
      <c r="N43" s="80" t="n">
        <f aca="false">+'EIM New Deals'!S7+'EIM New Deals'!R7+'EIM New Deals'!R14+'EIM New Deals'!S14</f>
        <v>18</v>
      </c>
      <c r="O43" s="80" t="n">
        <f aca="false">+'EIM New Deals'!T7+'EIM New Deals'!U7+'EIM New Deals'!T14+'EIM New Deals'!U14</f>
        <v>20</v>
      </c>
      <c r="P43" s="80" t="n">
        <f aca="false">+'EIM New Deals'!V7+'EIM New Deals'!W7+'EIM New Deals'!V14+'EIM New Deals'!W14</f>
        <v>46</v>
      </c>
      <c r="Q43" s="80" t="n">
        <f aca="false">+Q44+Q45</f>
        <v>25</v>
      </c>
      <c r="R43" s="80" t="n">
        <f aca="false">+R44+R45</f>
        <v>19</v>
      </c>
      <c r="S43" s="80" t="n">
        <f aca="false">+S44+S45</f>
        <v>25</v>
      </c>
      <c r="T43" s="80" t="n">
        <f aca="false">+T44+T45</f>
        <v>42</v>
      </c>
      <c r="U43" s="80" t="n">
        <f aca="false">+U44+U45</f>
        <v>48</v>
      </c>
      <c r="V43" s="80" t="n">
        <f aca="false">+V44+V45</f>
        <v>24</v>
      </c>
      <c r="W43" s="80" t="n">
        <f aca="false">+W44+W45</f>
        <v>18</v>
      </c>
      <c r="X43" s="80" t="n">
        <f aca="false">+X44+X45</f>
        <v>25</v>
      </c>
      <c r="Y43" s="80" t="n">
        <f aca="false">+Y44+Y45</f>
        <v>53</v>
      </c>
      <c r="Z43" s="80" t="n">
        <f aca="false">+Z44+Z45</f>
        <v>77</v>
      </c>
      <c r="AA43" s="80" t="n">
        <f aca="false">+AA44+AA45</f>
        <v>19</v>
      </c>
      <c r="AC43" s="81" t="s">
        <v>100</v>
      </c>
    </row>
    <row r="44" customFormat="false" ht="12.75" hidden="false" customHeight="false" outlineLevel="0" collapsed="false">
      <c r="E44" s="82" t="s">
        <v>87</v>
      </c>
      <c r="J44" s="80"/>
      <c r="K44" s="80" t="n">
        <f aca="false">+'EIM New Deals'!M7+'EIM New Deals'!M14</f>
        <v>12</v>
      </c>
      <c r="L44" s="80" t="n">
        <f aca="false">+'EIM New Deals'!O7+'EIM New Deals'!O14</f>
        <v>30</v>
      </c>
      <c r="M44" s="80" t="n">
        <f aca="false">+'EIM New Deals'!Q7+'EIM New Deals'!Q14</f>
        <v>17</v>
      </c>
      <c r="N44" s="80" t="n">
        <f aca="false">+'EIM New Deals'!S7+'EIM New Deals'!S14</f>
        <v>18</v>
      </c>
      <c r="O44" s="80" t="n">
        <f aca="false">+'EIM New Deals'!U7+'EIM New Deals'!U14</f>
        <v>20</v>
      </c>
      <c r="P44" s="80" t="n">
        <f aca="false">+'EIM New Deals'!W7+'EIM New Deals'!W14</f>
        <v>44</v>
      </c>
      <c r="Q44" s="80" t="n">
        <f aca="false">+'EIM New Deals'!Y7+'EIM New Deals'!Y14</f>
        <v>24</v>
      </c>
      <c r="R44" s="80" t="n">
        <f aca="false">+'EIM New Deals'!AA7+'EIM New Deals'!AA14</f>
        <v>9</v>
      </c>
      <c r="S44" s="80" t="n">
        <f aca="false">+'EIM New Deals'!AC7+'EIM New Deals'!AC14</f>
        <v>24</v>
      </c>
      <c r="T44" s="80" t="n">
        <f aca="false">+'EIM New Deals'!AE7+'EIM New Deals'!AE14</f>
        <v>37</v>
      </c>
      <c r="U44" s="80" t="n">
        <f aca="false">+'EIM New Deals'!AG7+'EIM New Deals'!AG14</f>
        <v>45</v>
      </c>
      <c r="V44" s="80" t="n">
        <f aca="false">+'EIM New Deals'!AI7+'EIM New Deals'!AI14</f>
        <v>23</v>
      </c>
      <c r="W44" s="80" t="n">
        <f aca="false">+'EIM New Deals'!AK7+'EIM New Deals'!AK14</f>
        <v>17</v>
      </c>
      <c r="X44" s="80" t="n">
        <f aca="false">+'EIM New Deals'!AM7+'EIM New Deals'!AM14</f>
        <v>22</v>
      </c>
      <c r="Y44" s="80" t="n">
        <f aca="false">+'EIM New Deals'!AO7+'EIM New Deals'!AO14</f>
        <v>52</v>
      </c>
      <c r="Z44" s="80" t="n">
        <f aca="false">+'EIM New Deals'!AQ7+'EIM New Deals'!AQ14</f>
        <v>77</v>
      </c>
      <c r="AA44" s="80" t="n">
        <f aca="false">+'EIM New Deals'!AS7+'EIM New Deals'!AS14</f>
        <v>18</v>
      </c>
      <c r="AC44" s="81"/>
    </row>
    <row r="45" customFormat="false" ht="12.75" hidden="false" customHeight="false" outlineLevel="0" collapsed="false">
      <c r="E45" s="82" t="s">
        <v>88</v>
      </c>
      <c r="J45" s="80"/>
      <c r="K45" s="80" t="n">
        <f aca="false">+'EIM New Deals'!L7+'EIM New Deals'!L14</f>
        <v>0</v>
      </c>
      <c r="L45" s="80" t="n">
        <f aca="false">+'EIM New Deals'!N7+'EIM New Deals'!N14</f>
        <v>0</v>
      </c>
      <c r="M45" s="80" t="n">
        <f aca="false">+'EIM New Deals'!P7+'EIM New Deals'!P14</f>
        <v>0</v>
      </c>
      <c r="N45" s="80" t="n">
        <f aca="false">+'EIM New Deals'!R7+'EIM New Deals'!R14</f>
        <v>0</v>
      </c>
      <c r="O45" s="80" t="n">
        <f aca="false">+'EIM New Deals'!T7+'EIM New Deals'!T14</f>
        <v>0</v>
      </c>
      <c r="P45" s="80" t="n">
        <f aca="false">+'EIM New Deals'!V7+'EIM New Deals'!V14</f>
        <v>2</v>
      </c>
      <c r="Q45" s="80" t="n">
        <f aca="false">+'EIM New Deals'!X7+'EIM New Deals'!X14</f>
        <v>1</v>
      </c>
      <c r="R45" s="80" t="n">
        <f aca="false">+'EIM New Deals'!Z7+'EIM New Deals'!Z14</f>
        <v>10</v>
      </c>
      <c r="S45" s="80" t="n">
        <f aca="false">+'EIM New Deals'!AB7+'EIM New Deals'!AB14</f>
        <v>1</v>
      </c>
      <c r="T45" s="80" t="n">
        <f aca="false">+'EIM New Deals'!AD7+'EIM New Deals'!AD14</f>
        <v>5</v>
      </c>
      <c r="U45" s="80" t="n">
        <f aca="false">+'EIM New Deals'!AF7+'EIM New Deals'!AF14</f>
        <v>3</v>
      </c>
      <c r="V45" s="80" t="n">
        <f aca="false">+'EIM New Deals'!AH7+'EIM New Deals'!AH14</f>
        <v>1</v>
      </c>
      <c r="W45" s="80" t="n">
        <f aca="false">+'EIM New Deals'!AJ7+'EIM New Deals'!AJ14</f>
        <v>1</v>
      </c>
      <c r="X45" s="80" t="n">
        <f aca="false">+'EIM New Deals'!AL7+'EIM New Deals'!AL14</f>
        <v>3</v>
      </c>
      <c r="Y45" s="80" t="n">
        <f aca="false">+'EIM New Deals'!AN7+'EIM New Deals'!AN14</f>
        <v>1</v>
      </c>
      <c r="Z45" s="80" t="n">
        <f aca="false">+'EIM New Deals'!AP7+'EIM New Deals'!AP14</f>
        <v>0</v>
      </c>
      <c r="AA45" s="80" t="n">
        <f aca="false">+'EIM New Deals'!AR7+'EIM New Deals'!AR14</f>
        <v>1</v>
      </c>
      <c r="AC45" s="81"/>
    </row>
    <row r="46" customFormat="false" ht="12.75" hidden="false" customHeight="false" outlineLevel="0" collapsed="false">
      <c r="A46" s="77" t="s">
        <v>109</v>
      </c>
      <c r="B46" s="0" t="n">
        <v>0</v>
      </c>
      <c r="E46" s="0" t="s">
        <v>34</v>
      </c>
      <c r="F46" s="0" t="n">
        <f aca="false">+'template from individuals'!B57+'template from individuals'!C57</f>
        <v>6</v>
      </c>
      <c r="G46" s="0" t="n">
        <f aca="false">+'template from individuals'!D57+'template from individuals'!E57</f>
        <v>17</v>
      </c>
      <c r="H46" s="0" t="n">
        <f aca="false">+'template from individuals'!F57+'template from individuals'!G57</f>
        <v>24</v>
      </c>
      <c r="I46" s="35" t="n">
        <f aca="false">+'template from individuals'!H57+'template from individuals'!I57</f>
        <v>19</v>
      </c>
      <c r="J46" s="80" t="n">
        <f aca="false">+'EIM New Deals'!J8+'EIM New Deals'!K8+'EIM New Deals'!J15+'EIM New Deals'!K15</f>
        <v>29</v>
      </c>
      <c r="K46" s="80" t="n">
        <f aca="false">+'EIM New Deals'!L8+'EIM New Deals'!M8+'EIM New Deals'!L15+'EIM New Deals'!M15</f>
        <v>17</v>
      </c>
      <c r="L46" s="80" t="n">
        <f aca="false">+'EIM New Deals'!$N8+'EIM New Deals'!$O8+'EIM New Deals'!$N15+'EIM New Deals'!$O15</f>
        <v>15</v>
      </c>
      <c r="M46" s="80" t="n">
        <f aca="false">+'EIM New Deals'!P8+'EIM New Deals'!Q8+'EIM New Deals'!P15+'EIM New Deals'!Q15</f>
        <v>23</v>
      </c>
      <c r="N46" s="80" t="n">
        <f aca="false">+'EIM New Deals'!R8+'EIM New Deals'!S8+'EIM New Deals'!R15+'EIM New Deals'!S15</f>
        <v>57</v>
      </c>
      <c r="O46" s="80" t="n">
        <f aca="false">+'EIM New Deals'!T8+'EIM New Deals'!U8+'EIM New Deals'!T15+'EIM New Deals'!U15</f>
        <v>32</v>
      </c>
      <c r="P46" s="80" t="n">
        <f aca="false">+'EIM New Deals'!V8+'EIM New Deals'!W8+'EIM New Deals'!V15+'EIM New Deals'!W15</f>
        <v>26</v>
      </c>
      <c r="Q46" s="80" t="n">
        <f aca="false">+Q47+Q48</f>
        <v>40</v>
      </c>
      <c r="R46" s="80" t="n">
        <f aca="false">+R47+R48</f>
        <v>32</v>
      </c>
      <c r="S46" s="80" t="n">
        <f aca="false">+S47+S48</f>
        <v>30</v>
      </c>
      <c r="T46" s="80" t="n">
        <f aca="false">+T47+T48</f>
        <v>30</v>
      </c>
      <c r="U46" s="80" t="n">
        <f aca="false">+U47+U48</f>
        <v>25</v>
      </c>
      <c r="V46" s="80" t="n">
        <f aca="false">+V47+V48</f>
        <v>17</v>
      </c>
      <c r="W46" s="80" t="n">
        <f aca="false">+W47+W48</f>
        <v>27</v>
      </c>
      <c r="X46" s="80" t="n">
        <f aca="false">+X47+X48</f>
        <v>25</v>
      </c>
      <c r="Y46" s="80" t="n">
        <f aca="false">+Y47+Y48</f>
        <v>23</v>
      </c>
      <c r="Z46" s="80" t="n">
        <f aca="false">+Z47+Z48</f>
        <v>26</v>
      </c>
      <c r="AA46" s="80" t="n">
        <f aca="false">+AA47+AA48</f>
        <v>22</v>
      </c>
      <c r="AC46" s="81" t="s">
        <v>100</v>
      </c>
    </row>
    <row r="47" customFormat="false" ht="12.75" hidden="false" customHeight="false" outlineLevel="0" collapsed="false">
      <c r="E47" s="82" t="s">
        <v>87</v>
      </c>
      <c r="J47" s="80"/>
      <c r="K47" s="80" t="n">
        <f aca="false">+'EIM New Deals'!M8+'EIM New Deals'!M15</f>
        <v>13</v>
      </c>
      <c r="L47" s="80" t="n">
        <f aca="false">+'EIM New Deals'!O8+'EIM New Deals'!O15</f>
        <v>12</v>
      </c>
      <c r="M47" s="80" t="n">
        <f aca="false">+'EIM New Deals'!Q8+'EIM New Deals'!Q15</f>
        <v>20</v>
      </c>
      <c r="N47" s="80" t="n">
        <f aca="false">+'EIM New Deals'!S8+'EIM New Deals'!S15</f>
        <v>52</v>
      </c>
      <c r="O47" s="80" t="n">
        <f aca="false">+'EIM New Deals'!U8+'EIM New Deals'!U15</f>
        <v>28</v>
      </c>
      <c r="P47" s="80" t="n">
        <f aca="false">+'EIM New Deals'!W8+'EIM New Deals'!W15</f>
        <v>17</v>
      </c>
      <c r="Q47" s="80" t="n">
        <f aca="false">+'EIM New Deals'!Y8+'EIM New Deals'!Y15</f>
        <v>38</v>
      </c>
      <c r="R47" s="80" t="n">
        <f aca="false">+'EIM New Deals'!AA8+'EIM New Deals'!AA15</f>
        <v>30</v>
      </c>
      <c r="S47" s="80" t="n">
        <f aca="false">+'EIM New Deals'!AC8+'EIM New Deals'!AC15</f>
        <v>27</v>
      </c>
      <c r="T47" s="80" t="n">
        <f aca="false">+'EIM New Deals'!AE8+'EIM New Deals'!AE15</f>
        <v>28</v>
      </c>
      <c r="U47" s="80" t="n">
        <f aca="false">+'EIM New Deals'!AG8+'EIM New Deals'!AG15</f>
        <v>23</v>
      </c>
      <c r="V47" s="80" t="n">
        <f aca="false">+'EIM New Deals'!AI8+'EIM New Deals'!AI15</f>
        <v>15</v>
      </c>
      <c r="W47" s="80" t="n">
        <f aca="false">+'EIM New Deals'!AK8+'EIM New Deals'!AK15</f>
        <v>27</v>
      </c>
      <c r="X47" s="80" t="n">
        <f aca="false">+'EIM New Deals'!AM8+'EIM New Deals'!AM15</f>
        <v>22</v>
      </c>
      <c r="Y47" s="80" t="n">
        <f aca="false">+'EIM New Deals'!AO8+'EIM New Deals'!AO15</f>
        <v>19</v>
      </c>
      <c r="Z47" s="80" t="n">
        <f aca="false">+'EIM New Deals'!AQ8+'EIM New Deals'!AQ15</f>
        <v>24</v>
      </c>
      <c r="AA47" s="80" t="n">
        <f aca="false">+'EIM New Deals'!AS8+'EIM New Deals'!AS15</f>
        <v>21</v>
      </c>
      <c r="AC47" s="81"/>
    </row>
    <row r="48" customFormat="false" ht="12.75" hidden="false" customHeight="false" outlineLevel="0" collapsed="false">
      <c r="E48" s="82" t="s">
        <v>88</v>
      </c>
      <c r="J48" s="80"/>
      <c r="K48" s="80" t="n">
        <f aca="false">+'EIM New Deals'!L8+'EIM New Deals'!L15</f>
        <v>4</v>
      </c>
      <c r="L48" s="80" t="n">
        <f aca="false">+'EIM New Deals'!N8+'EIM New Deals'!N15</f>
        <v>3</v>
      </c>
      <c r="M48" s="80" t="n">
        <f aca="false">+'EIM New Deals'!P8+'EIM New Deals'!P15</f>
        <v>3</v>
      </c>
      <c r="N48" s="80" t="n">
        <f aca="false">+'EIM New Deals'!R8+'EIM New Deals'!R15</f>
        <v>5</v>
      </c>
      <c r="O48" s="80" t="n">
        <f aca="false">+'EIM New Deals'!T8+'EIM New Deals'!T15</f>
        <v>4</v>
      </c>
      <c r="P48" s="80" t="n">
        <f aca="false">+'EIM New Deals'!V8+'EIM New Deals'!V15</f>
        <v>9</v>
      </c>
      <c r="Q48" s="80" t="n">
        <f aca="false">+'EIM New Deals'!X8+'EIM New Deals'!X15</f>
        <v>2</v>
      </c>
      <c r="R48" s="80" t="n">
        <f aca="false">+'EIM New Deals'!Z8+'EIM New Deals'!Z15</f>
        <v>2</v>
      </c>
      <c r="S48" s="80" t="n">
        <f aca="false">+'EIM New Deals'!AB8+'EIM New Deals'!AB15</f>
        <v>3</v>
      </c>
      <c r="T48" s="80" t="n">
        <f aca="false">+'EIM New Deals'!AD8+'EIM New Deals'!AD15</f>
        <v>2</v>
      </c>
      <c r="U48" s="80" t="n">
        <f aca="false">+'EIM New Deals'!AF8+'EIM New Deals'!AF15</f>
        <v>2</v>
      </c>
      <c r="V48" s="80" t="n">
        <f aca="false">+'EIM New Deals'!AH8+'EIM New Deals'!AH15</f>
        <v>2</v>
      </c>
      <c r="W48" s="80" t="n">
        <f aca="false">+'EIM New Deals'!AJ8+'EIM New Deals'!AJ15</f>
        <v>0</v>
      </c>
      <c r="X48" s="80" t="n">
        <f aca="false">+'EIM New Deals'!AL8+'EIM New Deals'!AL15</f>
        <v>3</v>
      </c>
      <c r="Y48" s="80" t="n">
        <f aca="false">+'EIM New Deals'!AN8+'EIM New Deals'!AN15</f>
        <v>4</v>
      </c>
      <c r="Z48" s="80" t="n">
        <f aca="false">+'EIM New Deals'!AP8+'EIM New Deals'!AP15</f>
        <v>2</v>
      </c>
      <c r="AA48" s="80" t="n">
        <f aca="false">+'EIM New Deals'!AR8+'EIM New Deals'!AR15</f>
        <v>1</v>
      </c>
      <c r="AC48" s="81"/>
    </row>
    <row r="49" customFormat="false" ht="12.75" hidden="false" customHeight="false" outlineLevel="0" collapsed="false">
      <c r="A49" s="77" t="s">
        <v>110</v>
      </c>
      <c r="B49" s="0" t="n">
        <v>0</v>
      </c>
      <c r="E49" s="0" t="s">
        <v>37</v>
      </c>
      <c r="F49" s="0" t="n">
        <f aca="false">+'template from individuals'!B55+'template from individuals'!C55</f>
        <v>86</v>
      </c>
      <c r="G49" s="0" t="n">
        <f aca="false">+'template from individuals'!D55+'template from individuals'!E55</f>
        <v>126</v>
      </c>
      <c r="H49" s="0" t="n">
        <f aca="false">+'template from individuals'!F55+'template from individuals'!G55</f>
        <v>103</v>
      </c>
      <c r="I49" s="35" t="n">
        <f aca="false">+'template from individuals'!H55+'template from individuals'!I55</f>
        <v>124</v>
      </c>
      <c r="J49" s="80" t="n">
        <f aca="false">+'EIM New Deals'!J6+'EIM New Deals'!K6+'EIM New Deals'!J13+'EIM New Deals'!K13</f>
        <v>86</v>
      </c>
      <c r="K49" s="80" t="n">
        <f aca="false">+'EIM New Deals'!L6+'EIM New Deals'!M6+'EIM New Deals'!L13+'EIM New Deals'!M13</f>
        <v>69</v>
      </c>
      <c r="L49" s="80" t="n">
        <f aca="false">+'EIM New Deals'!$N6+'EIM New Deals'!$O6+'EIM New Deals'!$N13+'EIM New Deals'!$O13</f>
        <v>38</v>
      </c>
      <c r="M49" s="80" t="n">
        <f aca="false">+'EIM New Deals'!P6+'EIM New Deals'!Q6+'EIM New Deals'!P13+'EIM New Deals'!Q13</f>
        <v>41</v>
      </c>
      <c r="N49" s="80" t="n">
        <f aca="false">+'EIM New Deals'!R6+'EIM New Deals'!S6+'EIM New Deals'!R13+'EIM New Deals'!S13</f>
        <v>69</v>
      </c>
      <c r="O49" s="80" t="n">
        <f aca="false">+'EIM New Deals'!T6+'EIM New Deals'!U6+'EIM New Deals'!T13+'EIM New Deals'!U13</f>
        <v>84</v>
      </c>
      <c r="P49" s="80" t="n">
        <f aca="false">+'EIM New Deals'!V6+'EIM New Deals'!W6+'EIM New Deals'!V13+'EIM New Deals'!W13</f>
        <v>80</v>
      </c>
      <c r="Q49" s="80" t="n">
        <f aca="false">+Q50+Q51</f>
        <v>94</v>
      </c>
      <c r="R49" s="80" t="n">
        <f aca="false">+R50+R51</f>
        <v>123</v>
      </c>
      <c r="S49" s="80" t="n">
        <f aca="false">+S50+S51</f>
        <v>145</v>
      </c>
      <c r="T49" s="80" t="n">
        <f aca="false">+T50+T51</f>
        <v>112</v>
      </c>
      <c r="U49" s="80" t="n">
        <f aca="false">+U50+U51</f>
        <v>114</v>
      </c>
      <c r="V49" s="80" t="n">
        <f aca="false">+V50+V51</f>
        <v>172</v>
      </c>
      <c r="W49" s="80" t="n">
        <f aca="false">+W50+W51</f>
        <v>131</v>
      </c>
      <c r="X49" s="80" t="n">
        <f aca="false">+X50+X51</f>
        <v>102</v>
      </c>
      <c r="Y49" s="80" t="n">
        <f aca="false">+Y50+Y51</f>
        <v>121</v>
      </c>
      <c r="Z49" s="80" t="n">
        <f aca="false">+Z50+Z51</f>
        <v>67</v>
      </c>
      <c r="AA49" s="80" t="n">
        <f aca="false">+AA50+AA51</f>
        <v>90</v>
      </c>
      <c r="AC49" s="81" t="s">
        <v>100</v>
      </c>
    </row>
    <row r="50" customFormat="false" ht="12.75" hidden="false" customHeight="false" outlineLevel="0" collapsed="false">
      <c r="E50" s="82" t="s">
        <v>87</v>
      </c>
      <c r="J50" s="80"/>
      <c r="K50" s="80" t="n">
        <f aca="false">+'EIM New Deals'!M6+'EIM New Deals'!M13</f>
        <v>62</v>
      </c>
      <c r="L50" s="80" t="n">
        <f aca="false">+'EIM New Deals'!O6+'EIM New Deals'!O13</f>
        <v>34</v>
      </c>
      <c r="M50" s="80" t="n">
        <f aca="false">+'EIM New Deals'!Q6+'EIM New Deals'!Q13</f>
        <v>39</v>
      </c>
      <c r="N50" s="80" t="n">
        <f aca="false">+'EIM New Deals'!S6+'EIM New Deals'!S13</f>
        <v>64</v>
      </c>
      <c r="O50" s="80" t="n">
        <f aca="false">+'EIM New Deals'!U6+'EIM New Deals'!U13</f>
        <v>77</v>
      </c>
      <c r="P50" s="80" t="n">
        <f aca="false">+'EIM New Deals'!W6+'EIM New Deals'!W13</f>
        <v>73</v>
      </c>
      <c r="Q50" s="80" t="n">
        <f aca="false">+'EIM New Deals'!Y6+'EIM New Deals'!Y13</f>
        <v>89</v>
      </c>
      <c r="R50" s="80" t="n">
        <f aca="false">+'EIM New Deals'!AA6+'EIM New Deals'!AA13</f>
        <v>114</v>
      </c>
      <c r="S50" s="80" t="n">
        <f aca="false">+'EIM New Deals'!AC6+'EIM New Deals'!AC13</f>
        <v>142</v>
      </c>
      <c r="T50" s="80" t="n">
        <f aca="false">+'EIM New Deals'!AE6+'EIM New Deals'!AE13</f>
        <v>109</v>
      </c>
      <c r="U50" s="80" t="n">
        <f aca="false">+'EIM New Deals'!AG6+'EIM New Deals'!AG13</f>
        <v>113</v>
      </c>
      <c r="V50" s="80" t="n">
        <f aca="false">+'EIM New Deals'!AI6+'EIM New Deals'!AI13</f>
        <v>168</v>
      </c>
      <c r="W50" s="80" t="n">
        <f aca="false">+'EIM New Deals'!AK6+'EIM New Deals'!AK13</f>
        <v>127</v>
      </c>
      <c r="X50" s="80" t="n">
        <f aca="false">+'EIM New Deals'!AM6+'EIM New Deals'!AM13</f>
        <v>94</v>
      </c>
      <c r="Y50" s="80" t="n">
        <f aca="false">+'EIM New Deals'!AO6+'EIM New Deals'!AO13</f>
        <v>115</v>
      </c>
      <c r="Z50" s="80" t="n">
        <f aca="false">+'EIM New Deals'!AQ6+'EIM New Deals'!AQ13</f>
        <v>62</v>
      </c>
      <c r="AA50" s="80" t="n">
        <f aca="false">+'EIM New Deals'!AS6+'EIM New Deals'!AS13</f>
        <v>89</v>
      </c>
      <c r="AC50" s="81"/>
    </row>
    <row r="51" customFormat="false" ht="12.75" hidden="false" customHeight="false" outlineLevel="0" collapsed="false">
      <c r="E51" s="82" t="s">
        <v>88</v>
      </c>
      <c r="J51" s="80"/>
      <c r="K51" s="80" t="n">
        <f aca="false">+'EIM New Deals'!L6+'EIM New Deals'!L13</f>
        <v>7</v>
      </c>
      <c r="L51" s="80" t="n">
        <f aca="false">+'EIM New Deals'!N6+'EIM New Deals'!N13</f>
        <v>4</v>
      </c>
      <c r="M51" s="80" t="n">
        <f aca="false">+'EIM New Deals'!P6+'EIM New Deals'!P13</f>
        <v>2</v>
      </c>
      <c r="N51" s="80" t="n">
        <f aca="false">+'EIM New Deals'!R6+'EIM New Deals'!R13</f>
        <v>5</v>
      </c>
      <c r="O51" s="80" t="n">
        <f aca="false">+'EIM New Deals'!T6+'EIM New Deals'!T13</f>
        <v>7</v>
      </c>
      <c r="P51" s="80" t="n">
        <f aca="false">+'EIM New Deals'!V6+'EIM New Deals'!V13</f>
        <v>7</v>
      </c>
      <c r="Q51" s="80" t="n">
        <f aca="false">+'EIM New Deals'!X6+'EIM New Deals'!X13</f>
        <v>5</v>
      </c>
      <c r="R51" s="80" t="n">
        <f aca="false">+'EIM New Deals'!Z6+'EIM New Deals'!Z13</f>
        <v>9</v>
      </c>
      <c r="S51" s="80" t="n">
        <f aca="false">+'EIM New Deals'!AB6+'EIM New Deals'!AB13</f>
        <v>3</v>
      </c>
      <c r="T51" s="80" t="n">
        <f aca="false">+'EIM New Deals'!AD6+'EIM New Deals'!AD13</f>
        <v>3</v>
      </c>
      <c r="U51" s="80" t="n">
        <f aca="false">+'EIM New Deals'!AF6+'EIM New Deals'!AF13</f>
        <v>1</v>
      </c>
      <c r="V51" s="80" t="n">
        <f aca="false">+'EIM New Deals'!AH6+'EIM New Deals'!AH13</f>
        <v>4</v>
      </c>
      <c r="W51" s="80" t="n">
        <f aca="false">+'EIM New Deals'!AJ6+'EIM New Deals'!AJ13</f>
        <v>4</v>
      </c>
      <c r="X51" s="80" t="n">
        <f aca="false">+'EIM New Deals'!AL6+'EIM New Deals'!AL13</f>
        <v>8</v>
      </c>
      <c r="Y51" s="80" t="n">
        <f aca="false">+'EIM New Deals'!AN6+'EIM New Deals'!AN13</f>
        <v>6</v>
      </c>
      <c r="Z51" s="80" t="n">
        <f aca="false">+'EIM New Deals'!AP6+'EIM New Deals'!AP13</f>
        <v>5</v>
      </c>
      <c r="AA51" s="80" t="n">
        <f aca="false">+'EIM New Deals'!AR6+'EIM New Deals'!AR13</f>
        <v>1</v>
      </c>
      <c r="AC51" s="81"/>
    </row>
    <row r="52" customFormat="false" ht="12.75" hidden="false" customHeight="false" outlineLevel="0" collapsed="false">
      <c r="A52" s="77" t="s">
        <v>111</v>
      </c>
      <c r="B52" s="0" t="n">
        <v>0</v>
      </c>
      <c r="E52" s="0" t="s">
        <v>40</v>
      </c>
      <c r="F52" s="0" t="n">
        <f aca="false">+'template from individuals'!B58+'template from individuals'!C58</f>
        <v>0</v>
      </c>
      <c r="G52" s="0" t="n">
        <v>0</v>
      </c>
      <c r="H52" s="0" t="n">
        <v>0</v>
      </c>
      <c r="I52" s="35" t="n">
        <v>0</v>
      </c>
      <c r="J52" s="80" t="n">
        <f aca="false">+'EIM New Deals'!J9+'EIM New Deals'!K9+'EIM New Deals'!J16+'EIM New Deals'!K16</f>
        <v>1</v>
      </c>
      <c r="K52" s="80" t="n">
        <f aca="false">+'EIM New Deals'!L9+'EIM New Deals'!M9+'EIM New Deals'!L16+'EIM New Deals'!M16</f>
        <v>1</v>
      </c>
      <c r="L52" s="80" t="n">
        <f aca="false">+'EIM New Deals'!$N9+'EIM New Deals'!$O9+'EIM New Deals'!$N16+'EIM New Deals'!$O16</f>
        <v>2</v>
      </c>
      <c r="M52" s="80" t="n">
        <f aca="false">+'EIM New Deals'!P9+'EIM New Deals'!Q9+'EIM New Deals'!P16+'EIM New Deals'!Q16</f>
        <v>0</v>
      </c>
      <c r="N52" s="80" t="n">
        <f aca="false">+'EIM New Deals'!R9+'EIM New Deals'!S9+'EIM New Deals'!R16+'EIM New Deals'!S16</f>
        <v>1</v>
      </c>
      <c r="O52" s="80" t="n">
        <f aca="false">+'EIM New Deals'!T9+'EIM New Deals'!U9+'EIM New Deals'!T16+'EIM New Deals'!U16</f>
        <v>0</v>
      </c>
      <c r="P52" s="80" t="n">
        <f aca="false">+'EIM New Deals'!V9+'EIM New Deals'!W9+'EIM New Deals'!V16+'EIM New Deals'!W16</f>
        <v>0</v>
      </c>
      <c r="Q52" s="80" t="n">
        <f aca="false">+Q53+Q54</f>
        <v>2</v>
      </c>
      <c r="R52" s="80" t="n">
        <f aca="false">+R53+R54</f>
        <v>7</v>
      </c>
      <c r="S52" s="80" t="n">
        <f aca="false">+S53+S54</f>
        <v>1</v>
      </c>
      <c r="T52" s="80" t="n">
        <f aca="false">+T53+T54</f>
        <v>5</v>
      </c>
      <c r="U52" s="80" t="n">
        <f aca="false">+U53+U54</f>
        <v>4</v>
      </c>
      <c r="V52" s="80" t="n">
        <f aca="false">+V53+V54</f>
        <v>11</v>
      </c>
      <c r="W52" s="80" t="n">
        <f aca="false">+W53+W54</f>
        <v>6</v>
      </c>
      <c r="X52" s="80" t="n">
        <f aca="false">+X53+X54</f>
        <v>7</v>
      </c>
      <c r="Y52" s="80" t="n">
        <f aca="false">+Y53+Y54</f>
        <v>17</v>
      </c>
      <c r="Z52" s="80" t="n">
        <f aca="false">+Z53+Z54</f>
        <v>17</v>
      </c>
      <c r="AA52" s="80" t="n">
        <f aca="false">+AA53+AA54</f>
        <v>0</v>
      </c>
      <c r="AC52" s="81" t="s">
        <v>100</v>
      </c>
    </row>
    <row r="53" customFormat="false" ht="12.75" hidden="false" customHeight="false" outlineLevel="0" collapsed="false">
      <c r="E53" s="82" t="s">
        <v>87</v>
      </c>
      <c r="J53" s="80"/>
      <c r="K53" s="80" t="n">
        <f aca="false">+'EIM New Deals'!M9+'EIM New Deals'!M16</f>
        <v>1</v>
      </c>
      <c r="L53" s="80" t="n">
        <f aca="false">+'EIM New Deals'!O9+'EIM New Deals'!O16</f>
        <v>2</v>
      </c>
      <c r="M53" s="80" t="n">
        <f aca="false">+'EIM New Deals'!Q9+'EIM New Deals'!Q16</f>
        <v>0</v>
      </c>
      <c r="N53" s="80" t="n">
        <f aca="false">+'EIM New Deals'!S9+'EIM New Deals'!S16</f>
        <v>1</v>
      </c>
      <c r="O53" s="80" t="n">
        <f aca="false">+'EIM New Deals'!U9+'EIM New Deals'!U16</f>
        <v>0</v>
      </c>
      <c r="P53" s="80" t="n">
        <f aca="false">+'EIM New Deals'!W9+'EIM New Deals'!W16</f>
        <v>0</v>
      </c>
      <c r="Q53" s="80" t="n">
        <f aca="false">+'EIM New Deals'!Y9+'EIM New Deals'!Y16</f>
        <v>2</v>
      </c>
      <c r="R53" s="80" t="n">
        <f aca="false">+'EIM New Deals'!AA9+'EIM New Deals'!AA16</f>
        <v>7</v>
      </c>
      <c r="S53" s="80" t="n">
        <f aca="false">+'EIM New Deals'!AC9+'EIM New Deals'!AC16</f>
        <v>1</v>
      </c>
      <c r="T53" s="80" t="n">
        <f aca="false">+'EIM New Deals'!AE9+'EIM New Deals'!AE16</f>
        <v>0</v>
      </c>
      <c r="U53" s="80" t="n">
        <f aca="false">+'EIM New Deals'!AG9+'EIM New Deals'!AG16</f>
        <v>4</v>
      </c>
      <c r="V53" s="80" t="n">
        <f aca="false">+'EIM New Deals'!AI9+'EIM New Deals'!AI16</f>
        <v>8</v>
      </c>
      <c r="W53" s="80" t="n">
        <f aca="false">+'EIM New Deals'!AK9+'EIM New Deals'!AK16</f>
        <v>6</v>
      </c>
      <c r="X53" s="80" t="n">
        <f aca="false">+'EIM New Deals'!AM9+'EIM New Deals'!AM16</f>
        <v>7</v>
      </c>
      <c r="Y53" s="80" t="n">
        <f aca="false">+'EIM New Deals'!AO9+'EIM New Deals'!AO16</f>
        <v>17</v>
      </c>
      <c r="Z53" s="80" t="n">
        <f aca="false">+'EIM New Deals'!AQ9+'EIM New Deals'!AQ16</f>
        <v>17</v>
      </c>
      <c r="AA53" s="80" t="n">
        <f aca="false">+'EIM New Deals'!AS9+'EIM New Deals'!AS16</f>
        <v>0</v>
      </c>
      <c r="AC53" s="81"/>
    </row>
    <row r="54" customFormat="false" ht="12.75" hidden="false" customHeight="false" outlineLevel="0" collapsed="false">
      <c r="E54" s="82" t="s">
        <v>88</v>
      </c>
      <c r="J54" s="80"/>
      <c r="K54" s="80" t="n">
        <f aca="false">+'EIM New Deals'!L9+'EIM New Deals'!L16</f>
        <v>0</v>
      </c>
      <c r="L54" s="80" t="n">
        <f aca="false">+'EIM New Deals'!N9+'EIM New Deals'!N16</f>
        <v>0</v>
      </c>
      <c r="M54" s="80" t="n">
        <f aca="false">+'EIM New Deals'!P9+'EIM New Deals'!P16</f>
        <v>0</v>
      </c>
      <c r="N54" s="80" t="n">
        <f aca="false">+'EIM New Deals'!R9+'EIM New Deals'!R16</f>
        <v>0</v>
      </c>
      <c r="O54" s="80" t="n">
        <f aca="false">+'EIM New Deals'!T9+'EIM New Deals'!T16</f>
        <v>0</v>
      </c>
      <c r="P54" s="80" t="n">
        <f aca="false">+'EIM New Deals'!V9+'EIM New Deals'!V16</f>
        <v>0</v>
      </c>
      <c r="Q54" s="80" t="n">
        <f aca="false">+'EIM New Deals'!X9+'EIM New Deals'!X16</f>
        <v>0</v>
      </c>
      <c r="R54" s="80" t="n">
        <f aca="false">+'EIM New Deals'!Z9+'EIM New Deals'!Z16</f>
        <v>0</v>
      </c>
      <c r="S54" s="80" t="n">
        <f aca="false">+'EIM New Deals'!AB9+'EIM New Deals'!AB16</f>
        <v>0</v>
      </c>
      <c r="T54" s="80" t="n">
        <f aca="false">+'EIM New Deals'!AD9+'EIM New Deals'!AD16</f>
        <v>5</v>
      </c>
      <c r="U54" s="80" t="n">
        <f aca="false">+'EIM New Deals'!AF9+'EIM New Deals'!AF16</f>
        <v>0</v>
      </c>
      <c r="V54" s="80" t="n">
        <f aca="false">+'EIM New Deals'!AH9+'EIM New Deals'!AH16</f>
        <v>3</v>
      </c>
      <c r="W54" s="80" t="n">
        <f aca="false">+'EIM New Deals'!AJ9+'EIM New Deals'!AJ16</f>
        <v>0</v>
      </c>
      <c r="X54" s="80" t="n">
        <f aca="false">+'EIM New Deals'!AL9+'EIM New Deals'!AL16</f>
        <v>0</v>
      </c>
      <c r="Y54" s="80" t="n">
        <f aca="false">+'EIM New Deals'!AN9+'EIM New Deals'!AN16</f>
        <v>0</v>
      </c>
      <c r="Z54" s="80" t="n">
        <f aca="false">+'EIM New Deals'!AP9+'EIM New Deals'!AP16</f>
        <v>0</v>
      </c>
      <c r="AA54" s="80" t="n">
        <f aca="false">+'EIM New Deals'!AR9+'EIM New Deals'!AR16</f>
        <v>0</v>
      </c>
      <c r="AC54" s="81"/>
    </row>
    <row r="55" customFormat="false" ht="12.75" hidden="false" customHeight="false" outlineLevel="0" collapsed="false">
      <c r="E55" s="0" t="s">
        <v>91</v>
      </c>
      <c r="J55" s="80"/>
      <c r="K55" s="83" t="n">
        <f aca="false">(K54+K51+K48+K45)/(K52+K49+K46+K43)</f>
        <v>0.111111111111111</v>
      </c>
      <c r="L55" s="83" t="n">
        <f aca="false">(L54+L51+L48+L45)/(L52+L49+L46+L43)</f>
        <v>0.0823529411764706</v>
      </c>
      <c r="M55" s="83" t="n">
        <f aca="false">(M54+M51+M48+M45)/(M52+M49+M46+M43)</f>
        <v>0.0617283950617284</v>
      </c>
      <c r="N55" s="83" t="n">
        <f aca="false">(N54+N51+N48+N45)/(N52+N49+N46+N43)</f>
        <v>0.0689655172413793</v>
      </c>
      <c r="O55" s="83" t="n">
        <f aca="false">(O54+O51+O48+O45)/(O52+O49+O46+O43)</f>
        <v>0.0808823529411765</v>
      </c>
      <c r="P55" s="83" t="n">
        <f aca="false">(P54+P51+P48+P45)/(P52+P49+P46+P43)</f>
        <v>0.118421052631579</v>
      </c>
      <c r="Q55" s="83" t="n">
        <f aca="false">(Q54+Q51+Q48+Q45)/(Q52+Q49+Q46+Q43)</f>
        <v>0.0496894409937888</v>
      </c>
      <c r="R55" s="83" t="n">
        <f aca="false">(R54+R51+R48+R45)/(R52+R49+R46+R43)</f>
        <v>0.116022099447514</v>
      </c>
      <c r="S55" s="83" t="n">
        <f aca="false">(S54+S51+S48+S45)/(S52+S49+S46+S43)</f>
        <v>0.0348258706467662</v>
      </c>
      <c r="T55" s="83" t="n">
        <f aca="false">(T54+T51+T48+T45)/(T52+T49+T46+T43)</f>
        <v>0.0793650793650794</v>
      </c>
      <c r="U55" s="83" t="n">
        <f aca="false">(U54+U51+U48+U45)/(U52+U49+U46+U43)</f>
        <v>0.031413612565445</v>
      </c>
      <c r="V55" s="83" t="n">
        <f aca="false">(V54+V51+V48+V45)/(V52+V49+V46+V43)</f>
        <v>0.0446428571428571</v>
      </c>
      <c r="W55" s="83" t="n">
        <f aca="false">(W54+W51+W48+W45)/(W52+W49+W46+W43)</f>
        <v>0.0274725274725275</v>
      </c>
      <c r="X55" s="83" t="n">
        <f aca="false">(X54+X51+X48+X45)/(X52+X49+X46+X43)</f>
        <v>0.0880503144654088</v>
      </c>
      <c r="Y55" s="83" t="n">
        <f aca="false">(Y54+Y51+Y48+Y45)/(Y52+Y49+Y46+Y43)</f>
        <v>0.0514018691588785</v>
      </c>
      <c r="Z55" s="83" t="n">
        <f aca="false">(Z54+Z51+Z48+Z45)/(Z52+Z49+Z46+Z43)</f>
        <v>0.0374331550802139</v>
      </c>
      <c r="AA55" s="83" t="n">
        <f aca="false">(AA54+AA51+AA48+AA45)/(AA52+AA49+AA46+AA43)</f>
        <v>0.0229007633587786</v>
      </c>
      <c r="AC55" s="81"/>
    </row>
    <row r="56" customFormat="false" ht="12.75" hidden="false" customHeight="false" outlineLevel="0" collapsed="false">
      <c r="E56" s="84" t="s">
        <v>39</v>
      </c>
      <c r="J56" s="80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C56" s="81"/>
    </row>
    <row r="57" customFormat="false" ht="12.75" hidden="false" customHeight="false" outlineLevel="0" collapsed="false">
      <c r="E57" s="84" t="s">
        <v>92</v>
      </c>
      <c r="J57" s="80"/>
      <c r="K57" s="85" t="n">
        <f aca="false">+K44+K47+K50+K53</f>
        <v>88</v>
      </c>
      <c r="L57" s="85" t="n">
        <f aca="false">+L44+L47+L50+L53</f>
        <v>78</v>
      </c>
      <c r="M57" s="85" t="n">
        <f aca="false">+M44+M47+M50+M53</f>
        <v>76</v>
      </c>
      <c r="N57" s="85" t="n">
        <f aca="false">+N44+N47+N50+N53</f>
        <v>135</v>
      </c>
      <c r="O57" s="85" t="n">
        <f aca="false">+O44+O47+O50+O53</f>
        <v>125</v>
      </c>
      <c r="P57" s="85" t="n">
        <f aca="false">+P44+P47+P50+P53</f>
        <v>134</v>
      </c>
      <c r="Q57" s="85" t="n">
        <f aca="false">+Q44+Q47+Q50+Q53</f>
        <v>153</v>
      </c>
      <c r="R57" s="85" t="n">
        <f aca="false">+R44+R47+R50+R53</f>
        <v>160</v>
      </c>
      <c r="S57" s="85" t="n">
        <f aca="false">+S44+S47+S50+S53</f>
        <v>194</v>
      </c>
      <c r="T57" s="85" t="n">
        <f aca="false">+T44+T47+T50+T53</f>
        <v>174</v>
      </c>
      <c r="U57" s="85" t="n">
        <f aca="false">+U44+U47+U50+U53</f>
        <v>185</v>
      </c>
      <c r="V57" s="85" t="n">
        <f aca="false">+V44+V47+V50+V53</f>
        <v>214</v>
      </c>
      <c r="W57" s="85" t="n">
        <f aca="false">+W44+W47+W50+W53</f>
        <v>177</v>
      </c>
      <c r="X57" s="85" t="n">
        <f aca="false">+X44+X47+X50+X53</f>
        <v>145</v>
      </c>
      <c r="Y57" s="85" t="n">
        <f aca="false">+Y44+Y47+Y50+Y53</f>
        <v>203</v>
      </c>
      <c r="Z57" s="85" t="n">
        <f aca="false">+Z44+Z47+Z50+Z53</f>
        <v>180</v>
      </c>
      <c r="AA57" s="85" t="n">
        <f aca="false">+AA44+AA47+AA50+AA53</f>
        <v>128</v>
      </c>
      <c r="AC57" s="81"/>
    </row>
    <row r="58" customFormat="false" ht="12.75" hidden="false" customHeight="false" outlineLevel="0" collapsed="false">
      <c r="E58" s="84" t="s">
        <v>93</v>
      </c>
      <c r="J58" s="80"/>
      <c r="K58" s="85" t="n">
        <f aca="false">+K45+K48+K51+K54</f>
        <v>11</v>
      </c>
      <c r="L58" s="85" t="n">
        <f aca="false">+L45+L48+L51+L54</f>
        <v>7</v>
      </c>
      <c r="M58" s="85" t="n">
        <f aca="false">+M45+M48+M51+M54</f>
        <v>5</v>
      </c>
      <c r="N58" s="85" t="n">
        <f aca="false">+N45+N48+N51+N54</f>
        <v>10</v>
      </c>
      <c r="O58" s="85" t="n">
        <f aca="false">+O45+O48+O51+O54</f>
        <v>11</v>
      </c>
      <c r="P58" s="85" t="n">
        <f aca="false">+P45+P48+P51+P54</f>
        <v>18</v>
      </c>
      <c r="Q58" s="85" t="n">
        <f aca="false">+Q45+Q48+Q51+Q54</f>
        <v>8</v>
      </c>
      <c r="R58" s="85" t="n">
        <f aca="false">+R45+R48+R51+R54</f>
        <v>21</v>
      </c>
      <c r="S58" s="85" t="n">
        <f aca="false">+S45+S48+S51+S54</f>
        <v>7</v>
      </c>
      <c r="T58" s="85" t="n">
        <f aca="false">+T45+T48+T51+T54</f>
        <v>15</v>
      </c>
      <c r="U58" s="85" t="n">
        <f aca="false">+U45+U48+U51+U54</f>
        <v>6</v>
      </c>
      <c r="V58" s="85" t="n">
        <f aca="false">+V45+V48+V51+V54</f>
        <v>10</v>
      </c>
      <c r="W58" s="85" t="n">
        <f aca="false">+W45+W48+W51+W54</f>
        <v>5</v>
      </c>
      <c r="X58" s="85" t="n">
        <f aca="false">+X45+X48+X51+X54</f>
        <v>14</v>
      </c>
      <c r="Y58" s="85" t="n">
        <f aca="false">+Y45+Y48+Y51+Y54</f>
        <v>11</v>
      </c>
      <c r="Z58" s="85" t="n">
        <f aca="false">+Z45+Z48+Z51+Z54</f>
        <v>7</v>
      </c>
      <c r="AA58" s="85" t="n">
        <f aca="false">+AA45+AA48+AA51+AA54</f>
        <v>3</v>
      </c>
      <c r="AC58" s="81"/>
    </row>
    <row r="59" customFormat="false" ht="12.75" hidden="false" customHeight="false" outlineLevel="0" collapsed="false">
      <c r="A59" s="77" t="s">
        <v>112</v>
      </c>
      <c r="B59" s="0" t="n">
        <v>1</v>
      </c>
      <c r="AC59" s="86"/>
    </row>
    <row r="60" customFormat="false" ht="12.75" hidden="false" customHeight="false" outlineLevel="0" collapsed="false">
      <c r="A60" s="77" t="s">
        <v>13</v>
      </c>
      <c r="B60" s="0" t="n">
        <v>1300</v>
      </c>
      <c r="E60" s="78" t="s">
        <v>113</v>
      </c>
      <c r="AC60" s="86"/>
    </row>
    <row r="61" customFormat="false" ht="15" hidden="false" customHeight="false" outlineLevel="0" collapsed="false">
      <c r="A61" s="77" t="s">
        <v>15</v>
      </c>
      <c r="B61" s="0" t="n">
        <v>250</v>
      </c>
      <c r="F61" s="79" t="s">
        <v>63</v>
      </c>
      <c r="G61" s="79" t="s">
        <v>64</v>
      </c>
      <c r="H61" s="79" t="s">
        <v>65</v>
      </c>
      <c r="I61" s="79" t="s">
        <v>66</v>
      </c>
      <c r="J61" s="79" t="s">
        <v>67</v>
      </c>
      <c r="K61" s="79" t="str">
        <f aca="false">+K42</f>
        <v>2/2 - 2/8</v>
      </c>
      <c r="L61" s="79" t="str">
        <f aca="false">+L42</f>
        <v>2/9 - 2/15</v>
      </c>
      <c r="M61" s="79" t="str">
        <f aca="false">+M42</f>
        <v>2/16 - 2/22</v>
      </c>
      <c r="N61" s="79" t="str">
        <f aca="false">+N42</f>
        <v>2/23 - 2/28</v>
      </c>
      <c r="O61" s="79" t="str">
        <f aca="false">+O42</f>
        <v>3/1 - 3/7</v>
      </c>
      <c r="P61" s="79" t="str">
        <f aca="false">+P42</f>
        <v>3/8 - 3/14</v>
      </c>
      <c r="Q61" s="79" t="str">
        <f aca="false">+Q42</f>
        <v>3/15 - 3/21</v>
      </c>
      <c r="R61" s="79" t="str">
        <f aca="false">+R42</f>
        <v>3/22 - 3/28</v>
      </c>
      <c r="S61" s="79" t="str">
        <f aca="false">+S42</f>
        <v>3/29 - 4/4</v>
      </c>
      <c r="T61" s="79" t="str">
        <f aca="false">+T42</f>
        <v>4/5 - 4/11</v>
      </c>
      <c r="U61" s="79" t="str">
        <f aca="false">+U42</f>
        <v>4/12 - 4/18</v>
      </c>
      <c r="V61" s="79" t="str">
        <f aca="false">+V42</f>
        <v>4/19 - 4/25</v>
      </c>
      <c r="W61" s="79" t="str">
        <f aca="false">+W42</f>
        <v>4/26 - 5/2</v>
      </c>
      <c r="X61" s="79" t="str">
        <f aca="false">+X42</f>
        <v>5/3 - 5/9</v>
      </c>
      <c r="Y61" s="79" t="str">
        <f aca="false">+Y42</f>
        <v>5/10 - 5/16</v>
      </c>
      <c r="Z61" s="79" t="str">
        <f aca="false">+Z42</f>
        <v>5/17 - 5/23</v>
      </c>
      <c r="AA61" s="79" t="s">
        <v>84</v>
      </c>
    </row>
    <row r="62" customFormat="false" ht="12.75" hidden="false" customHeight="false" outlineLevel="0" collapsed="false">
      <c r="A62" s="77" t="s">
        <v>114</v>
      </c>
      <c r="B62" s="0" t="n">
        <v>50</v>
      </c>
      <c r="E62" s="87" t="s">
        <v>115</v>
      </c>
      <c r="F62" s="74" t="n">
        <f aca="false">1758331589/1000000</f>
        <v>1758.331589</v>
      </c>
      <c r="G62" s="74" t="n">
        <f aca="false">3201106470/1000000</f>
        <v>3201.10647</v>
      </c>
      <c r="H62" s="35" t="n">
        <f aca="false">1942345461/1000000</f>
        <v>1942.345461</v>
      </c>
      <c r="I62" s="35" t="n">
        <f aca="false">4952206066/1000000</f>
        <v>4952.206066</v>
      </c>
      <c r="J62" s="88" t="n">
        <f aca="false">(+'WE 2-1 EOL Data'!C6+'WE 2-1 EOL Data'!C29)/1000000</f>
        <v>4273.27122</v>
      </c>
      <c r="K62" s="88" t="n">
        <f aca="false">(+'WE 2-8 EOL Data'!C6+'WE 2-8 EOL Data'!C29)/1000000</f>
        <v>3586.17836464</v>
      </c>
      <c r="L62" s="88" t="n">
        <f aca="false">(+'WE 2-15 EOL Data'!$C6+'WE 2-15 EOL Data'!$C29)/1000000</f>
        <v>4250.73800221</v>
      </c>
      <c r="M62" s="88" t="n">
        <f aca="false">(+'WE 2-22 EOL Data'!$C6+'WE 2-22 EOL Data'!$C29)/1000000</f>
        <v>2865.687651</v>
      </c>
      <c r="N62" s="88" t="n">
        <f aca="false">(+'WE 2-28 EOL Data'!C6+'WE 2-28 EOL Data'!C29)/1000000</f>
        <v>3382.07865119</v>
      </c>
      <c r="O62" s="88" t="n">
        <f aca="false">(+'WE 3-7 EOL Data'!C6+'WE 3-7 EOL Data'!C29)/1000000</f>
        <v>4310.06590286</v>
      </c>
      <c r="P62" s="88" t="n">
        <f aca="false">(+'WE 3-14 EOL Data'!C6+'WE 3-14 EOL Data'!C29)/1000000</f>
        <v>3630.70079056</v>
      </c>
      <c r="Q62" s="88" t="n">
        <f aca="false">(+'WE 3-21 EOL Data'!C6+'WE 3-21 EOL Data'!C29)/1000000</f>
        <v>3471.97347516</v>
      </c>
      <c r="R62" s="88" t="n">
        <f aca="false">(+'WE 3-28 EOL Data'!C6+'WE 3-28 EOL Data'!C29)/1000000</f>
        <v>4935.35787992</v>
      </c>
      <c r="S62" s="88" t="n">
        <f aca="false">(+'WE 4-4 EOL Data'!C6+'WE 4-4 EOL Data'!C29)/1000000</f>
        <v>4600.91699527</v>
      </c>
      <c r="T62" s="88" t="n">
        <f aca="false">(+'WE 4-11 EOL Data'!C6+'WE 4-11 EOL Data'!C29)/1000000</f>
        <v>4395.5360208</v>
      </c>
      <c r="U62" s="88" t="n">
        <f aca="false">(+'WE 4-18 EOL Data'!C6+'WE 4-18 EOL Data'!C29)/1000000</f>
        <v>2936.79678901</v>
      </c>
      <c r="V62" s="88" t="n">
        <f aca="false">(+'WE 4-25 EOL Data'!C6+'WE 4-25 EOL Data'!C29)/1000000</f>
        <v>4188.26063142</v>
      </c>
      <c r="W62" s="88" t="n">
        <f aca="false">(+'WE 5-2 EOL Data'!C6+'WE 5-2 EOL Data'!C29)/1000000</f>
        <v>4660.28019153</v>
      </c>
      <c r="X62" s="88" t="n">
        <f aca="false">(+'WE 5-9 EOL Data'!C6+'WE 5-9 EOL Data'!C29)/1000000</f>
        <v>4226.58363081</v>
      </c>
      <c r="Y62" s="88" t="n">
        <f aca="false">(+'WE 5-16 EOL Data'!C6+'WE 5-16 EOL Data'!C29)/1000000</f>
        <v>4371.72766644</v>
      </c>
      <c r="Z62" s="88" t="n">
        <f aca="false">(+'WE 5-23 EOL Data'!C28+'WE 5-23 EOL Data'!C6)/1000000</f>
        <v>5698.37126232</v>
      </c>
      <c r="AA62" s="88" t="n">
        <f aca="false">(+'WE 5-30 EOL Data'!C6+'WE 5-30 EOL Data'!C28)/1000000</f>
        <v>5240.35500668</v>
      </c>
    </row>
    <row r="63" customFormat="false" ht="13.5" hidden="false" customHeight="true" outlineLevel="0" collapsed="false">
      <c r="A63" s="77" t="s">
        <v>37</v>
      </c>
      <c r="B63" s="0" t="n">
        <v>0</v>
      </c>
      <c r="E63" s="87" t="s">
        <v>116</v>
      </c>
      <c r="F63" s="74" t="n">
        <f aca="false">16046241/1000000</f>
        <v>16.046241</v>
      </c>
      <c r="G63" s="74" t="n">
        <f aca="false">52662791/1000000</f>
        <v>52.662791</v>
      </c>
      <c r="H63" s="35" t="n">
        <f aca="false">48150655/1000000</f>
        <v>48.150655</v>
      </c>
      <c r="I63" s="35" t="n">
        <f aca="false">37589241/1000000</f>
        <v>37.589241</v>
      </c>
      <c r="J63" s="88" t="n">
        <f aca="false">(+'WE 2-1 EOL Data'!C7+'WE 2-1 EOL Data'!C30)/1000000</f>
        <v>53.945233</v>
      </c>
      <c r="K63" s="88" t="n">
        <f aca="false">(+'WE 2-8 EOL Data'!C7+'WE 2-8 EOL Data'!C30)/1000000</f>
        <v>51.39996514</v>
      </c>
      <c r="L63" s="88" t="n">
        <f aca="false">(+'WE 2-15 EOL Data'!$C7+'WE 2-15 EOL Data'!$C30)/1000000</f>
        <v>49.09131919</v>
      </c>
      <c r="M63" s="88" t="n">
        <f aca="false">(+'WE 2-22 EOL Data'!$C7+'WE 2-22 EOL Data'!$C30)/1000000</f>
        <v>37.99049</v>
      </c>
      <c r="N63" s="88" t="n">
        <f aca="false">(+'WE 2-28 EOL Data'!C7+'WE 2-28 EOL Data'!C30)/1000000</f>
        <v>43.64763638</v>
      </c>
      <c r="O63" s="88" t="n">
        <f aca="false">(+'WE 3-7 EOL Data'!C7+'WE 3-7 EOL Data'!C30)/1000000</f>
        <v>49.60126031</v>
      </c>
      <c r="P63" s="88" t="n">
        <f aca="false">(+'WE 3-14 EOL Data'!C7+'WE 3-14 EOL Data'!C30)/1000000</f>
        <v>52.89541797</v>
      </c>
      <c r="Q63" s="88" t="n">
        <f aca="false">(+'WE 3-21 EOL Data'!C7+'WE 3-21 EOL Data'!C30)/1000000</f>
        <v>49.57737548</v>
      </c>
      <c r="R63" s="88" t="n">
        <f aca="false">(+'WE 3-28 EOL Data'!C7+'WE 3-28 EOL Data'!C30)/1000000</f>
        <v>47.20059154</v>
      </c>
      <c r="S63" s="88" t="n">
        <f aca="false">(+'WE 4-4 EOL Data'!C7+'WE 4-4 EOL Data'!C30)/1000000</f>
        <v>51.5222653</v>
      </c>
      <c r="T63" s="88" t="n">
        <f aca="false">(+'WE 4-11 EOL Data'!C7+'WE 4-11 EOL Data'!C30)/1000000</f>
        <v>47.79626707</v>
      </c>
      <c r="U63" s="88" t="n">
        <f aca="false">(+'WE 4-18 EOL Data'!C7+'WE 4-18 EOL Data'!C30)/1000000</f>
        <v>42.96937114</v>
      </c>
      <c r="V63" s="88" t="n">
        <f aca="false">(+'WE 4-25 EOL Data'!C7+'WE 4-25 EOL Data'!C30)/1000000</f>
        <v>96.15862376</v>
      </c>
      <c r="W63" s="88" t="n">
        <f aca="false">(+'WE 5-2 EOL Data'!C7+'WE 5-2 EOL Data'!C30)/1000000</f>
        <v>55.72244239</v>
      </c>
      <c r="X63" s="88" t="n">
        <f aca="false">(+'WE 5-9 EOL Data'!C7+'WE 5-9 EOL Data'!C30)/1000000</f>
        <v>57.43029433</v>
      </c>
      <c r="Y63" s="88" t="n">
        <f aca="false">(+'WE 5-16 EOL Data'!C7+'WE 5-16 EOL Data'!C30)/1000000</f>
        <v>44.78432436</v>
      </c>
      <c r="Z63" s="88" t="n">
        <f aca="false">(+'WE 5-23 EOL Data'!C7+'WE 5-23 EOL Data'!C29)/1000000</f>
        <v>49.6276206</v>
      </c>
      <c r="AA63" s="88" t="n">
        <f aca="false">(+'WE 5-30 EOL Data'!C7+'WE 5-30 EOL Data'!C29)/1000000</f>
        <v>80.0462893</v>
      </c>
    </row>
    <row r="64" customFormat="false" ht="15" hidden="false" customHeight="false" outlineLevel="0" collapsed="false">
      <c r="A64" s="77" t="s">
        <v>15</v>
      </c>
      <c r="B64" s="0" t="n">
        <v>250</v>
      </c>
      <c r="F64" s="79" t="s">
        <v>63</v>
      </c>
      <c r="G64" s="79" t="s">
        <v>64</v>
      </c>
      <c r="H64" s="79" t="s">
        <v>65</v>
      </c>
      <c r="I64" s="79" t="s">
        <v>66</v>
      </c>
      <c r="J64" s="79" t="s">
        <v>67</v>
      </c>
      <c r="K64" s="79" t="str">
        <f aca="false">+K61</f>
        <v>2/2 - 2/8</v>
      </c>
      <c r="L64" s="79" t="str">
        <f aca="false">+L61</f>
        <v>2/9 - 2/15</v>
      </c>
      <c r="M64" s="79" t="str">
        <f aca="false">+M61</f>
        <v>2/16 - 2/22</v>
      </c>
      <c r="N64" s="79" t="str">
        <f aca="false">+N61</f>
        <v>2/23 - 2/28</v>
      </c>
      <c r="O64" s="79" t="str">
        <f aca="false">+O61</f>
        <v>3/1 - 3/7</v>
      </c>
      <c r="P64" s="79" t="str">
        <f aca="false">+P61</f>
        <v>3/8 - 3/14</v>
      </c>
      <c r="Q64" s="79" t="str">
        <f aca="false">+Q61</f>
        <v>3/15 - 3/21</v>
      </c>
      <c r="R64" s="79" t="str">
        <f aca="false">+R61</f>
        <v>3/22 - 3/28</v>
      </c>
      <c r="S64" s="79" t="str">
        <f aca="false">+S61</f>
        <v>3/29 - 4/4</v>
      </c>
      <c r="T64" s="79" t="str">
        <f aca="false">+T61</f>
        <v>4/5 - 4/11</v>
      </c>
      <c r="U64" s="79" t="str">
        <f aca="false">+U61</f>
        <v>4/12 - 4/18</v>
      </c>
      <c r="V64" s="79" t="str">
        <f aca="false">+V61</f>
        <v>4/19 - 4/25</v>
      </c>
      <c r="W64" s="79" t="str">
        <f aca="false">+W61</f>
        <v>4/26 - 5/2</v>
      </c>
      <c r="X64" s="79" t="str">
        <f aca="false">+X61</f>
        <v>5/3 - 5/9</v>
      </c>
      <c r="Y64" s="79" t="str">
        <f aca="false">+Y61</f>
        <v>5/10 - 5/16</v>
      </c>
      <c r="Z64" s="79" t="str">
        <f aca="false">+Z61</f>
        <v>5/17 - 5/23</v>
      </c>
      <c r="AA64" s="79" t="s">
        <v>84</v>
      </c>
    </row>
    <row r="65" customFormat="false" ht="12.75" hidden="false" customHeight="false" outlineLevel="0" collapsed="false">
      <c r="E65" s="0" t="s">
        <v>117</v>
      </c>
      <c r="F65" s="74" t="n">
        <f aca="false">'template from eol'!C58</f>
        <v>60842.5918</v>
      </c>
      <c r="G65" s="74" t="n">
        <f aca="false">'template from eol'!E58</f>
        <v>36861.7698</v>
      </c>
      <c r="H65" s="35" t="n">
        <f aca="false">'template from eol'!G58</f>
        <v>213594.8932</v>
      </c>
      <c r="I65" s="35" t="n">
        <f aca="false">'template from eol'!I58</f>
        <v>19607.183</v>
      </c>
      <c r="J65" s="0" t="n">
        <f aca="false">+'WE 2-1 EOL Data'!C58</f>
        <v>25872</v>
      </c>
      <c r="K65" s="89" t="n">
        <f aca="false">+'WE 2-8 EOL Data'!C58</f>
        <v>106865.9</v>
      </c>
      <c r="L65" s="89" t="n">
        <f aca="false">+'WE 2-15 EOL Data'!$C58</f>
        <v>11962.5</v>
      </c>
      <c r="M65" s="89" t="n">
        <f aca="false">+'WE 2-22 EOL Data'!$C58</f>
        <v>56612</v>
      </c>
      <c r="N65" s="89" t="n">
        <f aca="false">+'WE 2-28 EOL Data'!C58</f>
        <v>163303.196</v>
      </c>
      <c r="O65" s="89" t="n">
        <f aca="false">+'WE 3-7 EOL Data'!C58</f>
        <v>120983.16</v>
      </c>
      <c r="P65" s="89" t="n">
        <f aca="false">+'WE 3-14 EOL Data'!C58</f>
        <v>92583.55</v>
      </c>
      <c r="Q65" s="89" t="n">
        <f aca="false">+'WE 3-21 EOL Data'!C58</f>
        <v>275762.31</v>
      </c>
      <c r="R65" s="89" t="n">
        <f aca="false">+'WE 3-28 EOL Data'!C58</f>
        <v>169228.08</v>
      </c>
      <c r="S65" s="89" t="n">
        <f aca="false">+'WE 4-4 EOL Data'!C58</f>
        <v>203727</v>
      </c>
      <c r="T65" s="89" t="n">
        <f aca="false">+'WE 4-11 EOL Data'!C58</f>
        <v>54469.223</v>
      </c>
      <c r="U65" s="89" t="n">
        <f aca="false">+'WE 4-18 EOL Data'!C58</f>
        <v>144375.8</v>
      </c>
      <c r="V65" s="89" t="n">
        <f aca="false">+'WE 4-25 EOL Data'!C58</f>
        <v>381258.61</v>
      </c>
      <c r="W65" s="89" t="n">
        <f aca="false">+'WE 5-2 EOL Data'!C58</f>
        <v>134543.14</v>
      </c>
      <c r="X65" s="89" t="n">
        <f aca="false">+'WE 5-9 EOL Data'!C58</f>
        <v>56024.1799999999</v>
      </c>
      <c r="Y65" s="89" t="n">
        <f aca="false">+'WE 5-16 EOL Data'!C58</f>
        <v>121921.06</v>
      </c>
      <c r="Z65" s="89" t="n">
        <v>0</v>
      </c>
      <c r="AA65" s="89"/>
      <c r="AC65" s="89"/>
    </row>
    <row r="66" customFormat="false" ht="12.75" hidden="false" customHeight="false" outlineLevel="0" collapsed="false">
      <c r="A66" s="77" t="s">
        <v>32</v>
      </c>
      <c r="B66" s="0" t="n">
        <v>0</v>
      </c>
      <c r="E66" s="0" t="s">
        <v>32</v>
      </c>
      <c r="F66" s="74"/>
      <c r="G66" s="74"/>
      <c r="H66" s="35"/>
      <c r="U66" s="88" t="n">
        <f aca="false">+'EIM Volumes'!C7+'EIM Volumes'!B7+'EIM Volumes'!C13+'EIM Volumes'!B13</f>
        <v>25952</v>
      </c>
      <c r="V66" s="88" t="n">
        <f aca="false">+'EIM Volumes'!D7+'EIM Volumes'!E7+'EIM Volumes'!D13+'EIM Volumes'!E13</f>
        <v>5000</v>
      </c>
      <c r="W66" s="88" t="n">
        <f aca="false">+'EIM Volumes'!F7+'EIM Volumes'!G7+'EIM Volumes'!F13+'EIM Volumes'!G13</f>
        <v>41496</v>
      </c>
      <c r="X66" s="88" t="n">
        <f aca="false">+'EIM Volumes'!H7+'EIM Volumes'!I7+'EIM Volumes'!H13+'EIM Volumes'!I13</f>
        <v>43480</v>
      </c>
      <c r="Y66" s="88" t="n">
        <f aca="false">+'EIM Volumes'!J7+'EIM Volumes'!K7+'EIM Volumes'!J13+'EIM Volumes'!K13</f>
        <v>6180</v>
      </c>
      <c r="Z66" s="88" t="n">
        <f aca="false">+'EIM Volumes'!L7+'EIM Volumes'!M7+'EIM Volumes'!L13+'EIM Volumes'!M13</f>
        <v>12570</v>
      </c>
      <c r="AA66" s="88" t="n">
        <f aca="false">+'EIM Volumes'!N7+'EIM Volumes'!O7+'EIM Volumes'!N13+'EIM Volumes'!O13</f>
        <v>2660</v>
      </c>
      <c r="AB66" s="88"/>
    </row>
    <row r="67" customFormat="false" ht="12.75" hidden="false" customHeight="false" outlineLevel="0" collapsed="false">
      <c r="A67" s="77" t="s">
        <v>34</v>
      </c>
      <c r="B67" s="0" t="n">
        <v>5</v>
      </c>
      <c r="E67" s="0" t="s">
        <v>34</v>
      </c>
      <c r="F67" s="74"/>
      <c r="G67" s="74"/>
      <c r="H67" s="35"/>
      <c r="U67" s="88" t="n">
        <f aca="false">+'EIM Volumes'!B8+'EIM Volumes'!C8+'EIM Volumes'!B14+'EIM Volumes'!C14</f>
        <v>5526</v>
      </c>
      <c r="V67" s="88" t="n">
        <f aca="false">+'EIM Volumes'!D8+'EIM Volumes'!E8+'EIM Volumes'!D14+'EIM Volumes'!E14</f>
        <v>202604</v>
      </c>
      <c r="W67" s="88" t="n">
        <f aca="false">+'EIM Volumes'!F8+'EIM Volumes'!G8+'EIM Volumes'!F14+'EIM Volumes'!G14</f>
        <v>170192</v>
      </c>
      <c r="X67" s="88" t="n">
        <f aca="false">+'EIM Volumes'!H8+'EIM Volumes'!I8+'EIM Volumes'!H14+'EIM Volumes'!I14</f>
        <v>17427</v>
      </c>
      <c r="Y67" s="88" t="n">
        <f aca="false">+'EIM Volumes'!J8+'EIM Volumes'!K8+'EIM Volumes'!J14+'EIM Volumes'!K14</f>
        <v>13890</v>
      </c>
      <c r="Z67" s="88" t="n">
        <f aca="false">+'EIM Volumes'!L8+'EIM Volumes'!M8+'EIM Volumes'!L14+'EIM Volumes'!M14</f>
        <v>155545</v>
      </c>
      <c r="AA67" s="88" t="n">
        <f aca="false">+'EIM Volumes'!N8+'EIM Volumes'!O8+'EIM Volumes'!N14+'EIM Volumes'!O14</f>
        <v>23943</v>
      </c>
      <c r="AB67" s="88"/>
    </row>
    <row r="68" customFormat="false" ht="12.75" hidden="false" customHeight="false" outlineLevel="0" collapsed="false">
      <c r="A68" s="77" t="s">
        <v>40</v>
      </c>
      <c r="B68" s="0" t="n">
        <v>0</v>
      </c>
      <c r="E68" s="0" t="s">
        <v>37</v>
      </c>
      <c r="F68" s="74"/>
      <c r="G68" s="74"/>
      <c r="H68" s="35"/>
      <c r="U68" s="88" t="n">
        <f aca="false">+'EIM Volumes'!B6+'EIM Volumes'!C6+'EIM Volumes'!C12+'EIM Volumes'!B12</f>
        <v>16759.335</v>
      </c>
      <c r="V68" s="88" t="n">
        <f aca="false">+'EIM Volumes'!D6+'EIM Volumes'!E6+'EIM Volumes'!D12+'EIM Volumes'!E12</f>
        <v>82871.455</v>
      </c>
      <c r="W68" s="88" t="n">
        <f aca="false">+'EIM Volumes'!F6+'EIM Volumes'!G6+'EIM Volumes'!F12+'EIM Volumes'!G12</f>
        <v>26520.525</v>
      </c>
      <c r="X68" s="88" t="n">
        <f aca="false">+'EIM Volumes'!H6+'EIM Volumes'!I6+'EIM Volumes'!H12+'EIM Volumes'!I12</f>
        <v>17873.853</v>
      </c>
      <c r="Y68" s="88" t="n">
        <f aca="false">+'EIM Volumes'!J6+'EIM Volumes'!K6+'EIM Volumes'!J12+'EIM Volumes'!K12</f>
        <v>49474.929</v>
      </c>
      <c r="Z68" s="88" t="n">
        <f aca="false">+'EIM Volumes'!L6+'EIM Volumes'!M6+'EIM Volumes'!L12+'EIM Volumes'!M12</f>
        <v>20144.014</v>
      </c>
      <c r="AA68" s="88" t="n">
        <f aca="false">+'EIM Volumes'!N6+'EIM Volumes'!O6+'EIM Volumes'!N12+'EIM Volumes'!O12</f>
        <v>17176.268</v>
      </c>
      <c r="AB68" s="88"/>
    </row>
    <row r="69" customFormat="false" ht="12.75" hidden="false" customHeight="false" outlineLevel="0" collapsed="false">
      <c r="E69" s="0" t="s">
        <v>40</v>
      </c>
      <c r="F69" s="74"/>
      <c r="G69" s="74"/>
      <c r="H69" s="35"/>
      <c r="U69" s="88"/>
      <c r="V69" s="88"/>
      <c r="W69" s="88"/>
      <c r="X69" s="88"/>
      <c r="Y69" s="88" t="n">
        <f aca="false">+'EIM Volumes'!J9+'EIM Volumes'!K9+'EIM Volumes'!J15+'EIM Volumes'!K15</f>
        <v>2758</v>
      </c>
      <c r="Z69" s="88" t="n">
        <f aca="false">+'EIM Volumes'!L9+'EIM Volumes'!M9+'EIM Volumes'!L15+'EIM Volumes'!M15</f>
        <v>6549.8396</v>
      </c>
      <c r="AA69" s="88" t="n">
        <f aca="false">+'EIM Volumes'!N9+'EIM Volumes'!O9+'EIM Volumes'!N15+'EIM Volumes'!O15</f>
        <v>5586</v>
      </c>
      <c r="AB69" s="88"/>
    </row>
    <row r="70" customFormat="false" ht="15" hidden="false" customHeight="false" outlineLevel="0" collapsed="false">
      <c r="A70" s="77" t="s">
        <v>15</v>
      </c>
      <c r="B70" s="0" t="n">
        <v>250</v>
      </c>
      <c r="F70" s="79" t="s">
        <v>63</v>
      </c>
      <c r="G70" s="79" t="s">
        <v>64</v>
      </c>
      <c r="H70" s="79" t="s">
        <v>65</v>
      </c>
      <c r="I70" s="79" t="s">
        <v>66</v>
      </c>
      <c r="J70" s="79" t="s">
        <v>67</v>
      </c>
      <c r="K70" s="79" t="str">
        <f aca="false">+K64</f>
        <v>2/2 - 2/8</v>
      </c>
      <c r="L70" s="79" t="str">
        <f aca="false">+L64</f>
        <v>2/9 - 2/15</v>
      </c>
      <c r="M70" s="79" t="str">
        <f aca="false">+M64</f>
        <v>2/16 - 2/22</v>
      </c>
      <c r="N70" s="79" t="str">
        <f aca="false">+N64</f>
        <v>2/23 - 2/28</v>
      </c>
      <c r="O70" s="79" t="str">
        <f aca="false">+O64</f>
        <v>3/1 - 3/7</v>
      </c>
      <c r="P70" s="79" t="str">
        <f aca="false">+P64</f>
        <v>3/8 - 3/14</v>
      </c>
      <c r="Q70" s="79" t="str">
        <f aca="false">+Q64</f>
        <v>3/15 - 3/21</v>
      </c>
      <c r="R70" s="79" t="str">
        <f aca="false">+R64</f>
        <v>3/22 - 3/28</v>
      </c>
      <c r="S70" s="79" t="str">
        <f aca="false">+S64</f>
        <v>3/29 - 4/4</v>
      </c>
      <c r="T70" s="79" t="str">
        <f aca="false">+T64</f>
        <v>4/5 - 4/11</v>
      </c>
      <c r="U70" s="79" t="str">
        <f aca="false">+U64</f>
        <v>4/12 - 4/18</v>
      </c>
      <c r="V70" s="79" t="str">
        <f aca="false">+V64</f>
        <v>4/19 - 4/25</v>
      </c>
      <c r="W70" s="79" t="str">
        <f aca="false">+W64</f>
        <v>4/26 - 5/2</v>
      </c>
      <c r="X70" s="79" t="str">
        <f aca="false">+X64</f>
        <v>5/3 - 5/9</v>
      </c>
      <c r="Y70" s="79" t="str">
        <f aca="false">+Y64</f>
        <v>5/10 - 5/16</v>
      </c>
      <c r="Z70" s="79" t="str">
        <f aca="false">+Z64</f>
        <v>5/17 - 5/23</v>
      </c>
      <c r="AA70" s="79" t="s">
        <v>84</v>
      </c>
    </row>
    <row r="71" customFormat="false" ht="12.75" hidden="false" customHeight="false" outlineLevel="0" collapsed="false">
      <c r="E71" s="0" t="s">
        <v>118</v>
      </c>
      <c r="F71" s="74" t="n">
        <f aca="false">90430383/1000</f>
        <v>90430.383</v>
      </c>
      <c r="G71" s="74" t="n">
        <f aca="false">172783348/1000</f>
        <v>172783.348</v>
      </c>
      <c r="H71" s="35" t="n">
        <f aca="false">107852720/1000</f>
        <v>107852.72</v>
      </c>
      <c r="I71" s="35" t="n">
        <f aca="false">150981588/1000</f>
        <v>150981.588</v>
      </c>
      <c r="J71" s="88" t="n">
        <f aca="false">(+'WE 2-1 EOL Data'!C9+'WE 2-1 EOL Data'!C32)/1000</f>
        <v>171949.351</v>
      </c>
      <c r="K71" s="88" t="n">
        <f aca="false">(+'WE 2-8 EOL Data'!C9+'WE 2-8 EOL Data'!C32)/1000</f>
        <v>154397.51923</v>
      </c>
      <c r="L71" s="88" t="n">
        <f aca="false">(+'WE 2-15 EOL Data'!$C9+'WE 2-15 EOL Data'!$C32)/1000</f>
        <v>174794.27447</v>
      </c>
      <c r="M71" s="88" t="n">
        <f aca="false">(+'WE 2-22 EOL Data'!$C9+'WE 2-22 EOL Data'!$C32)/1000</f>
        <v>147649.834</v>
      </c>
      <c r="N71" s="88" t="n">
        <f aca="false">(+'WE 2-28 EOL Data'!C9+'WE 2-28 EOL Data'!C32)/1000</f>
        <v>147313.01308</v>
      </c>
      <c r="O71" s="88" t="n">
        <f aca="false">(+'WE 3-7 EOL Data'!C32+'WE 3-7 EOL Data'!C9)/1000</f>
        <v>163597.30816</v>
      </c>
      <c r="P71" s="88" t="n">
        <f aca="false">(+'WE 3-14 EOL Data'!C9+'WE 3-14 EOL Data'!C32)/1000</f>
        <v>183852.27507</v>
      </c>
      <c r="Q71" s="88" t="n">
        <f aca="false">(+'WE 3-21 EOL Data'!C9+'WE 3-21 EOL Data'!C32)/1000</f>
        <v>210839.72177</v>
      </c>
      <c r="R71" s="88" t="n">
        <f aca="false">(+'WE 3-28 EOL Data'!C9+'WE 3-28 EOL Data'!C32)/1000</f>
        <v>193742.82989</v>
      </c>
      <c r="S71" s="88" t="n">
        <f aca="false">(+'WE 4-4 EOL Data'!C9+'WE 4-4 EOL Data'!C32)/1000</f>
        <v>195484.8911</v>
      </c>
      <c r="T71" s="88" t="n">
        <f aca="false">(+'WE 4-11 EOL Data'!C9+'WE 4-11 EOL Data'!C32)/1000</f>
        <v>182589.65992</v>
      </c>
      <c r="U71" s="88" t="n">
        <f aca="false">(+'WE 4-18 EOL Data'!C9+'WE 4-18 EOL Data'!C32)/1000</f>
        <v>145635.69909</v>
      </c>
      <c r="V71" s="88" t="n">
        <f aca="false">(+'WE 4-25 EOL Data'!C32+'WE 4-25 EOL Data'!C9)/1000</f>
        <v>174773.93366</v>
      </c>
      <c r="W71" s="88" t="n">
        <f aca="false">(+'WE 5-2 EOL Data'!C9+'WE 5-2 EOL Data'!C32)/1000</f>
        <v>160871.15609</v>
      </c>
      <c r="X71" s="88" t="n">
        <f aca="false">(+'WE 5-9 EOL Data'!C9+'WE 5-9 EOL Data'!C32)/1000</f>
        <v>122928.78283</v>
      </c>
      <c r="Y71" s="88" t="n">
        <f aca="false">(+'WE 5-16 EOL Data'!C9+'WE 5-16 EOL Data'!C32)/1000</f>
        <v>169849.40923</v>
      </c>
      <c r="Z71" s="88" t="n">
        <f aca="false">(+'WE 5-23 EOL Data'!C9+'WE 5-23 EOL Data'!C31)/1000</f>
        <v>310566.31708</v>
      </c>
      <c r="AA71" s="88" t="n">
        <f aca="false">(+'WE 5-30 EOL Data'!C9+'WE 5-30 EOL Data'!C31)/1000</f>
        <v>169987.8798</v>
      </c>
    </row>
    <row r="72" customFormat="false" ht="12.75" hidden="false" customHeight="false" outlineLevel="0" collapsed="false">
      <c r="A72" s="90" t="s">
        <v>21</v>
      </c>
      <c r="B72" s="90"/>
      <c r="C72" s="90"/>
      <c r="D72" s="90"/>
      <c r="E72" s="0" t="s">
        <v>119</v>
      </c>
      <c r="F72" s="35" t="n">
        <f aca="false">(1745341+1242373)/1000</f>
        <v>2987.714</v>
      </c>
      <c r="G72" s="35" t="n">
        <f aca="false">(2854306+534627)/1000</f>
        <v>3388.933</v>
      </c>
      <c r="H72" s="35" t="n">
        <f aca="false">(3053119+1631000)/1000</f>
        <v>4684.119</v>
      </c>
      <c r="I72" s="35" t="n">
        <f aca="false">(1974010+1990000)/1000</f>
        <v>3964.01</v>
      </c>
      <c r="J72" s="88" t="n">
        <f aca="false">(+'WE 2-1 EOL Data'!C10+'WE 2-1 EOL Data'!C11+'WE 2-1 EOL Data'!C33+'WE 2-1 EOL Data'!C34)/1000</f>
        <v>6572.327</v>
      </c>
      <c r="K72" s="88" t="n">
        <f aca="false">(+'WE 2-8 EOL Data'!C10+'WE 2-8 EOL Data'!C11+'WE 2-8 EOL Data'!C33+'WE 2-8 EOL Data'!C34)/1000</f>
        <v>5662.489</v>
      </c>
      <c r="L72" s="88" t="n">
        <f aca="false">(+'WE 2-15 EOL Data'!$C10+'WE 2-15 EOL Data'!$C11+'WE 2-15 EOL Data'!$C33+'WE 2-15 EOL Data'!$C34)/1000</f>
        <v>4037.94996</v>
      </c>
      <c r="M72" s="88" t="n">
        <f aca="false">(+'WE 2-22 EOL Data'!$C10+'WE 2-22 EOL Data'!$C11+'WE 2-22 EOL Data'!$C33+'WE 2-22 EOL Data'!$C34)/1000</f>
        <v>2425.5</v>
      </c>
      <c r="N72" s="88" t="n">
        <f aca="false">(+'WE 2-28 EOL Data'!C10+'WE 2-28 EOL Data'!C11+'WE 2-28 EOL Data'!C33+'WE 2-28 EOL Data'!C34)/1000</f>
        <v>818.5</v>
      </c>
      <c r="O72" s="88" t="n">
        <f aca="false">(+'WE 3-7 EOL Data'!C10+'WE 3-7 EOL Data'!C33)/1000</f>
        <v>2748.70002</v>
      </c>
      <c r="P72" s="88" t="n">
        <f aca="false">(+'WE 3-14 EOL Data'!C10+'WE 3-14 EOL Data'!C11+'WE 3-14 EOL Data'!C33+'WE 3-14 EOL Data'!C34)/1000</f>
        <v>1955.00008</v>
      </c>
      <c r="Q72" s="88" t="n">
        <f aca="false">(+'WE 3-21 EOL Data'!C10+'WE 3-21 EOL Data'!C11+'WE 3-21 EOL Data'!C33+'WE 3-21 EOL Data'!C34)/1000</f>
        <v>1257.95</v>
      </c>
      <c r="R72" s="88" t="n">
        <f aca="false">(+'WE 3-28 EOL Data'!C11+'WE 3-28 EOL Data'!C10+'WE 3-28 EOL Data'!C33+'WE 3-28 EOL Data'!C34)/1000</f>
        <v>3280.003</v>
      </c>
      <c r="S72" s="88" t="n">
        <f aca="false">(+'WE 4-4 EOL Data'!C10+'WE 4-4 EOL Data'!C11+'WE 4-4 EOL Data'!C33+'WE 4-4 EOL Data'!C34)/1000</f>
        <v>1233</v>
      </c>
      <c r="T72" s="88" t="n">
        <f aca="false">(+'WE 4-11 EOL Data'!C10+'WE 4-11 EOL Data'!C11+'WE 4-11 EOL Data'!C33+'WE 4-11 EOL Data'!C34)/1000</f>
        <v>1066.385</v>
      </c>
      <c r="U72" s="88" t="n">
        <f aca="false">(+'WE 4-18 EOL Data'!C10+'WE 4-18 EOL Data'!C11+'WE 4-18 EOL Data'!C33+'WE 4-18 EOL Data'!C34)/1000</f>
        <v>1859.7</v>
      </c>
      <c r="V72" s="88" t="n">
        <f aca="false">(+'WE 4-25 EOL Data'!C10+'WE 4-25 EOL Data'!C11+'WE 4-25 EOL Data'!C34+'WE 4-25 EOL Data'!C33)/1000</f>
        <v>2362.5</v>
      </c>
      <c r="W72" s="88" t="n">
        <f aca="false">(+'WE 5-2 EOL Data'!C10+'WE 5-2 EOL Data'!C11+'WE 5-2 EOL Data'!C33+'WE 5-2 EOL Data'!C34)/1000</f>
        <v>5954.498</v>
      </c>
      <c r="X72" s="88" t="n">
        <f aca="false">(+'WE 5-9 EOL Data'!C10+'WE 5-9 EOL Data'!C11+'WE 5-9 EOL Data'!C33+'WE 5-9 EOL Data'!C34)/1000</f>
        <v>500</v>
      </c>
      <c r="Y72" s="88" t="n">
        <f aca="false">(+'WE 5-16 EOL Data'!C10+'WE 5-16 EOL Data'!C11+'WE 5-16 EOL Data'!C33+'WE 5-16 EOL Data'!C34)/1000</f>
        <v>2082</v>
      </c>
      <c r="Z72" s="88" t="n">
        <f aca="false">(+'WE 5-23 EOL Data'!C10+'WE 5-23 EOL Data'!C11+'WE 5-23 EOL Data'!C32+'WE 5-23 EOL Data'!C33)/1000</f>
        <v>735.5</v>
      </c>
      <c r="AA72" s="88" t="n">
        <f aca="false">(+'WE 5-30 EOL Data'!C10+'WE 5-30 EOL Data'!C11+'WE 5-30 EOL Data'!C32+'WE 5-30 EOL Data'!C33)/1000</f>
        <v>2368.75</v>
      </c>
    </row>
    <row r="73" customFormat="false" ht="12.75" hidden="false" customHeight="false" outlineLevel="0" collapsed="false">
      <c r="A73" s="91" t="s">
        <v>26</v>
      </c>
      <c r="B73" s="0" t="n">
        <v>45</v>
      </c>
      <c r="C73" s="0" t="n">
        <v>40</v>
      </c>
      <c r="D73" s="0" t="n">
        <v>55</v>
      </c>
      <c r="E73" s="0" t="s">
        <v>120</v>
      </c>
      <c r="F73" s="35" t="n">
        <v>5</v>
      </c>
      <c r="G73" s="35" t="n">
        <v>5</v>
      </c>
      <c r="H73" s="35" t="n">
        <f aca="false">34100/1000</f>
        <v>34.1</v>
      </c>
      <c r="I73" s="35" t="n">
        <f aca="false">107570/1000</f>
        <v>107.57</v>
      </c>
      <c r="J73" s="88" t="n">
        <f aca="false">(+'WE 2-1 EOL Data'!C14+'WE 2-1 EOL Data'!C37)/1000</f>
        <v>46.35</v>
      </c>
      <c r="K73" s="88" t="n">
        <f aca="false">(+'WE 2-8 EOL Data'!C14+'WE 2-8 EOL Data'!C37)/1000</f>
        <v>100.1</v>
      </c>
      <c r="L73" s="88" t="n">
        <f aca="false">(+'WE 2-15 EOL Data'!$C14+'WE 2-15 EOL Data'!$C37)/1000</f>
        <v>40</v>
      </c>
      <c r="M73" s="88" t="n">
        <f aca="false">(+'WE 2-22 EOL Data'!$C14+'WE 2-22 EOL Data'!$C37)/1000</f>
        <v>37.5</v>
      </c>
      <c r="N73" s="88" t="n">
        <f aca="false">(+'WE 2-28 EOL Data'!C14+'WE 2-28 EOL Data'!C37)/1000</f>
        <v>7.5</v>
      </c>
      <c r="O73" s="88" t="n">
        <f aca="false">(+'WE 3-7 EOL Data'!C14+'WE 3-7 EOL Data'!C37)/1000</f>
        <v>5.2</v>
      </c>
      <c r="P73" s="88" t="n">
        <f aca="false">(+'WE 3-14 EOL Data'!C37+'WE 3-14 EOL Data'!C14)/1000</f>
        <v>32.85</v>
      </c>
      <c r="Q73" s="88" t="n">
        <f aca="false">(+'WE 3-21 EOL Data'!C14+'WE 3-21 EOL Data'!C37)/1000</f>
        <v>72.05</v>
      </c>
      <c r="R73" s="88" t="n">
        <f aca="false">(+'WE 3-28 EOL Data'!C14+'WE 3-28 EOL Data'!C37)/1000</f>
        <v>101.95</v>
      </c>
      <c r="S73" s="88" t="n">
        <f aca="false">(+'WE 4-4 EOL Data'!C14+'WE 4-4 EOL Data'!C37)/1000</f>
        <v>179</v>
      </c>
      <c r="T73" s="88" t="n">
        <f aca="false">(+'WE 4-11 EOL Data'!C14+'WE 4-11 EOL Data'!C37)/1000</f>
        <v>108.774</v>
      </c>
      <c r="U73" s="88" t="n">
        <f aca="false">(+'WE 4-18 EOL Data'!C14+'WE 4-18 EOL Data'!C37)/1000</f>
        <v>17.5</v>
      </c>
      <c r="V73" s="88" t="n">
        <f aca="false">(+'WE 4-25 EOL Data'!C14+'WE 4-25 EOL Data'!C37)/1000</f>
        <v>150.1</v>
      </c>
      <c r="W73" s="88" t="n">
        <f aca="false">(+'WE 5-2 EOL Data'!C14+'WE 5-2 EOL Data'!C37)/1000</f>
        <v>27.5</v>
      </c>
      <c r="X73" s="88" t="n">
        <f aca="false">(+'WE 5-9 EOL Data'!C14+'WE 5-9 EOL Data'!C37)/1000</f>
        <v>75</v>
      </c>
      <c r="Y73" s="88" t="n">
        <f aca="false">(+'WE 5-16 EOL Data'!C14+'WE 5-16 EOL Data'!C37)/1000</f>
        <v>45.75</v>
      </c>
      <c r="Z73" s="88" t="n">
        <f aca="false">(+'WE 5-23 EOL Data'!C14+'WE 5-23 EOL Data'!C36)/1000</f>
        <v>57.5</v>
      </c>
      <c r="AA73" s="88" t="n">
        <f aca="false">(+'WE 5-30 EOL Data'!C14+'WE 5-30 EOL Data'!C36)/1000</f>
        <v>15</v>
      </c>
    </row>
    <row r="74" customFormat="false" ht="12.75" hidden="false" customHeight="false" outlineLevel="0" collapsed="false">
      <c r="A74" s="91" t="s">
        <v>23</v>
      </c>
      <c r="B74" s="0" t="n">
        <v>150</v>
      </c>
      <c r="C74" s="0" t="n">
        <v>120</v>
      </c>
      <c r="D74" s="0" t="n">
        <v>125</v>
      </c>
      <c r="E74" s="0" t="s">
        <v>121</v>
      </c>
      <c r="F74" s="35" t="n">
        <v>49250</v>
      </c>
      <c r="G74" s="35" t="n">
        <v>45350</v>
      </c>
      <c r="H74" s="35" t="n">
        <v>120900</v>
      </c>
      <c r="I74" s="35" t="n">
        <v>115500</v>
      </c>
      <c r="J74" s="88" t="n">
        <f aca="false">+'WE 2-1 EOL Data'!C12+'WE 2-1 EOL Data'!C35</f>
        <v>56000</v>
      </c>
      <c r="K74" s="88" t="n">
        <f aca="false">+'WE 2-8 EOL Data'!C12+'WE 2-8 EOL Data'!C35</f>
        <v>103400</v>
      </c>
      <c r="L74" s="88" t="n">
        <f aca="false">+'WE 2-15 EOL Data'!$C12+'WE 2-15 EOL Data'!$C35</f>
        <v>143000</v>
      </c>
      <c r="M74" s="88" t="n">
        <f aca="false">+'WE 2-22 EOL Data'!$C12+'WE 2-22 EOL Data'!$C35</f>
        <v>377800</v>
      </c>
      <c r="N74" s="88" t="n">
        <f aca="false">+'WE 2-28 EOL Data'!C12+'WE 2-28 EOL Data'!C35</f>
        <v>69200</v>
      </c>
      <c r="O74" s="88" t="n">
        <f aca="false">+'WE 3-7 EOL Data'!C12+'WE 3-7 EOL Data'!C35</f>
        <v>99600</v>
      </c>
      <c r="P74" s="88" t="n">
        <f aca="false">+'WE 3-14 EOL Data'!C12+'WE 3-14 EOL Data'!C35</f>
        <v>45600</v>
      </c>
      <c r="Q74" s="88" t="n">
        <f aca="false">+'WE 3-21 EOL Data'!C12+'WE 3-21 EOL Data'!C35</f>
        <v>54000</v>
      </c>
      <c r="R74" s="88" t="n">
        <f aca="false">+'WE 3-28 EOL Data'!C12+'WE 3-28 EOL Data'!C35</f>
        <v>25800</v>
      </c>
      <c r="S74" s="88" t="n">
        <f aca="false">+'WE 4-4 EOL Data'!C12+'WE 4-4 EOL Data'!C35</f>
        <v>50000</v>
      </c>
      <c r="T74" s="88" t="n">
        <f aca="false">+'WE 4-11 EOL Data'!C12+'WE 4-11 EOL Data'!C35</f>
        <v>33800</v>
      </c>
      <c r="U74" s="88" t="n">
        <f aca="false">+'WE 4-18 EOL Data'!C12+'WE 4-18 EOL Data'!C35</f>
        <v>15000</v>
      </c>
      <c r="V74" s="88" t="n">
        <f aca="false">+'WE 4-25 EOL Data'!C12+'WE 4-25 EOL Data'!C35</f>
        <v>41300</v>
      </c>
      <c r="W74" s="88" t="n">
        <f aca="false">+'WE 5-2 EOL Data'!C12+'WE 5-2 EOL Data'!C35</f>
        <v>30000</v>
      </c>
      <c r="X74" s="88" t="n">
        <f aca="false">+'WE 5-9 EOL Data'!C12+'WE 5-9 EOL Data'!C35</f>
        <v>40500</v>
      </c>
      <c r="Y74" s="88" t="n">
        <f aca="false">+'WE 5-16 EOL Data'!C12+'WE 5-16 EOL Data'!C35</f>
        <v>43700</v>
      </c>
      <c r="Z74" s="88" t="n">
        <f aca="false">+'WE 5-23 EOL Data'!C12+'WE 5-23 EOL Data'!C34</f>
        <v>93760</v>
      </c>
      <c r="AA74" s="88" t="n">
        <f aca="false">+'WE 5-30 EOL Data'!C12+'WE 5-30 EOL Data'!C34</f>
        <v>23300</v>
      </c>
      <c r="AC74" s="88"/>
    </row>
    <row r="75" customFormat="false" ht="12.75" hidden="false" customHeight="false" outlineLevel="0" collapsed="false">
      <c r="E75" s="0" t="s">
        <v>122</v>
      </c>
      <c r="F75" s="74" t="n">
        <v>6275000</v>
      </c>
      <c r="G75" s="74" t="n">
        <v>6398750</v>
      </c>
      <c r="H75" s="35" t="n">
        <v>3718000</v>
      </c>
      <c r="I75" s="35" t="n">
        <v>6618000</v>
      </c>
      <c r="J75" s="88" t="n">
        <f aca="false">+'WE 2-1 EOL Data'!C13+'WE 2-1 EOL Data'!C36</f>
        <v>5632500</v>
      </c>
      <c r="K75" s="88" t="n">
        <f aca="false">+'WE 2-8 EOL Data'!C13+'WE 2-8 EOL Data'!C36</f>
        <v>8754250</v>
      </c>
      <c r="L75" s="88" t="n">
        <f aca="false">+'WE 2-15 EOL Data'!$C13+'WE 2-15 EOL Data'!$C36</f>
        <v>4975000</v>
      </c>
      <c r="M75" s="88" t="n">
        <f aca="false">+'WE 2-22 EOL Data'!$C13+'WE 2-22 EOL Data'!$C36</f>
        <v>5786000</v>
      </c>
      <c r="N75" s="88" t="n">
        <f aca="false">+'WE 2-28 EOL Data'!C13+'WE 2-28 EOL Data'!C36</f>
        <v>4422278</v>
      </c>
      <c r="O75" s="88" t="n">
        <f aca="false">+'WE 3-7 EOL Data'!C13+'WE 3-7 EOL Data'!C36</f>
        <v>4982000</v>
      </c>
      <c r="P75" s="88" t="n">
        <f aca="false">+'WE 3-14 EOL Data'!C13+'WE 3-14 EOL Data'!C36</f>
        <v>17863222</v>
      </c>
      <c r="Q75" s="88" t="n">
        <f aca="false">+'WE 3-21 EOL Data'!C13+'WE 3-21 EOL Data'!C36</f>
        <v>8685000</v>
      </c>
      <c r="R75" s="88" t="n">
        <f aca="false">+'WE 3-28 EOL Data'!C13+'WE 3-28 EOL Data'!C36</f>
        <v>0</v>
      </c>
      <c r="S75" s="88" t="n">
        <f aca="false">+'WE 4-4 EOL Data'!C13+'WE 4-4 EOL Data'!C36</f>
        <v>0</v>
      </c>
      <c r="T75" s="88" t="n">
        <f aca="false">+'WE 4-11 EOL Data'!C13+'WE 4-11 EOL Data'!C36</f>
        <v>0</v>
      </c>
      <c r="U75" s="88" t="n">
        <f aca="false">+'WE 4-18 EOL Data'!C13+'WE 4-18 EOL Data'!C36</f>
        <v>0</v>
      </c>
      <c r="V75" s="88" t="n">
        <f aca="false">+'WE 4-25 EOL Data'!C13+'WE 4-25 EOL Data'!C36</f>
        <v>0</v>
      </c>
      <c r="W75" s="88" t="n">
        <v>0</v>
      </c>
      <c r="X75" s="88" t="n">
        <v>0</v>
      </c>
      <c r="Y75" s="88" t="n">
        <v>0</v>
      </c>
      <c r="Z75" s="88" t="n">
        <v>0</v>
      </c>
      <c r="AA75" s="88" t="n">
        <f aca="false">+'WE 5-30 EOL Data'!C35+'WE 5-30 EOL Data'!C13</f>
        <v>0</v>
      </c>
      <c r="AC75" s="88"/>
    </row>
    <row r="76" customFormat="false" ht="12.75" hidden="false" customHeight="false" outlineLevel="0" collapsed="false">
      <c r="A76" s="91" t="s">
        <v>31</v>
      </c>
      <c r="B76" s="0" t="n">
        <v>2</v>
      </c>
      <c r="C76" s="0" t="n">
        <v>5</v>
      </c>
      <c r="D76" s="0" t="n">
        <v>2</v>
      </c>
    </row>
    <row r="77" customFormat="false" ht="12.75" hidden="false" customHeight="false" outlineLevel="0" collapsed="false">
      <c r="A77" s="91" t="s">
        <v>33</v>
      </c>
      <c r="B77" s="0" t="n">
        <v>2</v>
      </c>
      <c r="C77" s="0" t="n">
        <v>1</v>
      </c>
      <c r="D77" s="0" t="n">
        <v>10</v>
      </c>
      <c r="AC77" s="35"/>
    </row>
    <row r="78" customFormat="false" ht="12.75" hidden="false" customHeight="false" outlineLevel="0" collapsed="false">
      <c r="A78" s="90" t="s">
        <v>123</v>
      </c>
    </row>
    <row r="79" customFormat="false" ht="12.75" hidden="false" customHeight="false" outlineLevel="0" collapsed="false">
      <c r="A79" s="91" t="s">
        <v>13</v>
      </c>
      <c r="B79" s="0" t="n">
        <v>11000</v>
      </c>
      <c r="C79" s="0" t="n">
        <v>12500</v>
      </c>
      <c r="D79" s="0" t="n">
        <v>12000</v>
      </c>
    </row>
    <row r="80" customFormat="false" ht="12.75" hidden="false" customHeight="false" outlineLevel="0" collapsed="false">
      <c r="A80" s="91" t="s">
        <v>15</v>
      </c>
      <c r="B80" s="0" t="n">
        <v>5500</v>
      </c>
      <c r="C80" s="0" t="n">
        <v>5000</v>
      </c>
      <c r="D80" s="0" t="n">
        <v>4055</v>
      </c>
    </row>
    <row r="81" customFormat="false" ht="12.75" hidden="false" customHeight="false" outlineLevel="0" collapsed="false">
      <c r="A81" s="90" t="s">
        <v>39</v>
      </c>
    </row>
    <row r="82" customFormat="false" ht="12.75" hidden="false" customHeight="false" outlineLevel="0" collapsed="false">
      <c r="A82" s="91" t="s">
        <v>32</v>
      </c>
      <c r="B82" s="0" t="n">
        <v>25</v>
      </c>
      <c r="C82" s="0" t="n">
        <v>52</v>
      </c>
      <c r="D82" s="0" t="n">
        <v>30</v>
      </c>
    </row>
    <row r="83" customFormat="false" ht="12.75" hidden="false" customHeight="false" outlineLevel="0" collapsed="false">
      <c r="A83" s="91" t="s">
        <v>34</v>
      </c>
      <c r="B83" s="0" t="n">
        <v>10</v>
      </c>
      <c r="C83" s="0" t="n">
        <v>42</v>
      </c>
      <c r="D83" s="0" t="n">
        <v>50</v>
      </c>
    </row>
    <row r="84" customFormat="false" ht="12.75" hidden="false" customHeight="false" outlineLevel="0" collapsed="false">
      <c r="A84" s="91" t="s">
        <v>37</v>
      </c>
      <c r="B84" s="0" t="n">
        <v>8</v>
      </c>
      <c r="C84" s="0" t="n">
        <v>8</v>
      </c>
      <c r="D84" s="0" t="n">
        <v>8</v>
      </c>
    </row>
    <row r="85" customFormat="false" ht="12.75" hidden="false" customHeight="false" outlineLevel="0" collapsed="false">
      <c r="A85" s="91" t="s">
        <v>40</v>
      </c>
      <c r="B85" s="0" t="n">
        <v>3</v>
      </c>
      <c r="C85" s="0" t="n">
        <v>1</v>
      </c>
      <c r="D85" s="0" t="n">
        <v>4</v>
      </c>
    </row>
    <row r="87" customFormat="false" ht="12.75" hidden="false" customHeight="false" outlineLevel="0" collapsed="false">
      <c r="A87" s="0" t="s">
        <v>124</v>
      </c>
      <c r="B87" s="0" t="s">
        <v>125</v>
      </c>
      <c r="C87" s="0" t="s">
        <v>126</v>
      </c>
      <c r="D87" s="0" t="s">
        <v>127</v>
      </c>
      <c r="E87" s="92" t="s">
        <v>1</v>
      </c>
      <c r="F87" s="92"/>
    </row>
    <row r="88" customFormat="false" ht="12.75" hidden="false" customHeight="false" outlineLevel="0" collapsed="false">
      <c r="A88" s="90" t="s">
        <v>128</v>
      </c>
      <c r="B88" s="87" t="s">
        <v>86</v>
      </c>
      <c r="C88" s="0" t="s">
        <v>13</v>
      </c>
      <c r="D88" s="87" t="n">
        <v>1350</v>
      </c>
      <c r="E88" s="0" t="n">
        <f aca="false">B79</f>
        <v>11000</v>
      </c>
    </row>
    <row r="89" customFormat="false" ht="12.75" hidden="false" customHeight="false" outlineLevel="0" collapsed="false">
      <c r="A89" s="90" t="s">
        <v>128</v>
      </c>
      <c r="B89" s="87" t="s">
        <v>90</v>
      </c>
      <c r="C89" s="0" t="s">
        <v>15</v>
      </c>
      <c r="D89" s="87" t="n">
        <v>180</v>
      </c>
      <c r="E89" s="0" t="n">
        <v>5500</v>
      </c>
    </row>
    <row r="90" customFormat="false" ht="12.75" hidden="false" customHeight="false" outlineLevel="0" collapsed="false">
      <c r="A90" s="90" t="s">
        <v>128</v>
      </c>
      <c r="B90" s="87" t="s">
        <v>129</v>
      </c>
      <c r="C90" s="0" t="s">
        <v>37</v>
      </c>
      <c r="D90" s="87" t="n">
        <v>8</v>
      </c>
      <c r="E90" s="0" t="n">
        <v>8</v>
      </c>
    </row>
    <row r="91" customFormat="false" ht="12.75" hidden="false" customHeight="false" outlineLevel="0" collapsed="false">
      <c r="A91" s="90" t="s">
        <v>128</v>
      </c>
      <c r="B91" s="87" t="s">
        <v>130</v>
      </c>
      <c r="C91" s="0" t="s">
        <v>32</v>
      </c>
      <c r="D91" s="87" t="n">
        <v>15</v>
      </c>
      <c r="E91" s="0" t="n">
        <v>25</v>
      </c>
    </row>
    <row r="92" customFormat="false" ht="12.75" hidden="false" customHeight="false" outlineLevel="0" collapsed="false">
      <c r="A92" s="90" t="s">
        <v>128</v>
      </c>
      <c r="B92" s="87" t="s">
        <v>131</v>
      </c>
      <c r="C92" s="0" t="s">
        <v>40</v>
      </c>
      <c r="D92" s="87" t="n">
        <v>5</v>
      </c>
      <c r="E92" s="0" t="n">
        <v>3</v>
      </c>
    </row>
    <row r="93" customFormat="false" ht="12.75" hidden="false" customHeight="false" outlineLevel="0" collapsed="false">
      <c r="A93" s="90" t="s">
        <v>128</v>
      </c>
      <c r="B93" s="87" t="s">
        <v>132</v>
      </c>
      <c r="C93" s="0" t="s">
        <v>34</v>
      </c>
      <c r="D93" s="87" t="n">
        <v>10</v>
      </c>
      <c r="E93" s="0" t="n">
        <v>10</v>
      </c>
    </row>
    <row r="94" customFormat="false" ht="12.75" hidden="false" customHeight="false" outlineLevel="0" collapsed="false">
      <c r="A94" s="90" t="s">
        <v>128</v>
      </c>
      <c r="B94" s="87" t="s">
        <v>133</v>
      </c>
      <c r="C94" s="0" t="s">
        <v>134</v>
      </c>
      <c r="D94" s="87" t="n">
        <v>45</v>
      </c>
      <c r="E94" s="0" t="n">
        <v>45</v>
      </c>
    </row>
    <row r="95" customFormat="false" ht="12.75" hidden="false" customHeight="false" outlineLevel="0" collapsed="false">
      <c r="A95" s="90" t="s">
        <v>128</v>
      </c>
      <c r="B95" s="87" t="s">
        <v>135</v>
      </c>
      <c r="C95" s="0" t="s">
        <v>28</v>
      </c>
      <c r="D95" s="87" t="n">
        <v>2</v>
      </c>
      <c r="E95" s="0" t="n">
        <v>2</v>
      </c>
    </row>
    <row r="96" customFormat="false" ht="12.75" hidden="false" customHeight="false" outlineLevel="0" collapsed="false">
      <c r="A96" s="77" t="s">
        <v>136</v>
      </c>
      <c r="B96" s="87" t="s">
        <v>86</v>
      </c>
      <c r="C96" s="0" t="s">
        <v>13</v>
      </c>
      <c r="D96" s="87" t="n">
        <v>1505</v>
      </c>
      <c r="E96" s="0" t="n">
        <f aca="false">C79</f>
        <v>12500</v>
      </c>
    </row>
    <row r="97" customFormat="false" ht="12.75" hidden="false" customHeight="false" outlineLevel="0" collapsed="false">
      <c r="A97" s="77" t="s">
        <v>136</v>
      </c>
      <c r="B97" s="87" t="s">
        <v>90</v>
      </c>
      <c r="C97" s="0" t="s">
        <v>15</v>
      </c>
      <c r="D97" s="87" t="n">
        <v>175</v>
      </c>
      <c r="E97" s="0" t="n">
        <v>5000</v>
      </c>
    </row>
    <row r="98" customFormat="false" ht="12.75" hidden="false" customHeight="false" outlineLevel="0" collapsed="false">
      <c r="A98" s="77" t="s">
        <v>136</v>
      </c>
      <c r="B98" s="87" t="s">
        <v>129</v>
      </c>
      <c r="C98" s="0" t="s">
        <v>37</v>
      </c>
      <c r="D98" s="87" t="n">
        <v>10</v>
      </c>
      <c r="E98" s="0" t="n">
        <v>8</v>
      </c>
    </row>
    <row r="99" customFormat="false" ht="12.75" hidden="false" customHeight="false" outlineLevel="0" collapsed="false">
      <c r="A99" s="77" t="s">
        <v>136</v>
      </c>
      <c r="B99" s="87" t="s">
        <v>130</v>
      </c>
      <c r="C99" s="0" t="s">
        <v>32</v>
      </c>
      <c r="D99" s="87" t="n">
        <v>25</v>
      </c>
      <c r="E99" s="0" t="n">
        <v>52</v>
      </c>
    </row>
    <row r="100" customFormat="false" ht="12.75" hidden="false" customHeight="false" outlineLevel="0" collapsed="false">
      <c r="A100" s="77" t="s">
        <v>136</v>
      </c>
      <c r="B100" s="87" t="s">
        <v>131</v>
      </c>
      <c r="C100" s="0" t="s">
        <v>40</v>
      </c>
      <c r="D100" s="87" t="n">
        <v>7</v>
      </c>
      <c r="E100" s="0" t="n">
        <v>1</v>
      </c>
    </row>
    <row r="101" customFormat="false" ht="12.75" hidden="false" customHeight="false" outlineLevel="0" collapsed="false">
      <c r="A101" s="77" t="s">
        <v>136</v>
      </c>
      <c r="B101" s="87" t="s">
        <v>132</v>
      </c>
      <c r="C101" s="0" t="s">
        <v>34</v>
      </c>
      <c r="D101" s="87" t="n">
        <v>30</v>
      </c>
      <c r="E101" s="0" t="n">
        <v>42</v>
      </c>
    </row>
    <row r="102" customFormat="false" ht="12.75" hidden="false" customHeight="false" outlineLevel="0" collapsed="false">
      <c r="A102" s="77" t="s">
        <v>136</v>
      </c>
      <c r="B102" s="87" t="s">
        <v>133</v>
      </c>
      <c r="C102" s="0" t="s">
        <v>134</v>
      </c>
      <c r="D102" s="87" t="n">
        <v>32</v>
      </c>
      <c r="E102" s="0" t="n">
        <v>40</v>
      </c>
    </row>
    <row r="103" customFormat="false" ht="12.75" hidden="false" customHeight="false" outlineLevel="0" collapsed="false">
      <c r="A103" s="77" t="s">
        <v>136</v>
      </c>
      <c r="B103" s="87" t="s">
        <v>135</v>
      </c>
      <c r="C103" s="0" t="s">
        <v>28</v>
      </c>
      <c r="D103" s="87" t="n">
        <v>2</v>
      </c>
      <c r="E103" s="0" t="n">
        <v>1</v>
      </c>
    </row>
    <row r="104" customFormat="false" ht="12.75" hidden="false" customHeight="false" outlineLevel="0" collapsed="false">
      <c r="A104" s="77" t="s">
        <v>137</v>
      </c>
      <c r="B104" s="87" t="s">
        <v>86</v>
      </c>
      <c r="C104" s="0" t="s">
        <v>13</v>
      </c>
      <c r="D104" s="0" t="n">
        <v>1600</v>
      </c>
      <c r="E104" s="0" t="n">
        <f aca="false">D79</f>
        <v>12000</v>
      </c>
    </row>
    <row r="105" customFormat="false" ht="12.75" hidden="false" customHeight="false" outlineLevel="0" collapsed="false">
      <c r="A105" s="77" t="s">
        <v>137</v>
      </c>
      <c r="B105" s="87" t="s">
        <v>90</v>
      </c>
      <c r="C105" s="0" t="s">
        <v>15</v>
      </c>
      <c r="D105" s="0" t="n">
        <v>190</v>
      </c>
      <c r="E105" s="0" t="n">
        <v>4055</v>
      </c>
    </row>
    <row r="106" customFormat="false" ht="12.75" hidden="false" customHeight="false" outlineLevel="0" collapsed="false">
      <c r="A106" s="77" t="s">
        <v>137</v>
      </c>
      <c r="B106" s="87" t="s">
        <v>129</v>
      </c>
      <c r="C106" s="0" t="s">
        <v>37</v>
      </c>
      <c r="D106" s="0" t="n">
        <v>10</v>
      </c>
      <c r="E106" s="0" t="n">
        <v>8</v>
      </c>
    </row>
    <row r="107" customFormat="false" ht="12.75" hidden="false" customHeight="false" outlineLevel="0" collapsed="false">
      <c r="A107" s="77" t="s">
        <v>137</v>
      </c>
      <c r="B107" s="87" t="s">
        <v>130</v>
      </c>
      <c r="C107" s="0" t="s">
        <v>32</v>
      </c>
      <c r="D107" s="0" t="n">
        <v>25</v>
      </c>
      <c r="E107" s="0" t="n">
        <v>30</v>
      </c>
    </row>
    <row r="108" customFormat="false" ht="12.75" hidden="false" customHeight="false" outlineLevel="0" collapsed="false">
      <c r="A108" s="77" t="s">
        <v>137</v>
      </c>
      <c r="B108" s="87" t="s">
        <v>131</v>
      </c>
      <c r="C108" s="0" t="s">
        <v>40</v>
      </c>
      <c r="D108" s="0" t="n">
        <v>8</v>
      </c>
      <c r="E108" s="0" t="n">
        <v>4</v>
      </c>
    </row>
    <row r="109" customFormat="false" ht="12.75" hidden="false" customHeight="false" outlineLevel="0" collapsed="false">
      <c r="A109" s="77" t="s">
        <v>137</v>
      </c>
      <c r="B109" s="87" t="s">
        <v>132</v>
      </c>
      <c r="C109" s="0" t="s">
        <v>34</v>
      </c>
      <c r="D109" s="0" t="n">
        <v>40</v>
      </c>
      <c r="E109" s="0" t="n">
        <v>50</v>
      </c>
    </row>
    <row r="110" customFormat="false" ht="12.75" hidden="false" customHeight="false" outlineLevel="0" collapsed="false">
      <c r="A110" s="77" t="s">
        <v>137</v>
      </c>
      <c r="B110" s="87" t="s">
        <v>133</v>
      </c>
      <c r="C110" s="0" t="s">
        <v>134</v>
      </c>
      <c r="D110" s="0" t="n">
        <v>37</v>
      </c>
      <c r="E110" s="0" t="n">
        <v>55</v>
      </c>
    </row>
    <row r="111" customFormat="false" ht="12.75" hidden="false" customHeight="false" outlineLevel="0" collapsed="false">
      <c r="A111" s="77" t="s">
        <v>137</v>
      </c>
      <c r="B111" s="87" t="s">
        <v>135</v>
      </c>
      <c r="C111" s="0" t="s">
        <v>28</v>
      </c>
      <c r="D111" s="0" t="n">
        <v>2</v>
      </c>
      <c r="E111" s="0" t="n">
        <v>2</v>
      </c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0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202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16972</v>
      </c>
      <c r="C6" s="35" t="n">
        <v>2417136104.16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2674</v>
      </c>
      <c r="C7" s="35" t="n">
        <v>20730564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1131</v>
      </c>
      <c r="C9" s="85" t="n">
        <v>54572000.01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2</v>
      </c>
      <c r="C11" s="85" t="n">
        <v>90000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0</v>
      </c>
      <c r="C12" s="85" t="n">
        <v>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8</v>
      </c>
      <c r="C14" s="176" t="n">
        <v>20000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12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202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3413</v>
      </c>
      <c r="C29" s="176" t="n">
        <v>2183780891.11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2588</v>
      </c>
      <c r="C30" s="176" t="n">
        <v>30791701.3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1861</v>
      </c>
      <c r="C32" s="176" t="n">
        <v>140912891.09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16</v>
      </c>
      <c r="C33" s="176" t="n">
        <v>1104750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1</v>
      </c>
      <c r="C34" s="176" t="n">
        <v>15000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10</v>
      </c>
      <c r="C35" s="176" t="n">
        <v>50000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537</v>
      </c>
      <c r="C36" s="176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9</v>
      </c>
      <c r="C37" s="176" t="n">
        <v>159000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387</v>
      </c>
      <c r="C39" s="176" t="n">
        <v>201955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0</v>
      </c>
      <c r="C40" s="176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202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3</v>
      </c>
      <c r="C49" s="35" t="n">
        <v>352000</v>
      </c>
      <c r="D49" s="180" t="s">
        <v>183</v>
      </c>
      <c r="E49" s="180"/>
    </row>
    <row r="50" customFormat="false" ht="12.75" hidden="false" customHeight="false" outlineLevel="0" collapsed="false">
      <c r="A50" s="175" t="s">
        <v>32</v>
      </c>
      <c r="B50" s="35"/>
      <c r="C50" s="35"/>
      <c r="D50" s="180"/>
      <c r="E50" s="180"/>
    </row>
    <row r="51" customFormat="false" ht="12.75" hidden="false" customHeight="false" outlineLevel="0" collapsed="false">
      <c r="A51" s="175" t="s">
        <v>163</v>
      </c>
      <c r="B51" s="35" t="n">
        <v>4</v>
      </c>
      <c r="C51" s="35" t="n">
        <v>1420</v>
      </c>
      <c r="D51" s="180" t="s">
        <v>184</v>
      </c>
      <c r="E51" s="180"/>
    </row>
    <row r="52" customFormat="false" ht="12.75" hidden="false" customHeight="false" outlineLevel="0" collapsed="false">
      <c r="B52" s="180"/>
      <c r="C52" s="180"/>
      <c r="D52" s="180"/>
      <c r="E52" s="180"/>
    </row>
    <row r="53" customFormat="false" ht="12.75" hidden="false" customHeight="false" outlineLevel="0" collapsed="false">
      <c r="A53" s="90" t="s">
        <v>185</v>
      </c>
      <c r="B53" s="183" t="n">
        <v>1</v>
      </c>
      <c r="C53" s="183"/>
      <c r="D53" s="180"/>
      <c r="E53" s="180"/>
    </row>
    <row r="54" customFormat="false" ht="12.75" hidden="false" customHeight="false" outlineLevel="0" collapsed="false">
      <c r="B54" s="180"/>
      <c r="C54" s="180"/>
      <c r="D54" s="180"/>
      <c r="E54" s="180"/>
    </row>
    <row r="55" customFormat="false" ht="12.75" hidden="false" customHeight="false" outlineLevel="0" collapsed="false">
      <c r="A55" s="87" t="s">
        <v>186</v>
      </c>
      <c r="B55" s="180"/>
      <c r="C55" s="184" t="n">
        <v>352</v>
      </c>
      <c r="D55" s="180"/>
      <c r="E55" s="180"/>
    </row>
    <row r="56" customFormat="false" ht="12.75" hidden="false" customHeight="false" outlineLevel="0" collapsed="false">
      <c r="B56" s="180"/>
      <c r="C56" s="180"/>
      <c r="D56" s="180"/>
      <c r="E56" s="180"/>
    </row>
    <row r="57" customFormat="false" ht="12.75" hidden="false" customHeight="false" outlineLevel="0" collapsed="false">
      <c r="B57" s="180"/>
      <c r="C57" s="180"/>
      <c r="D57" s="180"/>
      <c r="E57" s="180"/>
    </row>
    <row r="58" customFormat="false" ht="12.75" hidden="false" customHeight="false" outlineLevel="0" collapsed="false">
      <c r="A58" s="84" t="s">
        <v>187</v>
      </c>
      <c r="B58" s="183"/>
      <c r="C58" s="185" t="n">
        <v>203727</v>
      </c>
      <c r="D58" s="183"/>
      <c r="E58" s="183"/>
      <c r="F58" s="90"/>
    </row>
    <row r="59" customFormat="false" ht="12.75" hidden="false" customHeight="false" outlineLevel="0" collapsed="false">
      <c r="B59" s="180"/>
      <c r="C59" s="180"/>
      <c r="D59" s="180"/>
    </row>
    <row r="60" customFormat="false" ht="12.75" hidden="false" customHeight="false" outlineLevel="0" collapsed="false">
      <c r="B60" s="180"/>
      <c r="C60" s="180"/>
      <c r="D60" s="18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5" right="0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U69" activeCellId="0" sqref="U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203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15898</v>
      </c>
      <c r="C6" s="35" t="n">
        <v>1962374289.7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2724</v>
      </c>
      <c r="C7" s="35" t="n">
        <v>22859310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956</v>
      </c>
      <c r="C9" s="85" t="n">
        <v>46692000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1</v>
      </c>
      <c r="C10" s="85" t="n">
        <v>23250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4</v>
      </c>
      <c r="C11" s="85" t="n">
        <v>100000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4</v>
      </c>
      <c r="C12" s="85" t="n">
        <v>800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11</v>
      </c>
      <c r="C14" s="176" t="n">
        <v>27500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5</v>
      </c>
      <c r="C17" s="176" t="n">
        <v>5000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6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203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2556</v>
      </c>
      <c r="C29" s="176" t="n">
        <v>2433161731.1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2667</v>
      </c>
      <c r="C30" s="176" t="n">
        <v>24936957.07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1690</v>
      </c>
      <c r="C32" s="176" t="n">
        <v>135897659.92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13</v>
      </c>
      <c r="C33" s="176" t="n">
        <v>823500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3</v>
      </c>
      <c r="C34" s="176" t="n">
        <v>119635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5</v>
      </c>
      <c r="C35" s="176" t="n">
        <v>33000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580</v>
      </c>
      <c r="C36" s="176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14</v>
      </c>
      <c r="C37" s="176" t="n">
        <v>81274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v>183</v>
      </c>
      <c r="C39" s="176" t="n">
        <v>46671.223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0</v>
      </c>
      <c r="C40" s="176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203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3</v>
      </c>
      <c r="C49" s="35" t="n">
        <v>308000</v>
      </c>
      <c r="D49" s="180" t="s">
        <v>183</v>
      </c>
      <c r="E49" s="180"/>
    </row>
    <row r="50" customFormat="false" ht="12.75" hidden="false" customHeight="false" outlineLevel="0" collapsed="false">
      <c r="A50" s="175" t="s">
        <v>32</v>
      </c>
      <c r="B50" s="35"/>
      <c r="C50" s="35"/>
      <c r="D50" s="180"/>
      <c r="E50" s="180"/>
    </row>
    <row r="51" customFormat="false" ht="12.75" hidden="false" customHeight="false" outlineLevel="0" collapsed="false">
      <c r="A51" s="175" t="s">
        <v>163</v>
      </c>
      <c r="B51" s="35" t="n">
        <v>7</v>
      </c>
      <c r="C51" s="35" t="n">
        <v>2490</v>
      </c>
      <c r="D51" s="180" t="s">
        <v>184</v>
      </c>
      <c r="E51" s="180"/>
    </row>
    <row r="52" customFormat="false" ht="12.75" hidden="false" customHeight="false" outlineLevel="0" collapsed="false">
      <c r="B52" s="180"/>
      <c r="C52" s="180"/>
      <c r="D52" s="180"/>
      <c r="E52" s="180"/>
    </row>
    <row r="53" customFormat="false" ht="12.75" hidden="false" customHeight="false" outlineLevel="0" collapsed="false">
      <c r="A53" s="90" t="s">
        <v>185</v>
      </c>
      <c r="B53" s="183" t="n">
        <v>1</v>
      </c>
      <c r="C53" s="183"/>
      <c r="D53" s="180"/>
      <c r="E53" s="180"/>
    </row>
    <row r="54" customFormat="false" ht="12.75" hidden="false" customHeight="false" outlineLevel="0" collapsed="false">
      <c r="B54" s="180"/>
      <c r="C54" s="180"/>
      <c r="D54" s="180"/>
      <c r="E54" s="180"/>
    </row>
    <row r="55" customFormat="false" ht="12.75" hidden="false" customHeight="false" outlineLevel="0" collapsed="false">
      <c r="A55" s="87" t="s">
        <v>186</v>
      </c>
      <c r="B55" s="180"/>
      <c r="C55" s="184" t="n">
        <v>308</v>
      </c>
      <c r="D55" s="180"/>
      <c r="E55" s="180"/>
    </row>
    <row r="56" customFormat="false" ht="12.75" hidden="false" customHeight="false" outlineLevel="0" collapsed="false">
      <c r="B56" s="180"/>
      <c r="C56" s="180"/>
      <c r="D56" s="180"/>
      <c r="E56" s="180"/>
    </row>
    <row r="57" customFormat="false" ht="12.75" hidden="false" customHeight="false" outlineLevel="0" collapsed="false">
      <c r="B57" s="180"/>
      <c r="C57" s="180"/>
      <c r="D57" s="180"/>
      <c r="E57" s="180"/>
    </row>
    <row r="58" customFormat="false" ht="12.75" hidden="false" customHeight="false" outlineLevel="0" collapsed="false">
      <c r="A58" s="84" t="s">
        <v>187</v>
      </c>
      <c r="B58" s="183"/>
      <c r="C58" s="185" t="n">
        <v>54469.223</v>
      </c>
      <c r="D58" s="183"/>
      <c r="E58" s="183"/>
      <c r="F58" s="90"/>
    </row>
    <row r="59" customFormat="false" ht="12.75" hidden="false" customHeight="false" outlineLevel="0" collapsed="false">
      <c r="B59" s="180"/>
      <c r="C59" s="180"/>
      <c r="D59" s="180"/>
    </row>
    <row r="60" customFormat="false" ht="12.75" hidden="false" customHeight="false" outlineLevel="0" collapsed="false">
      <c r="B60" s="180"/>
      <c r="C60" s="180"/>
      <c r="D60" s="180"/>
    </row>
    <row r="61" customFormat="false" ht="12.75" hidden="false" customHeight="false" outlineLevel="0" collapsed="false">
      <c r="B61" s="180"/>
      <c r="C61" s="18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204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80" t="n">
        <f aca="false">55132+4311-40529-3176</f>
        <v>15738</v>
      </c>
      <c r="C6" s="35" t="n">
        <f aca="false">6859190070+194044764-4773993265-135849441</f>
        <v>2143392128</v>
      </c>
      <c r="D6" s="80" t="s">
        <v>86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80" t="n">
        <f aca="false">5867+1788-4158-1400</f>
        <v>2097</v>
      </c>
      <c r="C7" s="35" t="n">
        <f aca="false">64951720+6934050-47669640-5710650</f>
        <v>18505480</v>
      </c>
      <c r="D7" s="80" t="s">
        <v>90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4"/>
      <c r="C8" s="178"/>
      <c r="D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80" t="n">
        <f aca="false">6109+469+36-4592-397-33</f>
        <v>1592</v>
      </c>
      <c r="C9" s="85" t="n">
        <f aca="false">152947000+7757000+832595-114735000-6753000-804595</f>
        <v>39244000</v>
      </c>
      <c r="D9" s="80" t="s">
        <v>97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80" t="n">
        <f aca="false">110-91</f>
        <v>19</v>
      </c>
      <c r="C10" s="85" t="n">
        <f aca="false">3234500-2686250</f>
        <v>548250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80" t="n">
        <f aca="false">29-24</f>
        <v>5</v>
      </c>
      <c r="C11" s="85" t="n">
        <f aca="false">1215000-1020000</f>
        <v>195000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80" t="n">
        <f aca="false">64-56</f>
        <v>8</v>
      </c>
      <c r="C12" s="85" t="n">
        <f aca="false">20400-17400</f>
        <v>3000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5" t="s">
        <v>23</v>
      </c>
      <c r="B13" s="80" t="n">
        <v>0</v>
      </c>
      <c r="C13" s="85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80" t="n">
        <f aca="false">26-18</f>
        <v>8</v>
      </c>
      <c r="C14" s="85" t="n">
        <f aca="false">65000-45000</f>
        <v>20000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4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80" t="n">
        <v>5</v>
      </c>
      <c r="C16" s="85" t="n">
        <v>286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80" t="n">
        <v>0</v>
      </c>
      <c r="C17" s="85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80"/>
      <c r="C18" s="80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80"/>
      <c r="C19" s="80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4" t="n">
        <v>8</v>
      </c>
      <c r="C20" s="174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</row>
    <row r="25" customFormat="false" ht="12.75" hidden="false" customHeight="false" outlineLevel="0" collapsed="false">
      <c r="B25" s="170" t="s">
        <v>204</v>
      </c>
      <c r="C25" s="170"/>
      <c r="D25" s="171" t="s">
        <v>174</v>
      </c>
    </row>
    <row r="26" customFormat="false" ht="12.75" hidden="false" customHeight="false" outlineLevel="0" collapsed="false">
      <c r="A26" s="172" t="s">
        <v>175</v>
      </c>
      <c r="B26" s="75" t="s">
        <v>1</v>
      </c>
      <c r="C26" s="75" t="s">
        <v>176</v>
      </c>
      <c r="D26" s="173" t="s">
        <v>127</v>
      </c>
    </row>
    <row r="27" customFormat="false" ht="12.75" hidden="false" customHeight="false" outlineLevel="0" collapsed="false">
      <c r="A27" s="90"/>
      <c r="B27" s="90"/>
      <c r="C27" s="90"/>
    </row>
    <row r="28" customFormat="false" ht="12.75" hidden="false" customHeight="false" outlineLevel="0" collapsed="false">
      <c r="A28" s="84" t="s">
        <v>10</v>
      </c>
      <c r="B28" s="80"/>
      <c r="C28" s="80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80" t="n">
        <f aca="false">13338+2004-9715-1574</f>
        <v>4053</v>
      </c>
      <c r="C29" s="80" t="n">
        <f aca="false">7577517320+538599790-5634611180-351626838</f>
        <v>2129879092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80" t="n">
        <f aca="false">5554+4032-3997-3087</f>
        <v>2502</v>
      </c>
      <c r="C30" s="80" t="n">
        <f aca="false">76427909+60080482-57787682-43280956</f>
        <v>35439753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80"/>
      <c r="C31" s="80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80" t="n">
        <f aca="false">6483+397+180-4893-294-143</f>
        <v>1730</v>
      </c>
      <c r="C32" s="80" t="n">
        <f aca="false">510007317+10867017+7486462-381986081-7339728-6329636</f>
        <v>132705351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80" t="n">
        <f aca="false">133-105</f>
        <v>28</v>
      </c>
      <c r="C33" s="80" t="n">
        <f aca="false">11572096-6940526</f>
        <v>4631570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80" t="n">
        <f aca="false">106-75</f>
        <v>31</v>
      </c>
      <c r="C34" s="80" t="n">
        <f aca="false">5575507-4378000</f>
        <v>1197507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80" t="n">
        <f aca="false">68-57</f>
        <v>11</v>
      </c>
      <c r="C35" s="80" t="n">
        <f aca="false">366600-313600</f>
        <v>53000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80" t="n">
        <f aca="false">638-493</f>
        <v>145</v>
      </c>
      <c r="C36" s="80" t="n">
        <f aca="false">28642250-23009750</f>
        <v>5632500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80" t="n">
        <f aca="false">19-13</f>
        <v>6</v>
      </c>
      <c r="C37" s="80" t="n">
        <f aca="false">133020-106670</f>
        <v>26350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80"/>
      <c r="C38" s="80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80" t="n">
        <f aca="false">196-146+81</f>
        <v>131</v>
      </c>
      <c r="C39" s="80" t="n">
        <v>24860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80" t="n">
        <v>0</v>
      </c>
      <c r="C40" s="80" t="n">
        <v>0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80"/>
      <c r="C41" s="80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80"/>
      <c r="C42" s="80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80"/>
      <c r="C43" s="80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</row>
    <row r="45" customFormat="false" ht="12.75" hidden="false" customHeight="false" outlineLevel="0" collapsed="false">
      <c r="B45" s="170" t="s">
        <v>204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5</v>
      </c>
      <c r="C49" s="35" t="n">
        <v>286000</v>
      </c>
      <c r="D49" s="0" t="s">
        <v>183</v>
      </c>
    </row>
    <row r="50" customFormat="false" ht="12.75" hidden="false" customHeight="false" outlineLevel="0" collapsed="false">
      <c r="A50" s="175" t="s">
        <v>32</v>
      </c>
      <c r="B50" s="35"/>
      <c r="C50" s="35"/>
    </row>
    <row r="51" customFormat="false" ht="12.75" hidden="false" customHeight="false" outlineLevel="0" collapsed="false">
      <c r="A51" s="175" t="s">
        <v>163</v>
      </c>
      <c r="B51" s="35" t="n">
        <v>2</v>
      </c>
      <c r="C51" s="35" t="n">
        <v>440</v>
      </c>
      <c r="D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1</v>
      </c>
      <c r="C53" s="90"/>
    </row>
    <row r="55" customFormat="false" ht="12.75" hidden="false" customHeight="false" outlineLevel="0" collapsed="false">
      <c r="A55" s="87" t="s">
        <v>186</v>
      </c>
      <c r="C55" s="187" t="n">
        <f aca="false">C49/1000</f>
        <v>286</v>
      </c>
    </row>
    <row r="58" customFormat="false" ht="12.75" hidden="false" customHeight="false" outlineLevel="0" collapsed="false">
      <c r="A58" s="84" t="s">
        <v>187</v>
      </c>
      <c r="B58" s="90"/>
      <c r="C58" s="188" t="n">
        <f aca="false">C55+C51+C40+C39+C17+C16</f>
        <v>25872</v>
      </c>
      <c r="D58" s="90"/>
      <c r="E58" s="90"/>
      <c r="F58" s="90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190" t="s">
        <v>139</v>
      </c>
      <c r="C1" s="190"/>
      <c r="D1" s="190"/>
      <c r="E1" s="190"/>
      <c r="F1" s="190"/>
      <c r="G1" s="190"/>
      <c r="H1" s="190"/>
      <c r="I1" s="190"/>
    </row>
    <row r="2" customFormat="false" ht="12.75" hidden="false" customHeight="false" outlineLevel="0" collapsed="false">
      <c r="B2" s="170" t="s">
        <v>205</v>
      </c>
      <c r="C2" s="170"/>
      <c r="D2" s="170" t="s">
        <v>206</v>
      </c>
      <c r="E2" s="170"/>
      <c r="F2" s="170" t="s">
        <v>207</v>
      </c>
      <c r="G2" s="170"/>
      <c r="H2" s="170" t="s">
        <v>208</v>
      </c>
      <c r="I2" s="170"/>
    </row>
    <row r="3" customFormat="false" ht="12.75" hidden="false" customHeight="false" outlineLevel="0" collapsed="false">
      <c r="A3" s="0" t="s">
        <v>138</v>
      </c>
      <c r="B3" s="0" t="s">
        <v>88</v>
      </c>
      <c r="C3" s="0" t="s">
        <v>160</v>
      </c>
      <c r="D3" s="0" t="s">
        <v>88</v>
      </c>
      <c r="E3" s="0" t="s">
        <v>160</v>
      </c>
      <c r="F3" s="0" t="s">
        <v>88</v>
      </c>
      <c r="G3" s="0" t="s">
        <v>160</v>
      </c>
      <c r="H3" s="0" t="s">
        <v>88</v>
      </c>
      <c r="I3" s="0" t="s">
        <v>160</v>
      </c>
    </row>
    <row r="4" customFormat="false" ht="12.75" hidden="false" customHeight="false" outlineLevel="0" collapsed="false">
      <c r="A4" s="90" t="s">
        <v>161</v>
      </c>
      <c r="B4" s="72"/>
      <c r="C4" s="72"/>
      <c r="D4" s="72"/>
      <c r="E4" s="72"/>
      <c r="F4" s="72"/>
      <c r="G4" s="72"/>
      <c r="H4" s="72"/>
      <c r="I4" s="72"/>
    </row>
    <row r="5" customFormat="false" ht="12.75" hidden="false" customHeight="false" outlineLevel="0" collapsed="false">
      <c r="A5" s="84" t="s">
        <v>123</v>
      </c>
      <c r="B5" s="72"/>
      <c r="C5" s="72"/>
      <c r="D5" s="72"/>
      <c r="E5" s="72"/>
      <c r="F5" s="72"/>
      <c r="G5" s="72"/>
      <c r="H5" s="72"/>
      <c r="I5" s="72"/>
    </row>
    <row r="6" customFormat="false" ht="12.75" hidden="false" customHeight="false" outlineLevel="0" collapsed="false">
      <c r="A6" s="175" t="s">
        <v>209</v>
      </c>
      <c r="B6" s="191" t="n">
        <v>184</v>
      </c>
      <c r="C6" s="191" t="n">
        <v>20</v>
      </c>
      <c r="D6" s="191" t="n">
        <v>204</v>
      </c>
      <c r="E6" s="191" t="n">
        <v>25</v>
      </c>
      <c r="F6" s="191" t="n">
        <v>159</v>
      </c>
      <c r="G6" s="191" t="n">
        <v>27</v>
      </c>
      <c r="H6" s="191" t="n">
        <v>227</v>
      </c>
      <c r="I6" s="191" t="n">
        <v>43</v>
      </c>
    </row>
    <row r="7" customFormat="false" ht="12.75" hidden="false" customHeight="false" outlineLevel="0" collapsed="false">
      <c r="A7" s="175" t="s">
        <v>210</v>
      </c>
      <c r="B7" s="72"/>
      <c r="C7" s="72"/>
      <c r="D7" s="72"/>
      <c r="E7" s="72"/>
      <c r="F7" s="72"/>
      <c r="G7" s="72"/>
      <c r="H7" s="72"/>
      <c r="I7" s="72"/>
    </row>
    <row r="8" customFormat="false" ht="12.75" hidden="false" customHeight="false" outlineLevel="0" collapsed="false">
      <c r="A8" s="175" t="s">
        <v>211</v>
      </c>
      <c r="B8" s="192" t="n">
        <v>24</v>
      </c>
      <c r="C8" s="192" t="n">
        <v>38</v>
      </c>
      <c r="D8" s="192" t="n">
        <v>57</v>
      </c>
      <c r="E8" s="192" t="n">
        <v>114</v>
      </c>
      <c r="F8" s="192" t="n">
        <v>68</v>
      </c>
      <c r="G8" s="192" t="n">
        <v>79</v>
      </c>
      <c r="H8" s="192" t="n">
        <v>1463</v>
      </c>
      <c r="I8" s="192" t="n">
        <v>2294</v>
      </c>
    </row>
    <row r="9" customFormat="false" ht="12.75" hidden="false" customHeight="false" outlineLevel="0" collapsed="false">
      <c r="A9" s="175" t="s">
        <v>212</v>
      </c>
      <c r="B9" s="191"/>
      <c r="C9" s="191"/>
      <c r="D9" s="191" t="n">
        <v>6</v>
      </c>
      <c r="E9" s="191" t="n">
        <v>5</v>
      </c>
      <c r="F9" s="191" t="n">
        <v>34</v>
      </c>
      <c r="G9" s="191" t="n">
        <v>10</v>
      </c>
      <c r="H9" s="191" t="n">
        <v>51</v>
      </c>
      <c r="I9" s="191" t="n">
        <v>16</v>
      </c>
    </row>
    <row r="10" customFormat="false" ht="12.75" hidden="false" customHeight="false" outlineLevel="0" collapsed="false">
      <c r="A10" s="84" t="s">
        <v>39</v>
      </c>
      <c r="B10" s="72"/>
      <c r="C10" s="72"/>
      <c r="D10" s="72"/>
      <c r="E10" s="72"/>
      <c r="F10" s="72"/>
      <c r="G10" s="72"/>
      <c r="H10" s="72"/>
      <c r="I10" s="72"/>
    </row>
    <row r="11" customFormat="false" ht="12.75" hidden="false" customHeight="false" outlineLevel="0" collapsed="false">
      <c r="A11" s="175" t="s">
        <v>37</v>
      </c>
      <c r="B11" s="193" t="n">
        <v>0</v>
      </c>
      <c r="C11" s="193" t="n">
        <v>23</v>
      </c>
      <c r="D11" s="193" t="n">
        <v>0</v>
      </c>
      <c r="E11" s="193" t="n">
        <v>7</v>
      </c>
      <c r="F11" s="193" t="n">
        <v>0</v>
      </c>
      <c r="G11" s="193" t="n">
        <v>10</v>
      </c>
      <c r="H11" s="193" t="n">
        <v>0</v>
      </c>
      <c r="I11" s="193" t="n">
        <v>19</v>
      </c>
    </row>
    <row r="12" customFormat="false" ht="12.75" hidden="false" customHeight="false" outlineLevel="0" collapsed="false">
      <c r="A12" s="175" t="s">
        <v>32</v>
      </c>
      <c r="B12" s="193" t="n">
        <v>0</v>
      </c>
      <c r="C12" s="193" t="n">
        <v>2</v>
      </c>
      <c r="D12" s="193" t="n">
        <v>2</v>
      </c>
      <c r="E12" s="193" t="n">
        <v>0</v>
      </c>
      <c r="F12" s="193" t="n">
        <v>0</v>
      </c>
      <c r="G12" s="193" t="n">
        <v>2</v>
      </c>
      <c r="H12" s="193" t="n">
        <v>0</v>
      </c>
      <c r="I12" s="193" t="n">
        <v>2</v>
      </c>
    </row>
    <row r="13" customFormat="false" ht="12.75" hidden="false" customHeight="false" outlineLevel="0" collapsed="false">
      <c r="A13" s="175" t="s">
        <v>163</v>
      </c>
      <c r="B13" s="193" t="n">
        <v>0</v>
      </c>
      <c r="C13" s="193" t="n">
        <v>1</v>
      </c>
      <c r="D13" s="193" t="n">
        <v>0</v>
      </c>
      <c r="E13" s="193" t="n">
        <v>4</v>
      </c>
      <c r="F13" s="193" t="n">
        <v>0</v>
      </c>
      <c r="G13" s="193" t="n">
        <v>12</v>
      </c>
      <c r="H13" s="193" t="n">
        <v>0</v>
      </c>
      <c r="I13" s="193" t="n">
        <v>10</v>
      </c>
    </row>
    <row r="14" customFormat="false" ht="12.75" hidden="false" customHeight="false" outlineLevel="0" collapsed="false">
      <c r="A14" s="175" t="s">
        <v>40</v>
      </c>
      <c r="B14" s="193" t="n">
        <v>0</v>
      </c>
      <c r="C14" s="193" t="n">
        <v>0</v>
      </c>
      <c r="D14" s="193" t="n">
        <v>0</v>
      </c>
      <c r="E14" s="193" t="n">
        <v>0</v>
      </c>
      <c r="F14" s="193" t="n">
        <v>0</v>
      </c>
      <c r="G14" s="193" t="n">
        <v>0</v>
      </c>
      <c r="H14" s="193" t="n">
        <v>0</v>
      </c>
      <c r="I14" s="193" t="n">
        <v>0</v>
      </c>
    </row>
    <row r="15" customFormat="false" ht="12.75" hidden="false" customHeight="false" outlineLevel="0" collapsed="false">
      <c r="A15" s="84" t="s">
        <v>21</v>
      </c>
      <c r="B15" s="72"/>
      <c r="C15" s="72"/>
      <c r="D15" s="72"/>
      <c r="E15" s="72"/>
      <c r="F15" s="72"/>
      <c r="G15" s="72"/>
      <c r="H15" s="72"/>
      <c r="I15" s="72"/>
    </row>
    <row r="16" customFormat="false" ht="12.75" hidden="false" customHeight="false" outlineLevel="0" collapsed="false">
      <c r="A16" s="175" t="s">
        <v>23</v>
      </c>
      <c r="B16" s="72"/>
      <c r="C16" s="72"/>
      <c r="D16" s="72"/>
      <c r="E16" s="72"/>
      <c r="F16" s="72"/>
      <c r="G16" s="72"/>
      <c r="H16" s="72"/>
      <c r="I16" s="72"/>
    </row>
    <row r="17" customFormat="false" ht="12.75" hidden="false" customHeight="false" outlineLevel="0" collapsed="false">
      <c r="A17" s="175" t="s">
        <v>31</v>
      </c>
      <c r="B17" s="72"/>
      <c r="C17" s="72"/>
      <c r="D17" s="72"/>
      <c r="E17" s="72"/>
      <c r="F17" s="72"/>
      <c r="G17" s="72"/>
      <c r="H17" s="72"/>
      <c r="I17" s="72"/>
    </row>
    <row r="18" customFormat="false" ht="12.75" hidden="false" customHeight="false" outlineLevel="0" collapsed="false">
      <c r="A18" s="175" t="s">
        <v>26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175" t="s">
        <v>33</v>
      </c>
      <c r="B19" s="72"/>
      <c r="C19" s="72"/>
      <c r="D19" s="72"/>
      <c r="E19" s="72"/>
      <c r="F19" s="72"/>
      <c r="G19" s="72"/>
      <c r="H19" s="72"/>
      <c r="I19" s="72"/>
    </row>
    <row r="20" customFormat="false" ht="12.75" hidden="false" customHeight="false" outlineLevel="0" collapsed="false">
      <c r="A20" s="90" t="s">
        <v>164</v>
      </c>
      <c r="B20" s="72"/>
      <c r="C20" s="72"/>
      <c r="D20" s="72"/>
      <c r="E20" s="72"/>
      <c r="F20" s="72"/>
      <c r="G20" s="72"/>
      <c r="H20" s="72"/>
      <c r="I20" s="72"/>
    </row>
    <row r="21" customFormat="false" ht="12.75" hidden="false" customHeight="false" outlineLevel="0" collapsed="false">
      <c r="A21" s="84" t="s">
        <v>123</v>
      </c>
      <c r="B21" s="72"/>
      <c r="C21" s="72"/>
      <c r="D21" s="72"/>
      <c r="E21" s="72"/>
      <c r="F21" s="72"/>
      <c r="G21" s="72"/>
      <c r="H21" s="72"/>
      <c r="I21" s="72"/>
    </row>
    <row r="22" customFormat="false" ht="12.75" hidden="false" customHeight="false" outlineLevel="0" collapsed="false">
      <c r="A22" s="175" t="s">
        <v>210</v>
      </c>
      <c r="B22" s="72" t="n">
        <v>5224</v>
      </c>
      <c r="C22" s="72" t="n">
        <v>1151</v>
      </c>
      <c r="D22" s="72"/>
      <c r="E22" s="72"/>
      <c r="F22" s="72"/>
      <c r="G22" s="72"/>
      <c r="H22" s="72"/>
      <c r="I22" s="72"/>
    </row>
    <row r="23" customFormat="false" ht="12.75" hidden="false" customHeight="false" outlineLevel="0" collapsed="false">
      <c r="A23" s="175" t="s">
        <v>209</v>
      </c>
      <c r="B23" s="191" t="n">
        <v>573</v>
      </c>
      <c r="C23" s="191" t="n">
        <v>388</v>
      </c>
      <c r="D23" s="191" t="n">
        <v>778</v>
      </c>
      <c r="E23" s="191" t="n">
        <v>473</v>
      </c>
      <c r="F23" s="191" t="n">
        <v>778</v>
      </c>
      <c r="G23" s="191" t="n">
        <v>304</v>
      </c>
      <c r="H23" s="191" t="n">
        <v>1013</v>
      </c>
      <c r="I23" s="191" t="n">
        <v>436</v>
      </c>
    </row>
    <row r="24" customFormat="false" ht="12.75" hidden="false" customHeight="false" outlineLevel="0" collapsed="false">
      <c r="A24" s="175" t="s">
        <v>211</v>
      </c>
      <c r="B24" s="192" t="n">
        <v>633</v>
      </c>
      <c r="C24" s="192" t="n">
        <v>1263</v>
      </c>
      <c r="D24" s="192" t="n">
        <v>1573</v>
      </c>
      <c r="E24" s="192" t="n">
        <v>2577</v>
      </c>
      <c r="F24" s="192" t="n">
        <v>1657</v>
      </c>
      <c r="G24" s="192" t="n">
        <v>2093</v>
      </c>
      <c r="H24" s="192" t="n">
        <v>83</v>
      </c>
      <c r="I24" s="192" t="n">
        <v>139</v>
      </c>
    </row>
    <row r="25" customFormat="false" ht="12.75" hidden="false" customHeight="false" outlineLevel="0" collapsed="false">
      <c r="A25" s="175" t="s">
        <v>212</v>
      </c>
      <c r="B25" s="191"/>
      <c r="C25" s="191" t="n">
        <v>9</v>
      </c>
      <c r="D25" s="191"/>
      <c r="E25" s="191" t="n">
        <v>23</v>
      </c>
      <c r="F25" s="191"/>
      <c r="G25" s="191" t="n">
        <v>22</v>
      </c>
      <c r="H25" s="191"/>
      <c r="I25" s="191" t="n">
        <v>10</v>
      </c>
    </row>
    <row r="26" customFormat="false" ht="12.75" hidden="false" customHeight="false" outlineLevel="0" collapsed="false">
      <c r="A26" s="84" t="s">
        <v>39</v>
      </c>
      <c r="B26" s="72"/>
      <c r="C26" s="72"/>
      <c r="D26" s="72"/>
      <c r="E26" s="72"/>
      <c r="F26" s="72"/>
      <c r="G26" s="72"/>
      <c r="H26" s="72"/>
      <c r="I26" s="72"/>
    </row>
    <row r="27" customFormat="false" ht="12.75" hidden="false" customHeight="false" outlineLevel="0" collapsed="false">
      <c r="A27" s="175" t="s">
        <v>37</v>
      </c>
      <c r="B27" s="193" t="n">
        <v>1</v>
      </c>
      <c r="C27" s="193" t="n">
        <v>62</v>
      </c>
      <c r="D27" s="193" t="n">
        <v>12</v>
      </c>
      <c r="E27" s="193" t="n">
        <v>107</v>
      </c>
      <c r="F27" s="193" t="n">
        <v>10</v>
      </c>
      <c r="G27" s="193" t="n">
        <v>83</v>
      </c>
      <c r="H27" s="193" t="n">
        <v>2</v>
      </c>
      <c r="I27" s="193" t="n">
        <v>103</v>
      </c>
    </row>
    <row r="28" customFormat="false" ht="12.75" hidden="false" customHeight="false" outlineLevel="0" collapsed="false">
      <c r="A28" s="175" t="s">
        <v>32</v>
      </c>
      <c r="B28" s="193" t="n">
        <v>0</v>
      </c>
      <c r="C28" s="193" t="n">
        <v>3</v>
      </c>
      <c r="D28" s="193" t="n">
        <v>0</v>
      </c>
      <c r="E28" s="193" t="n">
        <v>15</v>
      </c>
      <c r="F28" s="193" t="n">
        <v>1</v>
      </c>
      <c r="G28" s="193" t="n">
        <v>6</v>
      </c>
      <c r="H28" s="193" t="n">
        <v>0</v>
      </c>
      <c r="I28" s="193" t="n">
        <v>22</v>
      </c>
    </row>
    <row r="29" customFormat="false" ht="12.75" hidden="false" customHeight="false" outlineLevel="0" collapsed="false">
      <c r="A29" s="175" t="s">
        <v>163</v>
      </c>
      <c r="B29" s="193" t="n">
        <v>4</v>
      </c>
      <c r="C29" s="193" t="n">
        <v>1</v>
      </c>
      <c r="D29" s="193" t="n">
        <v>3</v>
      </c>
      <c r="E29" s="193" t="n">
        <v>10</v>
      </c>
      <c r="F29" s="193" t="n">
        <v>0</v>
      </c>
      <c r="G29" s="193" t="n">
        <v>12</v>
      </c>
      <c r="H29" s="193" t="n">
        <v>0</v>
      </c>
      <c r="I29" s="193" t="n">
        <v>9</v>
      </c>
    </row>
    <row r="30" customFormat="false" ht="12.75" hidden="false" customHeight="false" outlineLevel="0" collapsed="false">
      <c r="A30" s="175" t="s">
        <v>40</v>
      </c>
      <c r="B30" s="193" t="n">
        <v>0</v>
      </c>
      <c r="C30" s="193" t="n">
        <v>0</v>
      </c>
      <c r="D30" s="193" t="n">
        <v>0</v>
      </c>
      <c r="E30" s="193" t="n">
        <v>0</v>
      </c>
      <c r="F30" s="193" t="n">
        <v>0</v>
      </c>
      <c r="G30" s="193" t="n">
        <v>0</v>
      </c>
      <c r="H30" s="193" t="n">
        <v>0</v>
      </c>
      <c r="I30" s="193" t="n">
        <v>0</v>
      </c>
    </row>
    <row r="31" customFormat="false" ht="12.75" hidden="false" customHeight="false" outlineLevel="0" collapsed="false">
      <c r="A31" s="84" t="s">
        <v>21</v>
      </c>
      <c r="B31" s="72"/>
      <c r="C31" s="72"/>
      <c r="D31" s="72"/>
      <c r="E31" s="72"/>
      <c r="F31" s="72"/>
      <c r="G31" s="72"/>
      <c r="H31" s="72"/>
      <c r="I31" s="72"/>
    </row>
    <row r="32" customFormat="false" ht="12.75" hidden="false" customHeight="false" outlineLevel="0" collapsed="false">
      <c r="A32" s="175" t="s">
        <v>26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175" t="s">
        <v>28</v>
      </c>
    </row>
    <row r="34" customFormat="false" ht="12.75" hidden="false" customHeight="false" outlineLevel="0" collapsed="false">
      <c r="B34" s="170" t="s">
        <v>205</v>
      </c>
      <c r="C34" s="170"/>
      <c r="D34" s="170" t="s">
        <v>206</v>
      </c>
      <c r="E34" s="170"/>
      <c r="F34" s="170" t="s">
        <v>207</v>
      </c>
      <c r="G34" s="170"/>
      <c r="H34" s="170" t="s">
        <v>208</v>
      </c>
      <c r="I34" s="170"/>
    </row>
    <row r="35" customFormat="false" ht="12.75" hidden="false" customHeight="false" outlineLevel="0" collapsed="false">
      <c r="A35" s="192" t="s">
        <v>93</v>
      </c>
      <c r="B35" s="192" t="s">
        <v>88</v>
      </c>
      <c r="C35" s="192" t="s">
        <v>160</v>
      </c>
      <c r="D35" s="192" t="s">
        <v>88</v>
      </c>
      <c r="E35" s="192" t="s">
        <v>160</v>
      </c>
      <c r="F35" s="192" t="s">
        <v>88</v>
      </c>
      <c r="G35" s="192" t="s">
        <v>160</v>
      </c>
      <c r="H35" s="192" t="s">
        <v>88</v>
      </c>
      <c r="I35" s="192" t="s">
        <v>160</v>
      </c>
    </row>
    <row r="36" customFormat="false" ht="12.75" hidden="false" customHeight="false" outlineLevel="0" collapsed="false">
      <c r="A36" s="194" t="s">
        <v>123</v>
      </c>
      <c r="B36" s="191"/>
      <c r="C36" s="191"/>
      <c r="D36" s="191"/>
      <c r="E36" s="191"/>
      <c r="F36" s="191"/>
      <c r="G36" s="191"/>
      <c r="H36" s="191"/>
      <c r="I36" s="191"/>
    </row>
    <row r="37" customFormat="false" ht="12.75" hidden="false" customHeight="false" outlineLevel="0" collapsed="false">
      <c r="A37" s="195" t="s">
        <v>13</v>
      </c>
      <c r="B37" s="196" t="n">
        <v>8160</v>
      </c>
      <c r="C37" s="196" t="n">
        <v>1993</v>
      </c>
      <c r="D37" s="196" t="n">
        <v>12264</v>
      </c>
      <c r="E37" s="196" t="n">
        <v>3200</v>
      </c>
      <c r="F37" s="196" t="n">
        <v>10083</v>
      </c>
      <c r="G37" s="196" t="n">
        <v>2671</v>
      </c>
      <c r="H37" s="196" t="n">
        <v>13198</v>
      </c>
      <c r="I37" s="196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195" t="s">
        <v>15</v>
      </c>
      <c r="B38" s="196" t="n">
        <v>657</v>
      </c>
      <c r="C38" s="196" t="n">
        <v>1073</v>
      </c>
      <c r="D38" s="196" t="n">
        <v>1630</v>
      </c>
      <c r="E38" s="196" t="n">
        <v>1806</v>
      </c>
      <c r="F38" s="196" t="n">
        <v>1725</v>
      </c>
      <c r="G38" s="196" t="n">
        <v>2056</v>
      </c>
      <c r="H38" s="196" t="n">
        <v>1546</v>
      </c>
      <c r="I38" s="196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194" t="s">
        <v>39</v>
      </c>
      <c r="B39" s="196"/>
      <c r="C39" s="196" t="n">
        <v>29</v>
      </c>
      <c r="D39" s="196"/>
      <c r="E39" s="196" t="n">
        <v>33</v>
      </c>
      <c r="F39" s="196"/>
      <c r="G39" s="196" t="n">
        <v>31</v>
      </c>
      <c r="H39" s="196"/>
      <c r="I39" s="196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195" t="s">
        <v>37</v>
      </c>
      <c r="B40" s="197" t="n">
        <v>4</v>
      </c>
      <c r="C40" s="197"/>
      <c r="D40" s="197" t="n">
        <v>9</v>
      </c>
      <c r="E40" s="197"/>
      <c r="F40" s="197" t="n">
        <v>4</v>
      </c>
      <c r="G40" s="197"/>
      <c r="H40" s="197" t="n">
        <v>2</v>
      </c>
      <c r="I40" s="197"/>
      <c r="J40" s="0" t="n">
        <f aca="false">SUM(B40:I40)</f>
        <v>19</v>
      </c>
    </row>
    <row r="41" customFormat="false" ht="12.75" hidden="false" customHeight="false" outlineLevel="0" collapsed="false">
      <c r="A41" s="195" t="s">
        <v>32</v>
      </c>
      <c r="B41" s="197"/>
      <c r="C41" s="197"/>
      <c r="D41" s="197"/>
      <c r="E41" s="197"/>
      <c r="F41" s="197"/>
      <c r="G41" s="197"/>
      <c r="H41" s="197"/>
      <c r="I41" s="197"/>
      <c r="J41" s="0" t="n">
        <f aca="false">SUM(B41:I41)</f>
        <v>0</v>
      </c>
    </row>
    <row r="42" customFormat="false" ht="12.75" hidden="false" customHeight="false" outlineLevel="0" collapsed="false">
      <c r="A42" s="195" t="s">
        <v>163</v>
      </c>
      <c r="B42" s="197" t="n">
        <f aca="false">+B13+B29</f>
        <v>4</v>
      </c>
      <c r="C42" s="197" t="n">
        <v>0</v>
      </c>
      <c r="D42" s="197" t="n">
        <v>4</v>
      </c>
      <c r="E42" s="197" t="n">
        <v>0</v>
      </c>
      <c r="F42" s="197" t="n">
        <v>1</v>
      </c>
      <c r="G42" s="197" t="n">
        <v>0</v>
      </c>
      <c r="H42" s="197" t="n">
        <f aca="false">+H13+H29</f>
        <v>0</v>
      </c>
      <c r="I42" s="197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195" t="s">
        <v>40</v>
      </c>
      <c r="B43" s="197" t="n">
        <f aca="false">+B14+B30</f>
        <v>0</v>
      </c>
      <c r="C43" s="197" t="n">
        <f aca="false">+C14+C30</f>
        <v>0</v>
      </c>
      <c r="D43" s="197" t="n">
        <f aca="false">+D14+D30</f>
        <v>0</v>
      </c>
      <c r="E43" s="197" t="n">
        <f aca="false">+E14+E30</f>
        <v>0</v>
      </c>
      <c r="F43" s="197" t="n">
        <f aca="false">+F14+F30</f>
        <v>0</v>
      </c>
      <c r="G43" s="197" t="n">
        <f aca="false">+G14+G30</f>
        <v>0</v>
      </c>
      <c r="H43" s="197" t="n">
        <f aca="false">+H14+H30</f>
        <v>0</v>
      </c>
      <c r="I43" s="197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194" t="s">
        <v>21</v>
      </c>
      <c r="B44" s="196"/>
      <c r="C44" s="196"/>
      <c r="D44" s="196"/>
      <c r="E44" s="196"/>
      <c r="F44" s="196"/>
      <c r="G44" s="196"/>
      <c r="H44" s="196"/>
      <c r="I44" s="196"/>
      <c r="J44" s="0" t="n">
        <f aca="false">SUM(B44:I44)</f>
        <v>0</v>
      </c>
    </row>
    <row r="45" customFormat="false" ht="12.75" hidden="false" customHeight="false" outlineLevel="0" collapsed="false">
      <c r="A45" s="195" t="s">
        <v>23</v>
      </c>
      <c r="B45" s="196" t="n">
        <v>0</v>
      </c>
      <c r="C45" s="196" t="n">
        <v>91</v>
      </c>
      <c r="D45" s="196"/>
      <c r="E45" s="196" t="n">
        <v>130</v>
      </c>
      <c r="F45" s="196"/>
      <c r="G45" s="196" t="n">
        <v>103</v>
      </c>
      <c r="H45" s="196"/>
      <c r="I45" s="196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195" t="s">
        <v>31</v>
      </c>
      <c r="B46" s="196" t="n">
        <v>9</v>
      </c>
      <c r="C46" s="196" t="n">
        <v>4</v>
      </c>
      <c r="D46" s="196" t="n">
        <v>8</v>
      </c>
      <c r="E46" s="196" t="n">
        <v>19</v>
      </c>
      <c r="F46" s="196" t="n">
        <v>26</v>
      </c>
      <c r="G46" s="196" t="n">
        <v>11</v>
      </c>
      <c r="H46" s="196" t="n">
        <v>13</v>
      </c>
      <c r="I46" s="196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195" t="s">
        <v>26</v>
      </c>
      <c r="B47" s="196" t="n">
        <v>840</v>
      </c>
      <c r="C47" s="196" t="n">
        <v>995</v>
      </c>
      <c r="D47" s="196" t="n">
        <v>1580</v>
      </c>
      <c r="E47" s="196" t="n">
        <v>1678</v>
      </c>
      <c r="F47" s="196" t="n">
        <v>1052</v>
      </c>
      <c r="G47" s="196" t="n">
        <v>1147</v>
      </c>
      <c r="H47" s="196" t="n">
        <v>1552</v>
      </c>
      <c r="I47" s="196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195" t="s">
        <v>33</v>
      </c>
      <c r="B48" s="196" t="n">
        <v>2</v>
      </c>
      <c r="C48" s="196" t="n">
        <v>0</v>
      </c>
      <c r="D48" s="196" t="n">
        <v>2</v>
      </c>
      <c r="E48" s="196" t="n">
        <v>0</v>
      </c>
      <c r="F48" s="196" t="n">
        <v>10</v>
      </c>
      <c r="G48" s="196" t="n">
        <v>4</v>
      </c>
      <c r="H48" s="196" t="n">
        <v>4</v>
      </c>
      <c r="I48" s="196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195" t="s">
        <v>28</v>
      </c>
      <c r="B49" s="196" t="n">
        <v>29</v>
      </c>
      <c r="C49" s="196" t="n">
        <v>23</v>
      </c>
      <c r="D49" s="196" t="n">
        <v>36</v>
      </c>
      <c r="E49" s="196" t="n">
        <v>47</v>
      </c>
      <c r="F49" s="196" t="n">
        <v>32</v>
      </c>
      <c r="G49" s="196" t="n">
        <v>52</v>
      </c>
      <c r="H49" s="196" t="n">
        <v>17</v>
      </c>
      <c r="I49" s="196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198" t="s">
        <v>213</v>
      </c>
      <c r="B50" s="198"/>
      <c r="C50" s="198"/>
      <c r="D50" s="198"/>
      <c r="E50" s="198"/>
      <c r="F50" s="198"/>
      <c r="G50" s="198"/>
      <c r="H50" s="198"/>
      <c r="I50" s="198"/>
    </row>
    <row r="51" customFormat="false" ht="12.75" hidden="false" customHeight="false" outlineLevel="0" collapsed="false">
      <c r="A51" s="199" t="s">
        <v>123</v>
      </c>
      <c r="B51" s="200"/>
      <c r="C51" s="200"/>
      <c r="D51" s="200"/>
      <c r="E51" s="200"/>
      <c r="F51" s="200"/>
      <c r="G51" s="200"/>
      <c r="H51" s="200"/>
      <c r="I51" s="200"/>
    </row>
    <row r="52" customFormat="false" ht="12.75" hidden="false" customHeight="false" outlineLevel="0" collapsed="false">
      <c r="A52" s="201" t="s">
        <v>13</v>
      </c>
      <c r="B52" s="202" t="n">
        <f aca="false">+B6+B7+B22+B23</f>
        <v>5981</v>
      </c>
      <c r="C52" s="202" t="n">
        <f aca="false">+C6+C7+C22+C23</f>
        <v>1559</v>
      </c>
      <c r="D52" s="202" t="n">
        <f aca="false">+D6+D7+D22+D23</f>
        <v>982</v>
      </c>
      <c r="E52" s="202" t="n">
        <f aca="false">+E6+E7+E22+E23</f>
        <v>498</v>
      </c>
      <c r="F52" s="202" t="n">
        <f aca="false">+F6+F7+F22+F23</f>
        <v>937</v>
      </c>
      <c r="G52" s="202" t="n">
        <f aca="false">+G6+G7+G22+G23</f>
        <v>331</v>
      </c>
      <c r="H52" s="202" t="n">
        <f aca="false">+H6+H7+H22+H23</f>
        <v>1240</v>
      </c>
      <c r="I52" s="202" t="n">
        <f aca="false">+I6+I7+I22+I23</f>
        <v>479</v>
      </c>
    </row>
    <row r="53" customFormat="false" ht="12.75" hidden="false" customHeight="false" outlineLevel="0" collapsed="false">
      <c r="A53" s="201" t="s">
        <v>15</v>
      </c>
      <c r="B53" s="202" t="n">
        <f aca="false">+B8+B9+B24+B25</f>
        <v>657</v>
      </c>
      <c r="C53" s="202" t="n">
        <f aca="false">+C8+C9+C24+C25</f>
        <v>1310</v>
      </c>
      <c r="D53" s="202" t="n">
        <f aca="false">+D8+D9+D24+D25</f>
        <v>1636</v>
      </c>
      <c r="E53" s="202" t="n">
        <f aca="false">+E8+E9+E24+E25</f>
        <v>2719</v>
      </c>
      <c r="F53" s="202" t="n">
        <f aca="false">+F8+F9+F24+F25</f>
        <v>1759</v>
      </c>
      <c r="G53" s="202" t="n">
        <f aca="false">+G8+G9+G24+G25</f>
        <v>2204</v>
      </c>
      <c r="H53" s="202" t="n">
        <f aca="false">+H8+H9+H24+H25</f>
        <v>1597</v>
      </c>
      <c r="I53" s="202" t="n">
        <f aca="false">+I8+I9+I24+I25</f>
        <v>2459</v>
      </c>
    </row>
    <row r="54" customFormat="false" ht="12.75" hidden="false" customHeight="false" outlineLevel="0" collapsed="false">
      <c r="A54" s="199" t="s">
        <v>39</v>
      </c>
      <c r="B54" s="202"/>
      <c r="C54" s="202"/>
      <c r="D54" s="202"/>
      <c r="E54" s="202"/>
      <c r="F54" s="202"/>
      <c r="G54" s="202"/>
      <c r="H54" s="202"/>
      <c r="I54" s="202"/>
    </row>
    <row r="55" customFormat="false" ht="12.75" hidden="false" customHeight="false" outlineLevel="0" collapsed="false">
      <c r="A55" s="201" t="s">
        <v>37</v>
      </c>
      <c r="B55" s="203" t="n">
        <f aca="false">+B11+B27</f>
        <v>1</v>
      </c>
      <c r="C55" s="203" t="n">
        <f aca="false">+C11+C27</f>
        <v>85</v>
      </c>
      <c r="D55" s="203" t="n">
        <f aca="false">+D11+D27</f>
        <v>12</v>
      </c>
      <c r="E55" s="203" t="n">
        <f aca="false">+E11+E27</f>
        <v>114</v>
      </c>
      <c r="F55" s="203" t="n">
        <f aca="false">+F11+F27</f>
        <v>10</v>
      </c>
      <c r="G55" s="203" t="n">
        <f aca="false">+G11+G27</f>
        <v>93</v>
      </c>
      <c r="H55" s="203" t="n">
        <f aca="false">+H11+H27</f>
        <v>2</v>
      </c>
      <c r="I55" s="203" t="n">
        <f aca="false">+I11+I27</f>
        <v>122</v>
      </c>
      <c r="J55" s="204" t="n">
        <f aca="false">SUM(B55:I55)</f>
        <v>439</v>
      </c>
    </row>
    <row r="56" customFormat="false" ht="12.75" hidden="false" customHeight="false" outlineLevel="0" collapsed="false">
      <c r="A56" s="201" t="s">
        <v>32</v>
      </c>
      <c r="B56" s="203" t="n">
        <f aca="false">+B12+B28</f>
        <v>0</v>
      </c>
      <c r="C56" s="203" t="n">
        <f aca="false">+C12+C28</f>
        <v>5</v>
      </c>
      <c r="D56" s="203" t="n">
        <f aca="false">+D12+D28</f>
        <v>2</v>
      </c>
      <c r="E56" s="203" t="n">
        <f aca="false">+E12+E28</f>
        <v>15</v>
      </c>
      <c r="F56" s="203" t="n">
        <f aca="false">+F12+F28</f>
        <v>1</v>
      </c>
      <c r="G56" s="203" t="n">
        <f aca="false">+G12+G28</f>
        <v>8</v>
      </c>
      <c r="H56" s="203" t="n">
        <f aca="false">+H12+H28</f>
        <v>0</v>
      </c>
      <c r="I56" s="203" t="n">
        <f aca="false">+I12+I28</f>
        <v>24</v>
      </c>
      <c r="J56" s="204" t="n">
        <f aca="false">SUM(B56:I56)</f>
        <v>55</v>
      </c>
    </row>
    <row r="57" customFormat="false" ht="12.75" hidden="false" customHeight="false" outlineLevel="0" collapsed="false">
      <c r="A57" s="201" t="s">
        <v>163</v>
      </c>
      <c r="B57" s="203" t="n">
        <f aca="false">+B13+B29</f>
        <v>4</v>
      </c>
      <c r="C57" s="203" t="n">
        <f aca="false">+C13+C29</f>
        <v>2</v>
      </c>
      <c r="D57" s="203" t="n">
        <f aca="false">+D13+D29</f>
        <v>3</v>
      </c>
      <c r="E57" s="203" t="n">
        <f aca="false">+E13+E29</f>
        <v>14</v>
      </c>
      <c r="F57" s="203" t="n">
        <f aca="false">+F13+F29</f>
        <v>0</v>
      </c>
      <c r="G57" s="203" t="n">
        <f aca="false">+G13+G29</f>
        <v>24</v>
      </c>
      <c r="H57" s="203" t="n">
        <f aca="false">+H13+H29</f>
        <v>0</v>
      </c>
      <c r="I57" s="203" t="n">
        <f aca="false">+I13+I29</f>
        <v>19</v>
      </c>
      <c r="J57" s="204" t="n">
        <f aca="false">SUM(B57:I57)</f>
        <v>66</v>
      </c>
    </row>
    <row r="58" customFormat="false" ht="12.75" hidden="false" customHeight="false" outlineLevel="0" collapsed="false">
      <c r="A58" s="201" t="s">
        <v>40</v>
      </c>
      <c r="B58" s="203" t="n">
        <f aca="false">+B14+B30</f>
        <v>0</v>
      </c>
      <c r="C58" s="203" t="n">
        <f aca="false">+C14+C30</f>
        <v>0</v>
      </c>
      <c r="D58" s="203" t="n">
        <f aca="false">+D14+D30</f>
        <v>0</v>
      </c>
      <c r="E58" s="203" t="n">
        <f aca="false">+E14+E30</f>
        <v>0</v>
      </c>
      <c r="F58" s="203" t="n">
        <f aca="false">+F14+F30</f>
        <v>0</v>
      </c>
      <c r="G58" s="203" t="n">
        <f aca="false">+G14+G30</f>
        <v>0</v>
      </c>
      <c r="H58" s="203" t="n">
        <f aca="false">+H14+H30</f>
        <v>0</v>
      </c>
      <c r="I58" s="203" t="n">
        <f aca="false">+I14+I30</f>
        <v>0</v>
      </c>
    </row>
    <row r="59" customFormat="false" ht="12.75" hidden="false" customHeight="false" outlineLevel="0" collapsed="false">
      <c r="A59" s="199" t="s">
        <v>21</v>
      </c>
      <c r="B59" s="202"/>
      <c r="C59" s="202"/>
      <c r="D59" s="202"/>
      <c r="E59" s="202"/>
      <c r="F59" s="202"/>
      <c r="G59" s="202"/>
      <c r="H59" s="202"/>
      <c r="I59" s="202"/>
    </row>
    <row r="60" customFormat="false" ht="12.75" hidden="false" customHeight="false" outlineLevel="0" collapsed="false">
      <c r="A60" s="201" t="s">
        <v>23</v>
      </c>
      <c r="B60" s="202" t="n">
        <f aca="false">+B16</f>
        <v>0</v>
      </c>
      <c r="C60" s="202" t="n">
        <f aca="false">+C16</f>
        <v>0</v>
      </c>
      <c r="D60" s="202" t="n">
        <f aca="false">+D16</f>
        <v>0</v>
      </c>
      <c r="E60" s="202" t="n">
        <f aca="false">+E16</f>
        <v>0</v>
      </c>
      <c r="F60" s="202" t="n">
        <f aca="false">+F16</f>
        <v>0</v>
      </c>
      <c r="G60" s="202" t="n">
        <f aca="false">+G16</f>
        <v>0</v>
      </c>
      <c r="H60" s="202" t="n">
        <f aca="false">+H16</f>
        <v>0</v>
      </c>
      <c r="I60" s="202" t="n">
        <f aca="false">+I16</f>
        <v>0</v>
      </c>
    </row>
    <row r="61" customFormat="false" ht="12.75" hidden="false" customHeight="false" outlineLevel="0" collapsed="false">
      <c r="A61" s="201" t="s">
        <v>31</v>
      </c>
      <c r="B61" s="202"/>
      <c r="C61" s="202"/>
      <c r="D61" s="202"/>
      <c r="E61" s="202"/>
      <c r="F61" s="202"/>
      <c r="G61" s="202"/>
      <c r="H61" s="202"/>
      <c r="I61" s="202"/>
    </row>
    <row r="62" customFormat="false" ht="12.75" hidden="false" customHeight="false" outlineLevel="0" collapsed="false">
      <c r="A62" s="201" t="s">
        <v>26</v>
      </c>
      <c r="B62" s="202" t="n">
        <f aca="false">+B18+B32</f>
        <v>840</v>
      </c>
      <c r="C62" s="202" t="n">
        <f aca="false">+C18+C32</f>
        <v>191</v>
      </c>
      <c r="D62" s="202" t="n">
        <f aca="false">+D18+D32</f>
        <v>1580</v>
      </c>
      <c r="E62" s="202" t="n">
        <f aca="false">+E18+E32</f>
        <v>456</v>
      </c>
      <c r="F62" s="202" t="n">
        <f aca="false">+F18+F32</f>
        <v>1051</v>
      </c>
      <c r="G62" s="202" t="n">
        <f aca="false">+G18+G32</f>
        <v>249</v>
      </c>
      <c r="H62" s="202" t="n">
        <f aca="false">+H18+H32</f>
        <v>1544</v>
      </c>
      <c r="I62" s="202" t="n">
        <f aca="false">+I18+I32</f>
        <v>299</v>
      </c>
    </row>
    <row r="63" customFormat="false" ht="12.75" hidden="false" customHeight="false" outlineLevel="0" collapsed="false">
      <c r="A63" s="201" t="s">
        <v>33</v>
      </c>
      <c r="B63" s="205"/>
      <c r="C63" s="205"/>
      <c r="D63" s="205"/>
      <c r="E63" s="205"/>
      <c r="F63" s="205"/>
      <c r="G63" s="205"/>
      <c r="H63" s="205"/>
      <c r="I63" s="205"/>
    </row>
    <row r="64" customFormat="false" ht="12.75" hidden="false" customHeight="false" outlineLevel="0" collapsed="false">
      <c r="A64" s="206" t="s">
        <v>28</v>
      </c>
      <c r="B64" s="202"/>
      <c r="C64" s="202"/>
      <c r="D64" s="202"/>
      <c r="E64" s="202"/>
      <c r="F64" s="202"/>
      <c r="G64" s="202"/>
      <c r="H64" s="202"/>
      <c r="I64" s="202"/>
    </row>
    <row r="66" customFormat="false" ht="12.75" hidden="false" customHeight="false" outlineLevel="0" collapsed="false">
      <c r="A66" s="192" t="s">
        <v>214</v>
      </c>
      <c r="B66" s="192" t="s">
        <v>88</v>
      </c>
      <c r="C66" s="192" t="s">
        <v>160</v>
      </c>
      <c r="D66" s="192" t="s">
        <v>88</v>
      </c>
      <c r="E66" s="192" t="s">
        <v>160</v>
      </c>
      <c r="F66" s="192" t="s">
        <v>88</v>
      </c>
      <c r="G66" s="192" t="s">
        <v>160</v>
      </c>
      <c r="H66" s="192" t="s">
        <v>88</v>
      </c>
      <c r="I66" s="192" t="s">
        <v>160</v>
      </c>
    </row>
    <row r="67" customFormat="false" ht="12.75" hidden="false" customHeight="false" outlineLevel="0" collapsed="false">
      <c r="A67" s="194" t="s">
        <v>123</v>
      </c>
      <c r="B67" s="191"/>
      <c r="C67" s="191"/>
      <c r="D67" s="191"/>
      <c r="E67" s="191"/>
      <c r="F67" s="191"/>
      <c r="G67" s="191"/>
      <c r="H67" s="191"/>
      <c r="I67" s="191"/>
    </row>
    <row r="68" customFormat="false" ht="12.75" hidden="false" customHeight="false" outlineLevel="0" collapsed="false">
      <c r="A68" s="195" t="s">
        <v>13</v>
      </c>
      <c r="B68" s="196" t="n">
        <f aca="false">B37-B52</f>
        <v>2179</v>
      </c>
      <c r="C68" s="196" t="n">
        <f aca="false">C37-C52</f>
        <v>434</v>
      </c>
      <c r="D68" s="196" t="n">
        <f aca="false">D37-D52</f>
        <v>11282</v>
      </c>
      <c r="E68" s="196" t="n">
        <f aca="false">E37-E52</f>
        <v>2702</v>
      </c>
      <c r="F68" s="196" t="n">
        <f aca="false">F37-F52</f>
        <v>9146</v>
      </c>
      <c r="G68" s="196" t="n">
        <f aca="false">G37-G52</f>
        <v>2340</v>
      </c>
      <c r="H68" s="196" t="n">
        <f aca="false">H37-H52</f>
        <v>11958</v>
      </c>
      <c r="I68" s="196" t="n">
        <f aca="false">I37-I52</f>
        <v>2946</v>
      </c>
    </row>
    <row r="69" customFormat="false" ht="12.75" hidden="false" customHeight="false" outlineLevel="0" collapsed="false">
      <c r="A69" s="195" t="s">
        <v>15</v>
      </c>
      <c r="B69" s="196" t="n">
        <f aca="false">B38-B53</f>
        <v>0</v>
      </c>
      <c r="C69" s="196" t="n">
        <f aca="false">C38-C53</f>
        <v>-237</v>
      </c>
      <c r="D69" s="196" t="n">
        <f aca="false">D38-D53</f>
        <v>-6</v>
      </c>
      <c r="E69" s="196" t="n">
        <f aca="false">E38-E53</f>
        <v>-913</v>
      </c>
      <c r="F69" s="196" t="n">
        <f aca="false">F38-F53</f>
        <v>-34</v>
      </c>
      <c r="G69" s="196" t="n">
        <f aca="false">G38-G53</f>
        <v>-148</v>
      </c>
      <c r="H69" s="196" t="n">
        <f aca="false">H38-H53</f>
        <v>-51</v>
      </c>
      <c r="I69" s="196" t="n">
        <f aca="false">I38-I53</f>
        <v>-310</v>
      </c>
    </row>
    <row r="70" customFormat="false" ht="12.75" hidden="false" customHeight="false" outlineLevel="0" collapsed="false">
      <c r="A70" s="194" t="s">
        <v>39</v>
      </c>
      <c r="B70" s="196" t="n">
        <f aca="false">B39-B54</f>
        <v>0</v>
      </c>
      <c r="C70" s="196" t="n">
        <f aca="false">C39-C54</f>
        <v>29</v>
      </c>
      <c r="D70" s="196" t="n">
        <f aca="false">D39-D54</f>
        <v>0</v>
      </c>
      <c r="E70" s="196" t="n">
        <f aca="false">E39-E54</f>
        <v>33</v>
      </c>
      <c r="F70" s="196" t="n">
        <f aca="false">F39-F54</f>
        <v>0</v>
      </c>
      <c r="G70" s="196" t="n">
        <f aca="false">G39-G54</f>
        <v>31</v>
      </c>
      <c r="H70" s="196" t="n">
        <f aca="false">H39-H54</f>
        <v>0</v>
      </c>
      <c r="I70" s="196" t="n">
        <f aca="false">I39-I54</f>
        <v>53</v>
      </c>
    </row>
    <row r="71" customFormat="false" ht="12.75" hidden="false" customHeight="false" outlineLevel="0" collapsed="false">
      <c r="A71" s="195" t="s">
        <v>37</v>
      </c>
      <c r="B71" s="196" t="n">
        <f aca="false">B40-B55</f>
        <v>3</v>
      </c>
      <c r="C71" s="196" t="n">
        <f aca="false">C40-C55</f>
        <v>-85</v>
      </c>
      <c r="D71" s="196" t="n">
        <f aca="false">D40-D55</f>
        <v>-3</v>
      </c>
      <c r="E71" s="196" t="n">
        <f aca="false">E40-E55</f>
        <v>-114</v>
      </c>
      <c r="F71" s="196" t="n">
        <f aca="false">F40-F55</f>
        <v>-6</v>
      </c>
      <c r="G71" s="196" t="n">
        <f aca="false">G40-G55</f>
        <v>-93</v>
      </c>
      <c r="H71" s="196" t="n">
        <f aca="false">H40-H55</f>
        <v>0</v>
      </c>
      <c r="I71" s="196" t="n">
        <f aca="false">I40-I55</f>
        <v>-122</v>
      </c>
    </row>
    <row r="72" customFormat="false" ht="12.75" hidden="false" customHeight="false" outlineLevel="0" collapsed="false">
      <c r="A72" s="195" t="s">
        <v>32</v>
      </c>
      <c r="B72" s="196" t="n">
        <f aca="false">B41-B56</f>
        <v>0</v>
      </c>
      <c r="C72" s="196" t="n">
        <f aca="false">C41-C56</f>
        <v>-5</v>
      </c>
      <c r="D72" s="196" t="n">
        <f aca="false">D41-D56</f>
        <v>-2</v>
      </c>
      <c r="E72" s="196" t="n">
        <f aca="false">E41-E56</f>
        <v>-15</v>
      </c>
      <c r="F72" s="196" t="n">
        <f aca="false">F41-F56</f>
        <v>-1</v>
      </c>
      <c r="G72" s="196" t="n">
        <f aca="false">G41-G56</f>
        <v>-8</v>
      </c>
      <c r="H72" s="196" t="n">
        <f aca="false">H41-H56</f>
        <v>0</v>
      </c>
      <c r="I72" s="196" t="n">
        <f aca="false">I41-I56</f>
        <v>-24</v>
      </c>
    </row>
    <row r="73" customFormat="false" ht="12.75" hidden="false" customHeight="false" outlineLevel="0" collapsed="false">
      <c r="A73" s="195" t="s">
        <v>163</v>
      </c>
      <c r="B73" s="196" t="n">
        <f aca="false">B42-B57</f>
        <v>0</v>
      </c>
      <c r="C73" s="196" t="n">
        <f aca="false">C42-C57</f>
        <v>-2</v>
      </c>
      <c r="D73" s="196" t="n">
        <f aca="false">D42-D57</f>
        <v>1</v>
      </c>
      <c r="E73" s="196" t="n">
        <f aca="false">E42-E57</f>
        <v>-14</v>
      </c>
      <c r="F73" s="196" t="n">
        <f aca="false">F42-F57</f>
        <v>1</v>
      </c>
      <c r="G73" s="196" t="n">
        <f aca="false">G42-G57</f>
        <v>-24</v>
      </c>
      <c r="H73" s="196" t="n">
        <f aca="false">H42-H57</f>
        <v>0</v>
      </c>
      <c r="I73" s="196" t="n">
        <f aca="false">I42-I57</f>
        <v>-19</v>
      </c>
    </row>
    <row r="74" customFormat="false" ht="12.75" hidden="false" customHeight="false" outlineLevel="0" collapsed="false">
      <c r="A74" s="195" t="s">
        <v>40</v>
      </c>
      <c r="B74" s="196" t="n">
        <f aca="false">B43-B58</f>
        <v>0</v>
      </c>
      <c r="C74" s="196" t="n">
        <f aca="false">C43-C58</f>
        <v>0</v>
      </c>
      <c r="D74" s="196" t="n">
        <f aca="false">D43-D58</f>
        <v>0</v>
      </c>
      <c r="E74" s="196" t="n">
        <f aca="false">E43-E58</f>
        <v>0</v>
      </c>
      <c r="F74" s="196" t="n">
        <f aca="false">F43-F58</f>
        <v>0</v>
      </c>
      <c r="G74" s="196" t="n">
        <f aca="false">G43-G58</f>
        <v>0</v>
      </c>
      <c r="H74" s="196" t="n">
        <f aca="false">H43-H58</f>
        <v>0</v>
      </c>
      <c r="I74" s="196" t="n">
        <f aca="false">I43-I58</f>
        <v>0</v>
      </c>
    </row>
    <row r="75" customFormat="false" ht="12.75" hidden="false" customHeight="false" outlineLevel="0" collapsed="false">
      <c r="A75" s="194" t="s">
        <v>21</v>
      </c>
      <c r="B75" s="196" t="n">
        <f aca="false">B44-B59</f>
        <v>0</v>
      </c>
      <c r="C75" s="196" t="n">
        <f aca="false">C44-C59</f>
        <v>0</v>
      </c>
      <c r="D75" s="196" t="n">
        <f aca="false">D44-D59</f>
        <v>0</v>
      </c>
      <c r="E75" s="196" t="n">
        <f aca="false">E44-E59</f>
        <v>0</v>
      </c>
      <c r="F75" s="196" t="n">
        <f aca="false">F44-F59</f>
        <v>0</v>
      </c>
      <c r="G75" s="196" t="n">
        <f aca="false">G44-G59</f>
        <v>0</v>
      </c>
      <c r="H75" s="196" t="n">
        <f aca="false">H44-H59</f>
        <v>0</v>
      </c>
      <c r="I75" s="196" t="n">
        <f aca="false">I44-I59</f>
        <v>0</v>
      </c>
    </row>
    <row r="76" customFormat="false" ht="12.75" hidden="false" customHeight="false" outlineLevel="0" collapsed="false">
      <c r="A76" s="195" t="s">
        <v>23</v>
      </c>
      <c r="B76" s="196" t="n">
        <f aca="false">B45-B60</f>
        <v>0</v>
      </c>
      <c r="C76" s="196" t="n">
        <f aca="false">C45-C60</f>
        <v>91</v>
      </c>
      <c r="D76" s="196" t="n">
        <f aca="false">D45-D60</f>
        <v>0</v>
      </c>
      <c r="E76" s="196" t="n">
        <f aca="false">E45-E60</f>
        <v>130</v>
      </c>
      <c r="F76" s="196" t="n">
        <f aca="false">F45-F60</f>
        <v>0</v>
      </c>
      <c r="G76" s="196" t="n">
        <f aca="false">G45-G60</f>
        <v>103</v>
      </c>
      <c r="H76" s="196" t="n">
        <f aca="false">H45-H60</f>
        <v>0</v>
      </c>
      <c r="I76" s="196" t="n">
        <f aca="false">I45-I60</f>
        <v>169</v>
      </c>
    </row>
    <row r="77" customFormat="false" ht="12.75" hidden="false" customHeight="false" outlineLevel="0" collapsed="false">
      <c r="A77" s="195" t="s">
        <v>31</v>
      </c>
      <c r="B77" s="196" t="n">
        <f aca="false">B46-B61</f>
        <v>9</v>
      </c>
      <c r="C77" s="196" t="n">
        <f aca="false">C46-C61</f>
        <v>4</v>
      </c>
      <c r="D77" s="196" t="n">
        <f aca="false">D46-D61</f>
        <v>8</v>
      </c>
      <c r="E77" s="196" t="n">
        <f aca="false">E46-E61</f>
        <v>19</v>
      </c>
      <c r="F77" s="196" t="n">
        <f aca="false">F46-F61</f>
        <v>26</v>
      </c>
      <c r="G77" s="196" t="n">
        <f aca="false">G46-G61</f>
        <v>11</v>
      </c>
      <c r="H77" s="196" t="n">
        <f aca="false">H46-H61</f>
        <v>13</v>
      </c>
      <c r="I77" s="196" t="n">
        <f aca="false">I46-I61</f>
        <v>23</v>
      </c>
    </row>
    <row r="78" customFormat="false" ht="12.75" hidden="false" customHeight="false" outlineLevel="0" collapsed="false">
      <c r="A78" s="195" t="s">
        <v>26</v>
      </c>
      <c r="B78" s="196" t="n">
        <f aca="false">B47-B62</f>
        <v>0</v>
      </c>
      <c r="C78" s="196" t="n">
        <f aca="false">C47-C62</f>
        <v>804</v>
      </c>
      <c r="D78" s="196" t="n">
        <f aca="false">D47-D62</f>
        <v>0</v>
      </c>
      <c r="E78" s="196" t="n">
        <f aca="false">E47-E62</f>
        <v>1222</v>
      </c>
      <c r="F78" s="196" t="n">
        <f aca="false">F47-F62</f>
        <v>1</v>
      </c>
      <c r="G78" s="196" t="n">
        <f aca="false">G47-G62</f>
        <v>898</v>
      </c>
      <c r="H78" s="196" t="n">
        <f aca="false">H47-H62</f>
        <v>8</v>
      </c>
      <c r="I78" s="196" t="n">
        <f aca="false">I47-I62</f>
        <v>1212</v>
      </c>
    </row>
    <row r="79" customFormat="false" ht="12.75" hidden="false" customHeight="false" outlineLevel="0" collapsed="false">
      <c r="A79" s="195" t="s">
        <v>33</v>
      </c>
      <c r="B79" s="196" t="n">
        <f aca="false">B48-B63</f>
        <v>2</v>
      </c>
      <c r="C79" s="196" t="n">
        <f aca="false">C48-C63</f>
        <v>0</v>
      </c>
      <c r="D79" s="196" t="n">
        <f aca="false">D48-D63</f>
        <v>2</v>
      </c>
      <c r="E79" s="196" t="n">
        <f aca="false">E48-E63</f>
        <v>0</v>
      </c>
      <c r="F79" s="196" t="n">
        <f aca="false">F48-F63</f>
        <v>10</v>
      </c>
      <c r="G79" s="196" t="n">
        <f aca="false">G48-G63</f>
        <v>4</v>
      </c>
      <c r="H79" s="196" t="n">
        <f aca="false">H48-H63</f>
        <v>4</v>
      </c>
      <c r="I79" s="196" t="n">
        <f aca="false">I48-I63</f>
        <v>9</v>
      </c>
    </row>
    <row r="80" customFormat="false" ht="12.75" hidden="false" customHeight="false" outlineLevel="0" collapsed="false">
      <c r="A80" s="195" t="s">
        <v>28</v>
      </c>
      <c r="B80" s="196" t="n">
        <f aca="false">B49-B64</f>
        <v>29</v>
      </c>
      <c r="C80" s="196" t="n">
        <f aca="false">C49-C64</f>
        <v>23</v>
      </c>
      <c r="D80" s="196" t="n">
        <f aca="false">D49-D64</f>
        <v>36</v>
      </c>
      <c r="E80" s="196" t="n">
        <f aca="false">E49-E64</f>
        <v>47</v>
      </c>
      <c r="F80" s="196" t="n">
        <f aca="false">F49-F64</f>
        <v>32</v>
      </c>
      <c r="G80" s="196" t="n">
        <f aca="false">G49-G64</f>
        <v>52</v>
      </c>
      <c r="H80" s="196" t="n">
        <f aca="false">H49-H64</f>
        <v>17</v>
      </c>
      <c r="I80" s="196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H1" activePane="topRight" state="frozen"/>
      <selection pane="topLeft" activeCell="A1" activeCellId="0" sqref="A1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169" t="s">
        <v>88</v>
      </c>
      <c r="H1" s="190"/>
      <c r="I1" s="190"/>
    </row>
    <row r="2" customFormat="false" ht="12.75" hidden="false" customHeight="false" outlineLevel="0" collapsed="false">
      <c r="B2" s="170" t="s">
        <v>215</v>
      </c>
      <c r="C2" s="170"/>
      <c r="D2" s="170" t="s">
        <v>216</v>
      </c>
      <c r="E2" s="170"/>
      <c r="F2" s="170" t="s">
        <v>217</v>
      </c>
      <c r="G2" s="170"/>
      <c r="H2" s="207" t="s">
        <v>218</v>
      </c>
      <c r="I2" s="207"/>
      <c r="J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75" t="s">
        <v>1</v>
      </c>
      <c r="E3" s="75" t="s">
        <v>176</v>
      </c>
      <c r="F3" s="75" t="s">
        <v>1</v>
      </c>
      <c r="G3" s="75" t="s">
        <v>176</v>
      </c>
      <c r="H3" s="75" t="s">
        <v>1</v>
      </c>
      <c r="I3" s="75" t="s">
        <v>176</v>
      </c>
      <c r="J3" s="173" t="s">
        <v>127</v>
      </c>
    </row>
    <row r="4" customFormat="false" ht="12.75" hidden="false" customHeight="false" outlineLevel="0" collapsed="false">
      <c r="A4" s="90"/>
      <c r="B4" s="90"/>
      <c r="C4" s="90"/>
      <c r="D4" s="90"/>
      <c r="E4" s="90"/>
      <c r="F4" s="90"/>
      <c r="G4" s="90"/>
    </row>
    <row r="5" customFormat="false" ht="12.75" hidden="false" customHeight="false" outlineLevel="0" collapsed="false">
      <c r="A5" s="84" t="s">
        <v>10</v>
      </c>
      <c r="B5" s="174"/>
      <c r="C5" s="174"/>
      <c r="D5" s="174"/>
      <c r="E5" s="174"/>
      <c r="F5" s="174"/>
      <c r="G5" s="174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customFormat="false" ht="12.75" hidden="false" customHeight="false" outlineLevel="0" collapsed="false">
      <c r="A6" s="175" t="s">
        <v>13</v>
      </c>
      <c r="B6" s="80" t="n">
        <v>8160</v>
      </c>
      <c r="C6" s="80" t="n">
        <v>867868927</v>
      </c>
      <c r="D6" s="80" t="n">
        <v>12264</v>
      </c>
      <c r="E6" s="80" t="n">
        <v>1430792953</v>
      </c>
      <c r="F6" s="80" t="n">
        <v>10083</v>
      </c>
      <c r="G6" s="80" t="n">
        <v>878002281</v>
      </c>
      <c r="H6" s="80" t="n">
        <v>13198</v>
      </c>
      <c r="I6" s="80" t="n">
        <v>1733178545</v>
      </c>
      <c r="J6" s="80" t="s">
        <v>86</v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</row>
    <row r="7" customFormat="false" ht="12.75" hidden="false" customHeight="false" outlineLevel="0" collapsed="false">
      <c r="A7" s="175" t="s">
        <v>15</v>
      </c>
      <c r="B7" s="80" t="n">
        <v>657</v>
      </c>
      <c r="C7" s="80" t="n">
        <v>6392800</v>
      </c>
      <c r="D7" s="80" t="n">
        <v>1630</v>
      </c>
      <c r="E7" s="80" t="n">
        <v>15194425</v>
      </c>
      <c r="F7" s="80" t="n">
        <v>1725</v>
      </c>
      <c r="G7" s="80" t="n">
        <v>17506625</v>
      </c>
      <c r="H7" s="80" t="n">
        <v>1546</v>
      </c>
      <c r="I7" s="80" t="n">
        <v>14286440</v>
      </c>
      <c r="J7" s="80" t="s">
        <v>90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</row>
    <row r="8" customFormat="false" ht="12.75" hidden="false" customHeight="false" outlineLevel="0" collapsed="false">
      <c r="A8" s="84" t="s">
        <v>21</v>
      </c>
      <c r="B8" s="174"/>
      <c r="C8" s="174"/>
      <c r="D8" s="174"/>
      <c r="E8" s="174"/>
      <c r="F8" s="174"/>
      <c r="G8" s="80"/>
      <c r="H8" s="80"/>
      <c r="I8" s="80"/>
      <c r="J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</row>
    <row r="9" customFormat="false" ht="12.75" hidden="false" customHeight="false" outlineLevel="0" collapsed="false">
      <c r="A9" s="175" t="s">
        <v>26</v>
      </c>
      <c r="B9" s="80" t="n">
        <v>840</v>
      </c>
      <c r="C9" s="80" t="n">
        <v>20894000</v>
      </c>
      <c r="D9" s="80" t="n">
        <v>1580</v>
      </c>
      <c r="E9" s="80" t="n">
        <v>40911000</v>
      </c>
      <c r="F9" s="80" t="n">
        <v>1052</v>
      </c>
      <c r="G9" s="80" t="n">
        <v>25743000</v>
      </c>
      <c r="H9" s="80" t="n">
        <v>1552</v>
      </c>
      <c r="I9" s="80" t="n">
        <v>36444595</v>
      </c>
      <c r="J9" s="80" t="s">
        <v>97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</row>
    <row r="10" customFormat="false" ht="12.75" hidden="false" customHeight="false" outlineLevel="0" collapsed="false">
      <c r="A10" s="175" t="s">
        <v>28</v>
      </c>
      <c r="B10" s="80" t="n">
        <v>25</v>
      </c>
      <c r="C10" s="80" t="n">
        <v>1054250</v>
      </c>
      <c r="D10" s="80" t="n">
        <v>32</v>
      </c>
      <c r="E10" s="80" t="n">
        <v>697000</v>
      </c>
      <c r="F10" s="80" t="n">
        <v>21</v>
      </c>
      <c r="G10" s="80" t="n">
        <v>677000</v>
      </c>
      <c r="H10" s="80" t="n">
        <v>12</v>
      </c>
      <c r="I10" s="80" t="n">
        <v>258000</v>
      </c>
      <c r="J10" s="80" t="s">
        <v>100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</row>
    <row r="11" customFormat="false" ht="12.75" hidden="false" customHeight="false" outlineLevel="0" collapsed="false">
      <c r="A11" s="175" t="s">
        <v>177</v>
      </c>
      <c r="B11" s="80" t="n">
        <v>4</v>
      </c>
      <c r="C11" s="80" t="n">
        <v>153000</v>
      </c>
      <c r="D11" s="80" t="n">
        <v>4</v>
      </c>
      <c r="E11" s="80" t="n">
        <v>177000</v>
      </c>
      <c r="F11" s="80" t="n">
        <v>11</v>
      </c>
      <c r="G11" s="80" t="n">
        <v>465000</v>
      </c>
      <c r="H11" s="80" t="n">
        <v>5</v>
      </c>
      <c r="I11" s="80" t="n">
        <v>225000</v>
      </c>
      <c r="J11" s="80" t="s">
        <v>100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</row>
    <row r="12" customFormat="false" ht="12.75" hidden="false" customHeight="false" outlineLevel="0" collapsed="false">
      <c r="A12" s="175" t="s">
        <v>31</v>
      </c>
      <c r="B12" s="80" t="n">
        <v>9</v>
      </c>
      <c r="C12" s="80" t="n">
        <v>2700</v>
      </c>
      <c r="D12" s="80" t="n">
        <v>8</v>
      </c>
      <c r="E12" s="80" t="n">
        <v>2400</v>
      </c>
      <c r="F12" s="80" t="n">
        <v>26</v>
      </c>
      <c r="G12" s="80" t="n">
        <v>8400</v>
      </c>
      <c r="H12" s="80" t="n">
        <v>13</v>
      </c>
      <c r="I12" s="80" t="n">
        <v>3900</v>
      </c>
      <c r="J12" s="80" t="s">
        <v>103</v>
      </c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</row>
    <row r="13" customFormat="false" ht="12.75" hidden="false" customHeight="false" outlineLevel="0" collapsed="false">
      <c r="A13" s="175" t="s">
        <v>23</v>
      </c>
      <c r="B13" s="80" t="n">
        <v>0</v>
      </c>
      <c r="C13" s="80" t="n">
        <v>0</v>
      </c>
      <c r="D13" s="80" t="n">
        <v>0</v>
      </c>
      <c r="E13" s="80" t="n">
        <v>0</v>
      </c>
      <c r="F13" s="0" t="n">
        <v>0</v>
      </c>
      <c r="G13" s="80" t="n">
        <v>0</v>
      </c>
      <c r="H13" s="80" t="n">
        <v>0</v>
      </c>
      <c r="I13" s="80" t="n">
        <v>0</v>
      </c>
      <c r="J13" s="80" t="s">
        <v>105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</row>
    <row r="14" customFormat="false" ht="12.75" hidden="false" customHeight="false" outlineLevel="0" collapsed="false">
      <c r="A14" s="175" t="s">
        <v>33</v>
      </c>
      <c r="B14" s="80" t="n">
        <v>2</v>
      </c>
      <c r="C14" s="80" t="n">
        <v>5000</v>
      </c>
      <c r="D14" s="80" t="n">
        <v>2</v>
      </c>
      <c r="E14" s="80" t="n">
        <v>5000</v>
      </c>
      <c r="F14" s="80" t="n">
        <v>10</v>
      </c>
      <c r="G14" s="80" t="n">
        <v>25000</v>
      </c>
      <c r="H14" s="80" t="n">
        <v>4</v>
      </c>
      <c r="I14" s="80" t="n">
        <v>10000</v>
      </c>
      <c r="J14" s="80" t="s">
        <v>107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</row>
    <row r="15" customFormat="false" ht="12.75" hidden="false" customHeight="false" outlineLevel="0" collapsed="false">
      <c r="A15" s="84" t="s">
        <v>39</v>
      </c>
      <c r="B15" s="174"/>
      <c r="C15" s="174"/>
      <c r="D15" s="174"/>
      <c r="E15" s="174"/>
      <c r="F15" s="174"/>
      <c r="G15" s="80"/>
      <c r="H15" s="80"/>
      <c r="I15" s="80"/>
      <c r="J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</row>
    <row r="16" customFormat="false" ht="12.75" hidden="false" customHeight="false" outlineLevel="0" collapsed="false">
      <c r="A16" s="175" t="s">
        <v>181</v>
      </c>
      <c r="B16" s="80" t="n">
        <v>0</v>
      </c>
      <c r="C16" s="80" t="n">
        <v>0</v>
      </c>
      <c r="D16" s="80" t="n">
        <v>0</v>
      </c>
      <c r="E16" s="80" t="n">
        <v>0</v>
      </c>
      <c r="F16" s="80" t="n">
        <v>0</v>
      </c>
      <c r="G16" s="80" t="n">
        <v>0</v>
      </c>
      <c r="H16" s="80" t="n">
        <v>0</v>
      </c>
      <c r="I16" s="80" t="n">
        <v>0</v>
      </c>
      <c r="J16" s="80" t="s">
        <v>100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</row>
    <row r="17" customFormat="false" ht="12.75" hidden="false" customHeight="false" outlineLevel="0" collapsed="false">
      <c r="A17" s="175" t="s">
        <v>40</v>
      </c>
      <c r="B17" s="80" t="n">
        <v>0</v>
      </c>
      <c r="C17" s="80" t="n">
        <v>0</v>
      </c>
      <c r="D17" s="80" t="n">
        <v>0</v>
      </c>
      <c r="E17" s="80" t="n">
        <v>0</v>
      </c>
      <c r="F17" s="80" t="n">
        <v>0</v>
      </c>
      <c r="G17" s="80" t="n">
        <v>0</v>
      </c>
      <c r="H17" s="80" t="n">
        <v>0</v>
      </c>
      <c r="I17" s="80" t="n">
        <v>0</v>
      </c>
      <c r="J17" s="80" t="s">
        <v>100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</row>
    <row r="18" customFormat="false" ht="12.75" hidden="false" customHeight="false" outlineLevel="0" collapsed="false">
      <c r="B18" s="80"/>
      <c r="C18" s="80"/>
      <c r="D18" s="80"/>
      <c r="E18" s="80"/>
      <c r="F18" s="80"/>
      <c r="G18" s="80"/>
      <c r="H18" s="80"/>
      <c r="I18" s="80"/>
      <c r="J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</row>
    <row r="19" customFormat="false" ht="12.75" hidden="false" customHeight="false" outlineLevel="0" collapsed="false">
      <c r="B19" s="80"/>
      <c r="C19" s="80"/>
      <c r="D19" s="80"/>
      <c r="E19" s="80"/>
      <c r="F19" s="80"/>
      <c r="G19" s="80"/>
      <c r="H19" s="80"/>
      <c r="J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</row>
    <row r="20" customFormat="false" ht="12.75" hidden="false" customHeight="false" outlineLevel="0" collapsed="false">
      <c r="A20" s="90" t="s">
        <v>178</v>
      </c>
      <c r="B20" s="174" t="n">
        <v>5</v>
      </c>
      <c r="C20" s="174"/>
      <c r="D20" s="174" t="n">
        <v>7</v>
      </c>
      <c r="E20" s="174"/>
      <c r="F20" s="174" t="n">
        <v>7</v>
      </c>
      <c r="G20" s="80"/>
      <c r="H20" s="174" t="n">
        <v>14</v>
      </c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</row>
    <row r="21" customFormat="false" ht="12.75" hidden="false" customHeight="false" outlineLevel="0" collapsed="false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</row>
    <row r="22" customFormat="false" ht="12.75" hidden="false" customHeight="false" outlineLevel="0" collapsed="false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</row>
    <row r="23" customFormat="false" ht="12.75" hidden="false" customHeight="false" outlineLevel="0" collapsed="false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</row>
    <row r="24" customFormat="false" ht="23.25" hidden="false" customHeight="false" outlineLevel="0" collapsed="false">
      <c r="A24" s="169" t="s">
        <v>160</v>
      </c>
    </row>
    <row r="25" customFormat="false" ht="12.75" hidden="false" customHeight="false" outlineLevel="0" collapsed="false">
      <c r="B25" s="170" t="s">
        <v>215</v>
      </c>
      <c r="C25" s="170"/>
      <c r="D25" s="170" t="s">
        <v>216</v>
      </c>
      <c r="E25" s="170"/>
      <c r="F25" s="170" t="s">
        <v>217</v>
      </c>
      <c r="G25" s="170"/>
      <c r="H25" s="170" t="s">
        <v>218</v>
      </c>
      <c r="I25" s="170"/>
      <c r="J25" s="171" t="s">
        <v>174</v>
      </c>
    </row>
    <row r="26" customFormat="false" ht="12.75" hidden="false" customHeight="false" outlineLevel="0" collapsed="false">
      <c r="A26" s="172" t="s">
        <v>175</v>
      </c>
      <c r="B26" s="75" t="s">
        <v>1</v>
      </c>
      <c r="C26" s="75" t="s">
        <v>176</v>
      </c>
      <c r="D26" s="75" t="s">
        <v>1</v>
      </c>
      <c r="E26" s="75" t="s">
        <v>176</v>
      </c>
      <c r="F26" s="75" t="s">
        <v>1</v>
      </c>
      <c r="G26" s="75" t="s">
        <v>176</v>
      </c>
      <c r="H26" s="75" t="s">
        <v>1</v>
      </c>
      <c r="I26" s="75" t="s">
        <v>176</v>
      </c>
      <c r="J26" s="173" t="s">
        <v>127</v>
      </c>
    </row>
    <row r="27" customFormat="false" ht="12.75" hidden="false" customHeight="false" outlineLevel="0" collapsed="false">
      <c r="A27" s="90"/>
      <c r="B27" s="90"/>
      <c r="C27" s="90"/>
      <c r="D27" s="90"/>
      <c r="E27" s="90"/>
      <c r="F27" s="90"/>
      <c r="G27" s="90"/>
    </row>
    <row r="28" customFormat="false" ht="12.75" hidden="false" customHeight="false" outlineLevel="0" collapsed="false">
      <c r="A28" s="84" t="s">
        <v>10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customFormat="false" ht="12.75" hidden="false" customHeight="false" outlineLevel="0" collapsed="false">
      <c r="A29" s="175" t="s">
        <v>13</v>
      </c>
      <c r="B29" s="80" t="n">
        <v>1993</v>
      </c>
      <c r="C29" s="80" t="n">
        <v>890462662</v>
      </c>
      <c r="D29" s="80" t="n">
        <v>3200</v>
      </c>
      <c r="E29" s="80" t="n">
        <v>1770313517</v>
      </c>
      <c r="F29" s="80" t="n">
        <v>2671</v>
      </c>
      <c r="G29" s="80" t="n">
        <v>1064343180</v>
      </c>
      <c r="H29" s="80" t="n">
        <v>3425</v>
      </c>
      <c r="I29" s="80" t="n">
        <v>3219027521</v>
      </c>
      <c r="J29" s="80" t="s">
        <v>86</v>
      </c>
      <c r="K29" s="80"/>
      <c r="L29" s="80"/>
      <c r="M29" s="80"/>
      <c r="N29" s="80"/>
      <c r="O29" s="80"/>
      <c r="P29" s="80"/>
    </row>
    <row r="30" customFormat="false" ht="12.75" hidden="false" customHeight="false" outlineLevel="0" collapsed="false">
      <c r="A30" s="175" t="s">
        <v>15</v>
      </c>
      <c r="B30" s="80" t="n">
        <v>1073</v>
      </c>
      <c r="C30" s="80" t="n">
        <v>9653441</v>
      </c>
      <c r="D30" s="80" t="n">
        <v>1806</v>
      </c>
      <c r="E30" s="80" t="n">
        <v>37468366</v>
      </c>
      <c r="F30" s="80" t="n">
        <v>2056</v>
      </c>
      <c r="G30" s="80" t="n">
        <v>30644030</v>
      </c>
      <c r="H30" s="80" t="n">
        <v>2149</v>
      </c>
      <c r="I30" s="80" t="n">
        <v>23302801</v>
      </c>
      <c r="J30" s="80" t="s">
        <v>90</v>
      </c>
      <c r="K30" s="80"/>
      <c r="L30" s="80"/>
      <c r="M30" s="80"/>
      <c r="N30" s="80"/>
      <c r="O30" s="80"/>
      <c r="P30" s="80"/>
    </row>
    <row r="31" customFormat="false" ht="12.75" hidden="false" customHeight="false" outlineLevel="0" collapsed="false">
      <c r="A31" s="84" t="s">
        <v>21</v>
      </c>
      <c r="B31" s="80"/>
      <c r="C31" s="80"/>
      <c r="D31" s="174"/>
      <c r="E31" s="174"/>
      <c r="F31" s="174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customFormat="false" ht="12.75" hidden="false" customHeight="false" outlineLevel="0" collapsed="false">
      <c r="A32" s="175" t="s">
        <v>26</v>
      </c>
      <c r="B32" s="80" t="n">
        <v>995</v>
      </c>
      <c r="C32" s="80" t="n">
        <v>69536383</v>
      </c>
      <c r="D32" s="80" t="n">
        <v>1678</v>
      </c>
      <c r="E32" s="80" t="n">
        <v>131872348</v>
      </c>
      <c r="F32" s="80" t="n">
        <v>1147</v>
      </c>
      <c r="G32" s="80" t="n">
        <v>82109720</v>
      </c>
      <c r="H32" s="80" t="n">
        <v>1511</v>
      </c>
      <c r="I32" s="80" t="n">
        <v>114536993</v>
      </c>
      <c r="J32" s="80" t="s">
        <v>97</v>
      </c>
      <c r="K32" s="80"/>
      <c r="L32" s="80"/>
      <c r="M32" s="80"/>
      <c r="N32" s="80"/>
      <c r="O32" s="80"/>
      <c r="P32" s="80"/>
    </row>
    <row r="33" customFormat="false" ht="12.75" hidden="false" customHeight="false" outlineLevel="0" collapsed="false">
      <c r="A33" s="175" t="s">
        <v>28</v>
      </c>
      <c r="B33" s="80" t="n">
        <v>8</v>
      </c>
      <c r="C33" s="80" t="n">
        <v>691091</v>
      </c>
      <c r="D33" s="80" t="n">
        <v>39</v>
      </c>
      <c r="E33" s="80" t="n">
        <v>2157306</v>
      </c>
      <c r="F33" s="80" t="n">
        <v>34</v>
      </c>
      <c r="G33" s="80" t="n">
        <v>2376119.09</v>
      </c>
      <c r="H33" s="80" t="n">
        <v>24</v>
      </c>
      <c r="I33" s="80" t="n">
        <v>1716010</v>
      </c>
      <c r="J33" s="80" t="s">
        <v>100</v>
      </c>
      <c r="K33" s="80"/>
      <c r="L33" s="80"/>
      <c r="M33" s="80"/>
      <c r="N33" s="80"/>
      <c r="O33" s="80"/>
      <c r="P33" s="80"/>
    </row>
    <row r="34" customFormat="false" ht="12.75" hidden="false" customHeight="false" outlineLevel="0" collapsed="false">
      <c r="A34" s="175" t="s">
        <v>177</v>
      </c>
      <c r="B34" s="80" t="n">
        <v>15</v>
      </c>
      <c r="C34" s="80" t="n">
        <v>1089373</v>
      </c>
      <c r="D34" s="80" t="n">
        <v>8</v>
      </c>
      <c r="E34" s="80" t="n">
        <v>357627</v>
      </c>
      <c r="F34" s="80" t="n">
        <v>18</v>
      </c>
      <c r="G34" s="80" t="n">
        <v>1166000</v>
      </c>
      <c r="H34" s="80" t="n">
        <v>34</v>
      </c>
      <c r="I34" s="80" t="n">
        <v>1765000</v>
      </c>
      <c r="J34" s="80" t="s">
        <v>100</v>
      </c>
      <c r="K34" s="80"/>
      <c r="L34" s="80"/>
      <c r="M34" s="80"/>
      <c r="N34" s="80"/>
      <c r="O34" s="80"/>
      <c r="P34" s="80"/>
    </row>
    <row r="35" customFormat="false" ht="12.75" hidden="false" customHeight="false" outlineLevel="0" collapsed="false">
      <c r="A35" s="175" t="s">
        <v>31</v>
      </c>
      <c r="B35" s="80" t="n">
        <v>4</v>
      </c>
      <c r="C35" s="80" t="n">
        <v>46550</v>
      </c>
      <c r="D35" s="80" t="n">
        <v>19</v>
      </c>
      <c r="E35" s="80" t="n">
        <v>42950</v>
      </c>
      <c r="F35" s="80" t="n">
        <v>11</v>
      </c>
      <c r="G35" s="80" t="n">
        <v>112500</v>
      </c>
      <c r="H35" s="80" t="n">
        <v>23</v>
      </c>
      <c r="I35" s="80" t="n">
        <v>111600</v>
      </c>
      <c r="J35" s="80" t="s">
        <v>103</v>
      </c>
      <c r="K35" s="80"/>
      <c r="L35" s="80"/>
      <c r="M35" s="80"/>
      <c r="N35" s="80"/>
      <c r="O35" s="80"/>
      <c r="P35" s="80"/>
    </row>
    <row r="36" customFormat="false" ht="12.75" hidden="false" customHeight="false" outlineLevel="0" collapsed="false">
      <c r="A36" s="175" t="s">
        <v>23</v>
      </c>
      <c r="B36" s="80" t="n">
        <v>91</v>
      </c>
      <c r="C36" s="80" t="n">
        <v>6275000</v>
      </c>
      <c r="D36" s="80" t="n">
        <v>130</v>
      </c>
      <c r="E36" s="80" t="n">
        <v>6398750</v>
      </c>
      <c r="F36" s="80" t="n">
        <v>103</v>
      </c>
      <c r="G36" s="80" t="n">
        <v>3718000</v>
      </c>
      <c r="H36" s="80" t="n">
        <v>169</v>
      </c>
      <c r="I36" s="80" t="n">
        <v>6618000</v>
      </c>
      <c r="J36" s="80" t="s">
        <v>105</v>
      </c>
      <c r="K36" s="80"/>
      <c r="L36" s="80"/>
      <c r="M36" s="80"/>
      <c r="N36" s="80"/>
      <c r="O36" s="80"/>
      <c r="P36" s="80"/>
    </row>
    <row r="37" customFormat="false" ht="12.75" hidden="false" customHeight="false" outlineLevel="0" collapsed="false">
      <c r="A37" s="175" t="s">
        <v>33</v>
      </c>
      <c r="B37" s="80" t="n">
        <v>0</v>
      </c>
      <c r="C37" s="80" t="n">
        <v>0</v>
      </c>
      <c r="D37" s="80" t="n">
        <v>0</v>
      </c>
      <c r="E37" s="80" t="n">
        <v>0</v>
      </c>
      <c r="F37" s="80" t="n">
        <v>4</v>
      </c>
      <c r="G37" s="80" t="n">
        <v>9100</v>
      </c>
      <c r="H37" s="80" t="n">
        <v>9</v>
      </c>
      <c r="I37" s="80" t="n">
        <v>97570</v>
      </c>
      <c r="J37" s="80" t="s">
        <v>107</v>
      </c>
      <c r="K37" s="80"/>
      <c r="L37" s="80"/>
      <c r="M37" s="80"/>
      <c r="N37" s="80"/>
      <c r="O37" s="80"/>
      <c r="P37" s="80"/>
    </row>
    <row r="38" customFormat="false" ht="12.75" hidden="false" customHeight="false" outlineLevel="0" collapsed="false">
      <c r="A38" s="84" t="s">
        <v>39</v>
      </c>
      <c r="B38" s="80"/>
      <c r="C38" s="80"/>
      <c r="D38" s="174"/>
      <c r="E38" s="174"/>
      <c r="F38" s="174"/>
      <c r="G38" s="80"/>
      <c r="H38" s="80"/>
      <c r="I38" s="80"/>
      <c r="J38" s="80"/>
      <c r="K38" s="80"/>
      <c r="L38" s="80"/>
      <c r="M38" s="80"/>
      <c r="N38" s="80"/>
      <c r="O38" s="80"/>
      <c r="P38" s="80"/>
    </row>
    <row r="39" customFormat="false" ht="12.75" hidden="false" customHeight="false" outlineLevel="0" collapsed="false">
      <c r="A39" s="175" t="s">
        <v>181</v>
      </c>
      <c r="B39" s="80" t="n">
        <v>29</v>
      </c>
      <c r="C39" s="80" t="n">
        <v>59379.954</v>
      </c>
      <c r="D39" s="80" t="n">
        <v>33</v>
      </c>
      <c r="E39" s="80" t="n">
        <v>23310.969</v>
      </c>
      <c r="F39" s="80" t="n">
        <v>31</v>
      </c>
      <c r="G39" s="80" t="n">
        <v>213378.002</v>
      </c>
      <c r="H39" s="80" t="n">
        <v>53</v>
      </c>
      <c r="I39" s="80" t="n">
        <v>19114.955</v>
      </c>
      <c r="J39" s="80" t="s">
        <v>100</v>
      </c>
      <c r="K39" s="80"/>
      <c r="L39" s="80"/>
      <c r="M39" s="80"/>
      <c r="N39" s="80"/>
      <c r="O39" s="80"/>
      <c r="P39" s="80"/>
    </row>
    <row r="40" customFormat="false" ht="12.75" hidden="false" customHeight="false" outlineLevel="0" collapsed="false">
      <c r="A40" s="175" t="s">
        <v>40</v>
      </c>
      <c r="B40" s="80" t="n">
        <v>0</v>
      </c>
      <c r="C40" s="80" t="n">
        <v>0</v>
      </c>
      <c r="D40" s="80" t="n">
        <v>0</v>
      </c>
      <c r="E40" s="80" t="n">
        <v>0</v>
      </c>
      <c r="F40" s="80" t="n">
        <v>0</v>
      </c>
      <c r="G40" s="80" t="n">
        <v>0</v>
      </c>
      <c r="H40" s="80" t="n">
        <v>0</v>
      </c>
      <c r="I40" s="80" t="n">
        <v>0</v>
      </c>
      <c r="J40" s="80" t="s">
        <v>100</v>
      </c>
      <c r="K40" s="80"/>
      <c r="L40" s="80"/>
      <c r="M40" s="80"/>
      <c r="N40" s="80"/>
      <c r="O40" s="80"/>
      <c r="P40" s="80"/>
    </row>
    <row r="41" customFormat="false" ht="12.75" hidden="false" customHeight="false" outlineLevel="0" collapsed="false">
      <c r="A41" s="175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</row>
    <row r="42" customFormat="false" ht="12.75" hidden="false" customHeight="false" outlineLevel="0" collapsed="false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  <row r="43" customFormat="false" ht="12.75" hidden="false" customHeight="false" outlineLevel="0" collapsed="false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</row>
    <row r="44" customFormat="false" ht="23.25" hidden="false" customHeight="false" outlineLevel="0" collapsed="false">
      <c r="A44" s="169" t="s">
        <v>182</v>
      </c>
    </row>
    <row r="45" customFormat="false" ht="12.75" hidden="false" customHeight="false" outlineLevel="0" collapsed="false">
      <c r="B45" s="170" t="s">
        <v>215</v>
      </c>
      <c r="C45" s="170"/>
      <c r="D45" s="170" t="s">
        <v>216</v>
      </c>
      <c r="E45" s="170"/>
      <c r="F45" s="170" t="s">
        <v>217</v>
      </c>
      <c r="G45" s="170"/>
      <c r="H45" s="170" t="s">
        <v>218</v>
      </c>
      <c r="I45" s="170"/>
      <c r="J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75" t="s">
        <v>1</v>
      </c>
      <c r="E46" s="75" t="s">
        <v>176</v>
      </c>
      <c r="F46" s="75" t="s">
        <v>1</v>
      </c>
      <c r="G46" s="75" t="s">
        <v>176</v>
      </c>
      <c r="H46" s="75" t="s">
        <v>1</v>
      </c>
      <c r="I46" s="75" t="s">
        <v>176</v>
      </c>
      <c r="J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  <c r="D48" s="35"/>
      <c r="E48" s="35"/>
      <c r="F48" s="35"/>
      <c r="G48" s="35"/>
      <c r="H48" s="35"/>
      <c r="I48" s="35"/>
    </row>
    <row r="49" customFormat="false" ht="12.75" hidden="false" customHeight="false" outlineLevel="0" collapsed="false">
      <c r="A49" s="175" t="s">
        <v>37</v>
      </c>
      <c r="B49" s="35" t="n">
        <v>4</v>
      </c>
      <c r="C49" s="35" t="n">
        <v>247000</v>
      </c>
      <c r="D49" s="35" t="n">
        <v>9</v>
      </c>
      <c r="E49" s="35" t="n">
        <v>492000</v>
      </c>
      <c r="F49" s="35" t="n">
        <v>4</v>
      </c>
      <c r="G49" s="35" t="n">
        <v>88000</v>
      </c>
      <c r="H49" s="35" t="n">
        <v>2</v>
      </c>
      <c r="I49" s="35" t="n">
        <v>220000</v>
      </c>
      <c r="J49" s="0" t="s">
        <v>183</v>
      </c>
    </row>
    <row r="50" customFormat="false" ht="12.75" hidden="false" customHeight="false" outlineLevel="0" collapsed="false">
      <c r="A50" s="175" t="s">
        <v>32</v>
      </c>
      <c r="B50" s="35" t="n">
        <v>0</v>
      </c>
      <c r="C50" s="35" t="n">
        <v>0</v>
      </c>
      <c r="D50" s="35" t="n">
        <v>0</v>
      </c>
      <c r="E50" s="35" t="n">
        <v>0</v>
      </c>
      <c r="F50" s="35" t="n">
        <v>0</v>
      </c>
      <c r="G50" s="35" t="n">
        <v>0</v>
      </c>
      <c r="H50" s="35" t="n">
        <v>0</v>
      </c>
      <c r="I50" s="35" t="n">
        <v>0</v>
      </c>
    </row>
    <row r="51" customFormat="false" ht="12.75" hidden="false" customHeight="false" outlineLevel="0" collapsed="false">
      <c r="A51" s="175" t="s">
        <v>163</v>
      </c>
      <c r="B51" s="35" t="n">
        <v>4</v>
      </c>
      <c r="C51" s="35" t="n">
        <v>910</v>
      </c>
      <c r="D51" s="35" t="n">
        <v>4</v>
      </c>
      <c r="E51" s="35" t="n">
        <v>12450</v>
      </c>
      <c r="F51" s="35" t="n">
        <v>1</v>
      </c>
      <c r="G51" s="35" t="n">
        <v>20</v>
      </c>
      <c r="H51" s="35" t="n">
        <v>0</v>
      </c>
      <c r="I51" s="35" t="n">
        <v>0</v>
      </c>
      <c r="J51" s="0" t="s">
        <v>184</v>
      </c>
    </row>
    <row r="53" customFormat="false" ht="12.75" hidden="false" customHeight="false" outlineLevel="0" collapsed="false">
      <c r="A53" s="90" t="s">
        <v>185</v>
      </c>
      <c r="B53" s="90" t="n">
        <v>1</v>
      </c>
      <c r="C53" s="90"/>
      <c r="D53" s="90" t="n">
        <v>1</v>
      </c>
      <c r="E53" s="90"/>
      <c r="F53" s="90" t="n">
        <v>0</v>
      </c>
      <c r="G53" s="90"/>
      <c r="H53" s="90" t="n">
        <v>0</v>
      </c>
    </row>
    <row r="55" customFormat="false" ht="12.75" hidden="false" customHeight="false" outlineLevel="0" collapsed="false">
      <c r="A55" s="87" t="s">
        <v>186</v>
      </c>
      <c r="C55" s="187" t="n">
        <f aca="false">C49*0.0022374</f>
        <v>552.6378</v>
      </c>
      <c r="E55" s="187" t="n">
        <f aca="false">E49*0.0022374</f>
        <v>1100.8008</v>
      </c>
      <c r="G55" s="187" t="n">
        <f aca="false">G49*0.0022374</f>
        <v>196.8912</v>
      </c>
      <c r="I55" s="187" t="n">
        <f aca="false">I49*0.0022374</f>
        <v>492.228</v>
      </c>
    </row>
    <row r="58" customFormat="false" ht="12.75" hidden="false" customHeight="false" outlineLevel="0" collapsed="false">
      <c r="A58" s="84" t="s">
        <v>187</v>
      </c>
      <c r="B58" s="90"/>
      <c r="C58" s="188" t="n">
        <f aca="false">C55+C51+C40+C39+C17+C16</f>
        <v>60842.5918</v>
      </c>
      <c r="D58" s="90"/>
      <c r="E58" s="188" t="n">
        <f aca="false">E55+E51+E40+E39+E17+E16</f>
        <v>36861.7698</v>
      </c>
      <c r="F58" s="90"/>
      <c r="G58" s="188" t="n">
        <f aca="false">G55+G51+G40+G39+G17+G16</f>
        <v>213594.8932</v>
      </c>
      <c r="H58" s="90"/>
      <c r="I58" s="188" t="n">
        <f aca="false">I55+I51+I40+I39+I17+I16</f>
        <v>19607.183</v>
      </c>
      <c r="J58" s="90"/>
      <c r="K58" s="90"/>
      <c r="L58" s="90"/>
    </row>
    <row r="61" customFormat="false" ht="23.25" hidden="false" customHeight="false" outlineLevel="0" collapsed="false">
      <c r="A61" s="169" t="s">
        <v>88</v>
      </c>
      <c r="H61" s="190"/>
      <c r="I61" s="190"/>
    </row>
    <row r="62" customFormat="false" ht="12.75" hidden="false" customHeight="false" outlineLevel="0" collapsed="false">
      <c r="B62" s="170" t="s">
        <v>215</v>
      </c>
      <c r="C62" s="170"/>
      <c r="D62" s="170" t="s">
        <v>216</v>
      </c>
      <c r="E62" s="170"/>
      <c r="F62" s="170" t="s">
        <v>217</v>
      </c>
      <c r="G62" s="170"/>
      <c r="H62" s="207" t="s">
        <v>218</v>
      </c>
      <c r="I62" s="207"/>
      <c r="J62" s="171" t="s">
        <v>174</v>
      </c>
    </row>
    <row r="63" customFormat="false" ht="12.75" hidden="false" customHeight="false" outlineLevel="0" collapsed="false">
      <c r="A63" s="172" t="s">
        <v>175</v>
      </c>
      <c r="B63" s="75" t="s">
        <v>1</v>
      </c>
      <c r="C63" s="75" t="s">
        <v>176</v>
      </c>
      <c r="D63" s="75" t="s">
        <v>1</v>
      </c>
      <c r="E63" s="75" t="s">
        <v>176</v>
      </c>
      <c r="F63" s="75" t="s">
        <v>1</v>
      </c>
      <c r="G63" s="75" t="s">
        <v>176</v>
      </c>
      <c r="H63" s="75" t="s">
        <v>1</v>
      </c>
      <c r="I63" s="75" t="s">
        <v>176</v>
      </c>
      <c r="J63" s="173" t="s">
        <v>127</v>
      </c>
    </row>
    <row r="64" customFormat="false" ht="12.75" hidden="false" customHeight="false" outlineLevel="0" collapsed="false">
      <c r="A64" s="90"/>
      <c r="B64" s="90"/>
      <c r="C64" s="90"/>
      <c r="D64" s="90"/>
      <c r="E64" s="90"/>
      <c r="F64" s="90"/>
      <c r="G64" s="90"/>
    </row>
    <row r="65" customFormat="false" ht="12.75" hidden="false" customHeight="false" outlineLevel="0" collapsed="false">
      <c r="A65" s="84" t="s">
        <v>10</v>
      </c>
      <c r="B65" s="174"/>
      <c r="C65" s="174"/>
      <c r="D65" s="174"/>
      <c r="E65" s="174"/>
      <c r="F65" s="174"/>
      <c r="G65" s="174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</row>
    <row r="66" customFormat="false" ht="12.75" hidden="false" customHeight="false" outlineLevel="0" collapsed="false">
      <c r="A66" s="175" t="s">
        <v>13</v>
      </c>
      <c r="B66" s="80" t="n">
        <f aca="false">B6+B29</f>
        <v>10153</v>
      </c>
      <c r="C66" s="80" t="n">
        <f aca="false">C6+C29</f>
        <v>1758331589</v>
      </c>
      <c r="D66" s="80" t="n">
        <f aca="false">D6+D29</f>
        <v>15464</v>
      </c>
      <c r="E66" s="80" t="n">
        <f aca="false">E6+E29</f>
        <v>3201106470</v>
      </c>
      <c r="F66" s="80" t="n">
        <f aca="false">F6+F29</f>
        <v>12754</v>
      </c>
      <c r="G66" s="80" t="n">
        <f aca="false">G6+G29</f>
        <v>1942345461</v>
      </c>
      <c r="H66" s="80" t="n">
        <f aca="false">H6+H29</f>
        <v>16623</v>
      </c>
      <c r="I66" s="80" t="n">
        <f aca="false">I6+I29</f>
        <v>4952206066</v>
      </c>
      <c r="J66" s="80" t="s">
        <v>86</v>
      </c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</row>
    <row r="67" customFormat="false" ht="12.75" hidden="false" customHeight="false" outlineLevel="0" collapsed="false">
      <c r="A67" s="175" t="s">
        <v>15</v>
      </c>
      <c r="B67" s="80" t="n">
        <f aca="false">B7+B30</f>
        <v>1730</v>
      </c>
      <c r="C67" s="80" t="n">
        <f aca="false">C7+C30</f>
        <v>16046241</v>
      </c>
      <c r="D67" s="80" t="n">
        <f aca="false">D7+D30</f>
        <v>3436</v>
      </c>
      <c r="E67" s="80" t="n">
        <f aca="false">E7+E30</f>
        <v>52662791</v>
      </c>
      <c r="F67" s="80" t="n">
        <f aca="false">F7+F30</f>
        <v>3781</v>
      </c>
      <c r="G67" s="80" t="n">
        <f aca="false">G7+G30</f>
        <v>48150655</v>
      </c>
      <c r="H67" s="80" t="n">
        <f aca="false">H7+H30</f>
        <v>3695</v>
      </c>
      <c r="I67" s="80" t="n">
        <f aca="false">I7+I30</f>
        <v>37589241</v>
      </c>
      <c r="J67" s="80" t="s">
        <v>90</v>
      </c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</row>
    <row r="68" customFormat="false" ht="12.75" hidden="false" customHeight="false" outlineLevel="0" collapsed="false">
      <c r="A68" s="84" t="s">
        <v>21</v>
      </c>
      <c r="B68" s="80" t="n">
        <f aca="false">B8+B31</f>
        <v>0</v>
      </c>
      <c r="C68" s="80" t="n">
        <f aca="false">C8+C31</f>
        <v>0</v>
      </c>
      <c r="D68" s="80" t="n">
        <f aca="false">D8+D31</f>
        <v>0</v>
      </c>
      <c r="E68" s="80" t="n">
        <f aca="false">E8+E31</f>
        <v>0</v>
      </c>
      <c r="F68" s="80" t="n">
        <f aca="false">F8+F31</f>
        <v>0</v>
      </c>
      <c r="G68" s="80" t="n">
        <f aca="false">G8+G31</f>
        <v>0</v>
      </c>
      <c r="H68" s="80" t="n">
        <f aca="false">H8+H31</f>
        <v>0</v>
      </c>
      <c r="I68" s="80" t="n">
        <f aca="false">I8+I31</f>
        <v>0</v>
      </c>
      <c r="J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</row>
    <row r="69" customFormat="false" ht="12.75" hidden="false" customHeight="false" outlineLevel="0" collapsed="false">
      <c r="A69" s="175" t="s">
        <v>26</v>
      </c>
      <c r="B69" s="80" t="n">
        <f aca="false">B9+B32</f>
        <v>1835</v>
      </c>
      <c r="C69" s="80" t="n">
        <f aca="false">C9+C32</f>
        <v>90430383</v>
      </c>
      <c r="D69" s="80" t="n">
        <f aca="false">D9+D32</f>
        <v>3258</v>
      </c>
      <c r="E69" s="80" t="n">
        <f aca="false">E9+E32</f>
        <v>172783348</v>
      </c>
      <c r="F69" s="80" t="n">
        <f aca="false">F9+F32</f>
        <v>2199</v>
      </c>
      <c r="G69" s="80" t="n">
        <f aca="false">G9+G32</f>
        <v>107852720</v>
      </c>
      <c r="H69" s="80" t="n">
        <f aca="false">H9+H32</f>
        <v>3063</v>
      </c>
      <c r="I69" s="80" t="n">
        <f aca="false">I9+I32</f>
        <v>150981588</v>
      </c>
      <c r="J69" s="80" t="s">
        <v>97</v>
      </c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</row>
    <row r="70" customFormat="false" ht="12.75" hidden="false" customHeight="false" outlineLevel="0" collapsed="false">
      <c r="A70" s="175" t="s">
        <v>28</v>
      </c>
      <c r="B70" s="80" t="n">
        <f aca="false">B10+B33</f>
        <v>33</v>
      </c>
      <c r="C70" s="80" t="n">
        <f aca="false">C10+C33</f>
        <v>1745341</v>
      </c>
      <c r="D70" s="80" t="n">
        <f aca="false">D10+D33</f>
        <v>71</v>
      </c>
      <c r="E70" s="80" t="n">
        <f aca="false">E10+E33</f>
        <v>2854306</v>
      </c>
      <c r="F70" s="80" t="n">
        <f aca="false">F10+F33</f>
        <v>55</v>
      </c>
      <c r="G70" s="80" t="n">
        <f aca="false">G10+G33</f>
        <v>3053119.09</v>
      </c>
      <c r="H70" s="80" t="n">
        <f aca="false">H10+H33</f>
        <v>36</v>
      </c>
      <c r="I70" s="80" t="n">
        <f aca="false">I10+I33</f>
        <v>1974010</v>
      </c>
      <c r="J70" s="80" t="s">
        <v>100</v>
      </c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</row>
    <row r="71" customFormat="false" ht="12.75" hidden="false" customHeight="false" outlineLevel="0" collapsed="false">
      <c r="A71" s="175" t="s">
        <v>177</v>
      </c>
      <c r="B71" s="80" t="n">
        <f aca="false">B11+B34</f>
        <v>19</v>
      </c>
      <c r="C71" s="80" t="n">
        <f aca="false">C11+C34</f>
        <v>1242373</v>
      </c>
      <c r="D71" s="80" t="n">
        <f aca="false">D11+D34</f>
        <v>12</v>
      </c>
      <c r="E71" s="80" t="n">
        <f aca="false">E11+E34</f>
        <v>534627</v>
      </c>
      <c r="F71" s="80" t="n">
        <f aca="false">F11+F34</f>
        <v>29</v>
      </c>
      <c r="G71" s="80" t="n">
        <f aca="false">G11+G34</f>
        <v>1631000</v>
      </c>
      <c r="H71" s="80" t="n">
        <f aca="false">H11+H34</f>
        <v>39</v>
      </c>
      <c r="I71" s="80" t="n">
        <f aca="false">I11+I34</f>
        <v>1990000</v>
      </c>
      <c r="J71" s="80" t="s">
        <v>100</v>
      </c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</row>
    <row r="72" customFormat="false" ht="12.75" hidden="false" customHeight="false" outlineLevel="0" collapsed="false">
      <c r="A72" s="175" t="s">
        <v>31</v>
      </c>
      <c r="B72" s="80" t="n">
        <f aca="false">B12+B35</f>
        <v>13</v>
      </c>
      <c r="C72" s="80" t="n">
        <f aca="false">C12+C35</f>
        <v>49250</v>
      </c>
      <c r="D72" s="80" t="n">
        <f aca="false">D12+D35</f>
        <v>27</v>
      </c>
      <c r="E72" s="80" t="n">
        <f aca="false">E12+E35</f>
        <v>45350</v>
      </c>
      <c r="F72" s="80" t="n">
        <f aca="false">F12+F35</f>
        <v>37</v>
      </c>
      <c r="G72" s="80" t="n">
        <f aca="false">G12+G35</f>
        <v>120900</v>
      </c>
      <c r="H72" s="80" t="n">
        <f aca="false">H12+H35</f>
        <v>36</v>
      </c>
      <c r="I72" s="80" t="n">
        <f aca="false">I12+I35</f>
        <v>115500</v>
      </c>
      <c r="J72" s="80" t="s">
        <v>103</v>
      </c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</row>
    <row r="73" customFormat="false" ht="12.75" hidden="false" customHeight="false" outlineLevel="0" collapsed="false">
      <c r="A73" s="175" t="s">
        <v>23</v>
      </c>
      <c r="B73" s="80" t="n">
        <f aca="false">B13+B36</f>
        <v>91</v>
      </c>
      <c r="C73" s="80" t="n">
        <f aca="false">C13+C36</f>
        <v>6275000</v>
      </c>
      <c r="D73" s="80" t="n">
        <f aca="false">D13+D36</f>
        <v>130</v>
      </c>
      <c r="E73" s="80" t="n">
        <f aca="false">E13+E36</f>
        <v>6398750</v>
      </c>
      <c r="F73" s="80" t="n">
        <f aca="false">F13+F36</f>
        <v>103</v>
      </c>
      <c r="G73" s="80" t="n">
        <f aca="false">G13+G36</f>
        <v>3718000</v>
      </c>
      <c r="H73" s="80" t="n">
        <f aca="false">H13+H36</f>
        <v>169</v>
      </c>
      <c r="I73" s="80" t="n">
        <f aca="false">I13+I36</f>
        <v>6618000</v>
      </c>
      <c r="J73" s="80" t="s">
        <v>105</v>
      </c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</row>
    <row r="74" customFormat="false" ht="12.75" hidden="false" customHeight="false" outlineLevel="0" collapsed="false">
      <c r="A74" s="175" t="s">
        <v>33</v>
      </c>
      <c r="B74" s="80" t="n">
        <f aca="false">B14+B37</f>
        <v>2</v>
      </c>
      <c r="C74" s="80" t="n">
        <f aca="false">C14+C37</f>
        <v>5000</v>
      </c>
      <c r="D74" s="80" t="n">
        <f aca="false">D14+D37</f>
        <v>2</v>
      </c>
      <c r="E74" s="80" t="n">
        <f aca="false">E14+E37</f>
        <v>5000</v>
      </c>
      <c r="F74" s="80" t="n">
        <f aca="false">F14+F37</f>
        <v>14</v>
      </c>
      <c r="G74" s="80" t="n">
        <f aca="false">G14+G37</f>
        <v>34100</v>
      </c>
      <c r="H74" s="80" t="n">
        <f aca="false">H14+H37</f>
        <v>13</v>
      </c>
      <c r="I74" s="80" t="n">
        <f aca="false">I14+I37</f>
        <v>107570</v>
      </c>
      <c r="J74" s="80" t="s">
        <v>107</v>
      </c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</row>
    <row r="75" customFormat="false" ht="12.75" hidden="false" customHeight="false" outlineLevel="0" collapsed="false">
      <c r="A75" s="84" t="s">
        <v>39</v>
      </c>
      <c r="B75" s="80" t="n">
        <f aca="false">B15+B38</f>
        <v>0</v>
      </c>
      <c r="C75" s="80" t="n">
        <f aca="false">C15+C38</f>
        <v>0</v>
      </c>
      <c r="D75" s="80" t="n">
        <f aca="false">D15+D38</f>
        <v>0</v>
      </c>
      <c r="E75" s="80" t="n">
        <f aca="false">E15+E38</f>
        <v>0</v>
      </c>
      <c r="F75" s="80" t="n">
        <f aca="false">F15+F38</f>
        <v>0</v>
      </c>
      <c r="G75" s="80" t="n">
        <f aca="false">G15+G38</f>
        <v>0</v>
      </c>
      <c r="H75" s="80" t="n">
        <f aca="false">H15+H38</f>
        <v>0</v>
      </c>
      <c r="I75" s="80" t="n">
        <f aca="false">I15+I38</f>
        <v>0</v>
      </c>
      <c r="J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</row>
    <row r="76" customFormat="false" ht="12.75" hidden="false" customHeight="false" outlineLevel="0" collapsed="false">
      <c r="A76" s="175" t="s">
        <v>181</v>
      </c>
      <c r="B76" s="80" t="n">
        <f aca="false">B16+B39</f>
        <v>29</v>
      </c>
      <c r="C76" s="80" t="n">
        <f aca="false">C16+C39</f>
        <v>59379.954</v>
      </c>
      <c r="D76" s="80" t="n">
        <f aca="false">D16+D39</f>
        <v>33</v>
      </c>
      <c r="E76" s="80" t="n">
        <f aca="false">E16+E39</f>
        <v>23310.969</v>
      </c>
      <c r="F76" s="80" t="n">
        <f aca="false">F16+F39</f>
        <v>31</v>
      </c>
      <c r="G76" s="80" t="n">
        <f aca="false">G16+G39</f>
        <v>213378.002</v>
      </c>
      <c r="H76" s="80" t="n">
        <f aca="false">H16+H39</f>
        <v>53</v>
      </c>
      <c r="I76" s="80" t="n">
        <f aca="false">I16+I39</f>
        <v>19114.955</v>
      </c>
      <c r="J76" s="80" t="s">
        <v>100</v>
      </c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</row>
    <row r="77" customFormat="false" ht="12.75" hidden="false" customHeight="false" outlineLevel="0" collapsed="false">
      <c r="A77" s="175" t="s">
        <v>40</v>
      </c>
      <c r="B77" s="80" t="n">
        <f aca="false">B17+B40</f>
        <v>0</v>
      </c>
      <c r="C77" s="80" t="n">
        <f aca="false">C17+C40</f>
        <v>0</v>
      </c>
      <c r="D77" s="80" t="n">
        <f aca="false">D17+D40</f>
        <v>0</v>
      </c>
      <c r="E77" s="80" t="n">
        <f aca="false">E17+E40</f>
        <v>0</v>
      </c>
      <c r="F77" s="80" t="n">
        <f aca="false">F17+F40</f>
        <v>0</v>
      </c>
      <c r="G77" s="80" t="n">
        <f aca="false">G17+G40</f>
        <v>0</v>
      </c>
      <c r="H77" s="80" t="n">
        <f aca="false">H17+H40</f>
        <v>0</v>
      </c>
      <c r="I77" s="80" t="n">
        <f aca="false">I17+I40</f>
        <v>0</v>
      </c>
      <c r="J77" s="80" t="s">
        <v>100</v>
      </c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</row>
    <row r="78" customFormat="false" ht="12.75" hidden="false" customHeight="false" outlineLevel="0" collapsed="false">
      <c r="B78" s="80"/>
      <c r="C78" s="80"/>
      <c r="D78" s="80"/>
      <c r="E78" s="80"/>
      <c r="F78" s="80"/>
      <c r="G78" s="80"/>
      <c r="H78" s="80"/>
      <c r="I78" s="80"/>
      <c r="J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90" t="s">
        <v>219</v>
      </c>
      <c r="C1" s="90" t="s">
        <v>220</v>
      </c>
      <c r="D1" s="90" t="s">
        <v>221</v>
      </c>
      <c r="E1" s="90" t="s">
        <v>42</v>
      </c>
      <c r="F1" s="90" t="s">
        <v>222</v>
      </c>
    </row>
    <row r="2" customFormat="false" ht="12.75" hidden="false" customHeight="false" outlineLevel="0" collapsed="false">
      <c r="A2" s="90" t="s">
        <v>161</v>
      </c>
    </row>
    <row r="3" customFormat="false" ht="12.75" hidden="false" customHeight="false" outlineLevel="0" collapsed="false">
      <c r="A3" s="82" t="s">
        <v>23</v>
      </c>
      <c r="B3" s="0" t="s">
        <v>223</v>
      </c>
      <c r="C3" s="0" t="s">
        <v>224</v>
      </c>
    </row>
    <row r="4" customFormat="false" ht="12.75" hidden="false" customHeight="false" outlineLevel="0" collapsed="false">
      <c r="A4" s="82" t="s">
        <v>209</v>
      </c>
      <c r="B4" s="0" t="s">
        <v>225</v>
      </c>
      <c r="D4" s="208" t="s">
        <v>226</v>
      </c>
    </row>
    <row r="5" customFormat="false" ht="12.75" hidden="false" customHeight="false" outlineLevel="0" collapsed="false">
      <c r="A5" s="82" t="s">
        <v>210</v>
      </c>
      <c r="B5" s="0" t="s">
        <v>227</v>
      </c>
      <c r="C5" s="0" t="s">
        <v>224</v>
      </c>
    </row>
    <row r="6" customFormat="false" ht="12.75" hidden="false" customHeight="false" outlineLevel="0" collapsed="false">
      <c r="A6" s="82" t="s">
        <v>211</v>
      </c>
      <c r="B6" s="0" t="s">
        <v>227</v>
      </c>
      <c r="C6" s="0" t="s">
        <v>224</v>
      </c>
    </row>
    <row r="7" customFormat="false" ht="12.75" hidden="false" customHeight="false" outlineLevel="0" collapsed="false">
      <c r="A7" s="82" t="s">
        <v>212</v>
      </c>
    </row>
    <row r="8" customFormat="false" ht="12.75" hidden="false" customHeight="false" outlineLevel="0" collapsed="false">
      <c r="A8" s="82" t="s">
        <v>228</v>
      </c>
      <c r="B8" s="0" t="s">
        <v>227</v>
      </c>
      <c r="C8" s="0" t="s">
        <v>224</v>
      </c>
    </row>
    <row r="9" customFormat="false" ht="12.75" hidden="false" customHeight="false" outlineLevel="0" collapsed="false">
      <c r="A9" s="82" t="s">
        <v>31</v>
      </c>
      <c r="B9" s="0" t="s">
        <v>229</v>
      </c>
      <c r="C9" s="0" t="s">
        <v>224</v>
      </c>
    </row>
    <row r="10" customFormat="false" ht="12" hidden="false" customHeight="true" outlineLevel="0" collapsed="false">
      <c r="A10" s="82" t="s">
        <v>26</v>
      </c>
      <c r="B10" s="0" t="s">
        <v>229</v>
      </c>
      <c r="C10" s="0" t="s">
        <v>224</v>
      </c>
    </row>
    <row r="11" customFormat="false" ht="12" hidden="false" customHeight="true" outlineLevel="0" collapsed="false">
      <c r="A11" s="82" t="s">
        <v>33</v>
      </c>
      <c r="B11" s="0" t="s">
        <v>229</v>
      </c>
      <c r="C11" s="0" t="s">
        <v>224</v>
      </c>
    </row>
    <row r="12" customFormat="false" ht="12.75" hidden="false" customHeight="false" outlineLevel="0" collapsed="false">
      <c r="A12" s="90" t="s">
        <v>164</v>
      </c>
    </row>
    <row r="13" customFormat="false" ht="12.75" hidden="false" customHeight="false" outlineLevel="0" collapsed="false">
      <c r="A13" s="82" t="s">
        <v>210</v>
      </c>
      <c r="B13" s="0" t="s">
        <v>230</v>
      </c>
      <c r="C13" s="0" t="s">
        <v>224</v>
      </c>
      <c r="D13" s="0" t="s">
        <v>231</v>
      </c>
    </row>
    <row r="14" customFormat="false" ht="12.75" hidden="false" customHeight="false" outlineLevel="0" collapsed="false">
      <c r="A14" s="82" t="s">
        <v>209</v>
      </c>
      <c r="B14" s="0" t="s">
        <v>225</v>
      </c>
      <c r="D14" s="208" t="s">
        <v>226</v>
      </c>
    </row>
    <row r="15" customFormat="false" ht="12.75" hidden="false" customHeight="false" outlineLevel="0" collapsed="false">
      <c r="A15" s="82" t="s">
        <v>211</v>
      </c>
      <c r="B15" s="0" t="s">
        <v>232</v>
      </c>
      <c r="C15" s="0" t="s">
        <v>224</v>
      </c>
    </row>
    <row r="16" customFormat="false" ht="12.75" hidden="false" customHeight="false" outlineLevel="0" collapsed="false">
      <c r="A16" s="82" t="s">
        <v>212</v>
      </c>
    </row>
    <row r="17" customFormat="false" ht="12.75" hidden="false" customHeight="false" outlineLevel="0" collapsed="false">
      <c r="A17" s="82" t="s">
        <v>228</v>
      </c>
      <c r="B17" s="0" t="s">
        <v>233</v>
      </c>
      <c r="C17" s="0" t="s">
        <v>224</v>
      </c>
    </row>
    <row r="18" customFormat="false" ht="12.75" hidden="false" customHeight="false" outlineLevel="0" collapsed="false">
      <c r="A18" s="82" t="s">
        <v>26</v>
      </c>
      <c r="B18" s="0" t="s">
        <v>229</v>
      </c>
      <c r="C18" s="0" t="s">
        <v>224</v>
      </c>
    </row>
    <row r="19" customFormat="false" ht="12.75" hidden="false" customHeight="false" outlineLevel="0" collapsed="false">
      <c r="A19" s="82" t="s">
        <v>28</v>
      </c>
      <c r="B19" s="0" t="s">
        <v>229</v>
      </c>
      <c r="C19" s="0" t="s">
        <v>224</v>
      </c>
    </row>
    <row r="21" customFormat="false" ht="12.75" hidden="false" customHeight="false" outlineLevel="0" collapsed="false">
      <c r="A21" s="90" t="s">
        <v>234</v>
      </c>
      <c r="E21" s="0" t="s">
        <v>235</v>
      </c>
      <c r="F21" s="0" t="s">
        <v>236</v>
      </c>
    </row>
    <row r="44" customFormat="false" ht="12.75" hidden="false" customHeight="false" outlineLevel="0" collapsed="false">
      <c r="F44" s="0" t="s">
        <v>222</v>
      </c>
    </row>
    <row r="46" customFormat="false" ht="12.75" hidden="false" customHeight="false" outlineLevel="0" collapsed="false">
      <c r="F46" s="90" t="s">
        <v>13</v>
      </c>
      <c r="G46" s="90" t="n">
        <f aca="false">SUM(G47:G50)</f>
        <v>27</v>
      </c>
    </row>
    <row r="47" customFormat="false" ht="12.75" hidden="false" customHeight="false" outlineLevel="0" collapsed="false">
      <c r="F47" s="0" t="s">
        <v>52</v>
      </c>
      <c r="G47" s="0" t="n">
        <v>8</v>
      </c>
    </row>
    <row r="48" customFormat="false" ht="12.75" hidden="false" customHeight="false" outlineLevel="0" collapsed="false">
      <c r="F48" s="0" t="s">
        <v>54</v>
      </c>
      <c r="G48" s="0" t="n">
        <v>13</v>
      </c>
    </row>
    <row r="49" customFormat="false" ht="12.75" hidden="false" customHeight="false" outlineLevel="0" collapsed="false">
      <c r="F49" s="0" t="s">
        <v>56</v>
      </c>
      <c r="G49" s="0" t="n">
        <v>6</v>
      </c>
    </row>
    <row r="50" customFormat="false" ht="12.75" hidden="false" customHeight="false" outlineLevel="0" collapsed="false">
      <c r="F50" s="0" t="s">
        <v>58</v>
      </c>
      <c r="G50" s="0" t="n">
        <v>0</v>
      </c>
    </row>
    <row r="52" customFormat="false" ht="12.75" hidden="false" customHeight="false" outlineLevel="0" collapsed="false">
      <c r="F52" s="90" t="s">
        <v>15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52</v>
      </c>
      <c r="G53" s="0" t="n">
        <v>3</v>
      </c>
    </row>
    <row r="54" customFormat="false" ht="12.75" hidden="false" customHeight="false" outlineLevel="0" collapsed="false">
      <c r="F54" s="0" t="s">
        <v>54</v>
      </c>
      <c r="G54" s="0" t="n">
        <v>2</v>
      </c>
    </row>
    <row r="55" customFormat="false" ht="12.75" hidden="false" customHeight="false" outlineLevel="0" collapsed="false">
      <c r="F55" s="0" t="s">
        <v>56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AJ4" activePane="bottomRight" state="frozen"/>
      <selection pane="topLeft" activeCell="A1" activeCellId="0" sqref="A1"/>
      <selection pane="topRight" activeCell="AJ1" activeCellId="0" sqref="AJ1"/>
      <selection pane="bottomLeft" activeCell="A4" activeCellId="0" sqref="A4"/>
      <selection pane="bottomRight" activeCell="AR20" activeCellId="0" sqref="AR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93" t="s">
        <v>138</v>
      </c>
      <c r="B1" s="94" t="s">
        <v>139</v>
      </c>
      <c r="C1" s="94"/>
      <c r="D1" s="94"/>
      <c r="E1" s="94"/>
      <c r="F1" s="94"/>
      <c r="G1" s="94"/>
      <c r="H1" s="94"/>
      <c r="I1" s="94"/>
      <c r="J1" s="94" t="s">
        <v>140</v>
      </c>
      <c r="K1" s="94"/>
      <c r="L1" s="94"/>
      <c r="M1" s="94"/>
      <c r="N1" s="94"/>
      <c r="O1" s="94"/>
      <c r="P1" s="94"/>
      <c r="Q1" s="94"/>
      <c r="R1" s="95"/>
      <c r="S1" s="96"/>
      <c r="T1" s="94" t="s">
        <v>141</v>
      </c>
      <c r="U1" s="94"/>
      <c r="V1" s="94"/>
      <c r="W1" s="94"/>
      <c r="X1" s="94"/>
      <c r="Y1" s="94"/>
      <c r="Z1" s="94"/>
      <c r="AA1" s="94"/>
      <c r="AB1" s="94" t="s">
        <v>142</v>
      </c>
      <c r="AC1" s="94"/>
      <c r="AD1" s="94"/>
      <c r="AE1" s="94"/>
      <c r="AF1" s="94"/>
      <c r="AG1" s="94"/>
      <c r="AH1" s="94"/>
      <c r="AI1" s="94"/>
      <c r="AJ1" s="94" t="s">
        <v>143</v>
      </c>
      <c r="AK1" s="94"/>
      <c r="AL1" s="94"/>
      <c r="AM1" s="94"/>
      <c r="AN1" s="94"/>
      <c r="AO1" s="94"/>
      <c r="AP1" s="94"/>
      <c r="AQ1" s="94"/>
      <c r="AR1" s="94"/>
      <c r="AS1" s="94"/>
    </row>
    <row r="2" customFormat="false" ht="12.75" hidden="false" customHeight="false" outlineLevel="0" collapsed="false">
      <c r="A2" s="93"/>
      <c r="B2" s="97" t="s">
        <v>144</v>
      </c>
      <c r="C2" s="97"/>
      <c r="D2" s="98" t="s">
        <v>145</v>
      </c>
      <c r="E2" s="98"/>
      <c r="F2" s="98" t="s">
        <v>146</v>
      </c>
      <c r="G2" s="98"/>
      <c r="H2" s="99" t="s">
        <v>147</v>
      </c>
      <c r="I2" s="99"/>
      <c r="J2" s="100" t="s">
        <v>148</v>
      </c>
      <c r="K2" s="100"/>
      <c r="L2" s="98" t="s">
        <v>149</v>
      </c>
      <c r="M2" s="98"/>
      <c r="N2" s="98" t="s">
        <v>150</v>
      </c>
      <c r="O2" s="98"/>
      <c r="P2" s="98" t="s">
        <v>151</v>
      </c>
      <c r="Q2" s="98"/>
      <c r="R2" s="99" t="s">
        <v>152</v>
      </c>
      <c r="S2" s="99"/>
      <c r="T2" s="97" t="s">
        <v>153</v>
      </c>
      <c r="U2" s="97"/>
      <c r="V2" s="98" t="s">
        <v>154</v>
      </c>
      <c r="W2" s="98"/>
      <c r="X2" s="98" t="s">
        <v>155</v>
      </c>
      <c r="Y2" s="98"/>
      <c r="Z2" s="99" t="s">
        <v>152</v>
      </c>
      <c r="AA2" s="99"/>
      <c r="AB2" s="97" t="s">
        <v>144</v>
      </c>
      <c r="AC2" s="97"/>
      <c r="AD2" s="98" t="s">
        <v>145</v>
      </c>
      <c r="AE2" s="98"/>
      <c r="AF2" s="98" t="s">
        <v>146</v>
      </c>
      <c r="AG2" s="98"/>
      <c r="AH2" s="99" t="s">
        <v>147</v>
      </c>
      <c r="AI2" s="99"/>
      <c r="AJ2" s="97" t="s">
        <v>156</v>
      </c>
      <c r="AK2" s="97"/>
      <c r="AL2" s="98" t="s">
        <v>157</v>
      </c>
      <c r="AM2" s="98"/>
      <c r="AN2" s="98" t="s">
        <v>150</v>
      </c>
      <c r="AO2" s="98"/>
      <c r="AP2" s="99" t="s">
        <v>158</v>
      </c>
      <c r="AQ2" s="99"/>
      <c r="AR2" s="99" t="s">
        <v>159</v>
      </c>
      <c r="AS2" s="99"/>
    </row>
    <row r="3" customFormat="false" ht="13.5" hidden="false" customHeight="false" outlineLevel="0" collapsed="false">
      <c r="A3" s="93"/>
      <c r="B3" s="101" t="s">
        <v>88</v>
      </c>
      <c r="C3" s="102" t="s">
        <v>160</v>
      </c>
      <c r="D3" s="102" t="s">
        <v>88</v>
      </c>
      <c r="E3" s="102" t="s">
        <v>160</v>
      </c>
      <c r="F3" s="102" t="s">
        <v>88</v>
      </c>
      <c r="G3" s="102" t="s">
        <v>160</v>
      </c>
      <c r="H3" s="102" t="s">
        <v>88</v>
      </c>
      <c r="I3" s="103" t="s">
        <v>160</v>
      </c>
      <c r="J3" s="104" t="s">
        <v>88</v>
      </c>
      <c r="K3" s="102" t="s">
        <v>160</v>
      </c>
      <c r="L3" s="102" t="s">
        <v>88</v>
      </c>
      <c r="M3" s="102" t="s">
        <v>160</v>
      </c>
      <c r="N3" s="102" t="s">
        <v>88</v>
      </c>
      <c r="O3" s="102" t="s">
        <v>160</v>
      </c>
      <c r="P3" s="102" t="s">
        <v>88</v>
      </c>
      <c r="Q3" s="102" t="s">
        <v>160</v>
      </c>
      <c r="R3" s="102" t="s">
        <v>88</v>
      </c>
      <c r="S3" s="103" t="s">
        <v>160</v>
      </c>
      <c r="T3" s="101" t="s">
        <v>88</v>
      </c>
      <c r="U3" s="102" t="s">
        <v>160</v>
      </c>
      <c r="V3" s="102" t="s">
        <v>88</v>
      </c>
      <c r="W3" s="102" t="s">
        <v>160</v>
      </c>
      <c r="X3" s="102" t="s">
        <v>88</v>
      </c>
      <c r="Y3" s="102" t="s">
        <v>160</v>
      </c>
      <c r="Z3" s="102" t="s">
        <v>88</v>
      </c>
      <c r="AA3" s="103" t="s">
        <v>160</v>
      </c>
      <c r="AB3" s="101" t="s">
        <v>88</v>
      </c>
      <c r="AC3" s="102" t="s">
        <v>160</v>
      </c>
      <c r="AD3" s="102" t="s">
        <v>88</v>
      </c>
      <c r="AE3" s="102" t="s">
        <v>160</v>
      </c>
      <c r="AF3" s="102" t="s">
        <v>88</v>
      </c>
      <c r="AG3" s="102" t="s">
        <v>160</v>
      </c>
      <c r="AH3" s="102" t="s">
        <v>88</v>
      </c>
      <c r="AI3" s="103" t="s">
        <v>160</v>
      </c>
      <c r="AJ3" s="101" t="s">
        <v>88</v>
      </c>
      <c r="AK3" s="102" t="s">
        <v>160</v>
      </c>
      <c r="AL3" s="102" t="s">
        <v>88</v>
      </c>
      <c r="AM3" s="102" t="s">
        <v>160</v>
      </c>
      <c r="AN3" s="102" t="s">
        <v>88</v>
      </c>
      <c r="AO3" s="102" t="s">
        <v>160</v>
      </c>
      <c r="AP3" s="102" t="s">
        <v>88</v>
      </c>
      <c r="AQ3" s="103" t="s">
        <v>160</v>
      </c>
      <c r="AR3" s="102" t="s">
        <v>88</v>
      </c>
      <c r="AS3" s="103" t="s">
        <v>160</v>
      </c>
    </row>
    <row r="4" customFormat="false" ht="13.5" hidden="false" customHeight="false" outlineLevel="0" collapsed="false">
      <c r="A4" s="105" t="s">
        <v>161</v>
      </c>
      <c r="B4" s="106"/>
      <c r="C4" s="106"/>
      <c r="D4" s="106"/>
      <c r="E4" s="106"/>
      <c r="F4" s="106"/>
      <c r="G4" s="106"/>
      <c r="H4" s="106"/>
      <c r="I4" s="107"/>
      <c r="J4" s="106"/>
      <c r="K4" s="106"/>
      <c r="L4" s="106"/>
      <c r="M4" s="106"/>
      <c r="N4" s="106"/>
      <c r="O4" s="106"/>
      <c r="P4" s="106"/>
      <c r="Q4" s="106"/>
      <c r="R4" s="106"/>
      <c r="S4" s="107"/>
      <c r="T4" s="108"/>
      <c r="U4" s="106"/>
      <c r="V4" s="106"/>
      <c r="W4" s="106"/>
      <c r="X4" s="106"/>
      <c r="Y4" s="106"/>
      <c r="Z4" s="106"/>
      <c r="AA4" s="107"/>
      <c r="AB4" s="108"/>
      <c r="AC4" s="106"/>
      <c r="AD4" s="106"/>
      <c r="AE4" s="106"/>
      <c r="AF4" s="106"/>
      <c r="AG4" s="106"/>
      <c r="AH4" s="106"/>
      <c r="AI4" s="107"/>
      <c r="AJ4" s="108"/>
      <c r="AK4" s="106"/>
      <c r="AL4" s="106"/>
      <c r="AM4" s="106"/>
      <c r="AN4" s="106"/>
      <c r="AO4" s="106"/>
      <c r="AP4" s="106"/>
      <c r="AQ4" s="106"/>
      <c r="AR4" s="106"/>
      <c r="AS4" s="107"/>
    </row>
    <row r="5" customFormat="false" ht="13.5" hidden="false" customHeight="false" outlineLevel="0" collapsed="false">
      <c r="A5" s="109" t="s">
        <v>39</v>
      </c>
      <c r="B5" s="110"/>
      <c r="C5" s="110"/>
      <c r="D5" s="110"/>
      <c r="E5" s="110"/>
      <c r="F5" s="110"/>
      <c r="G5" s="110"/>
      <c r="H5" s="110"/>
      <c r="I5" s="111"/>
      <c r="J5" s="110"/>
      <c r="K5" s="110"/>
      <c r="L5" s="110"/>
      <c r="M5" s="110"/>
      <c r="N5" s="110"/>
      <c r="O5" s="110"/>
      <c r="P5" s="110"/>
      <c r="Q5" s="110"/>
      <c r="R5" s="110"/>
      <c r="S5" s="111"/>
      <c r="T5" s="112"/>
      <c r="U5" s="110"/>
      <c r="V5" s="110"/>
      <c r="W5" s="110"/>
      <c r="X5" s="110"/>
      <c r="Y5" s="110"/>
      <c r="Z5" s="110"/>
      <c r="AA5" s="111"/>
      <c r="AB5" s="112"/>
      <c r="AC5" s="110"/>
      <c r="AD5" s="110"/>
      <c r="AE5" s="110"/>
      <c r="AF5" s="110"/>
      <c r="AG5" s="110"/>
      <c r="AH5" s="110"/>
      <c r="AI5" s="111"/>
      <c r="AJ5" s="112"/>
      <c r="AK5" s="110"/>
      <c r="AL5" s="110"/>
      <c r="AM5" s="110"/>
      <c r="AN5" s="110"/>
      <c r="AO5" s="110"/>
      <c r="AP5" s="110"/>
      <c r="AQ5" s="110"/>
      <c r="AR5" s="110"/>
      <c r="AS5" s="111"/>
    </row>
    <row r="6" customFormat="false" ht="12.75" hidden="false" customHeight="false" outlineLevel="0" collapsed="false">
      <c r="A6" s="113" t="s">
        <v>37</v>
      </c>
      <c r="B6" s="114" t="n">
        <v>0</v>
      </c>
      <c r="C6" s="114" t="n">
        <v>23</v>
      </c>
      <c r="D6" s="114" t="n">
        <v>0</v>
      </c>
      <c r="E6" s="114" t="n">
        <v>7</v>
      </c>
      <c r="F6" s="114" t="n">
        <v>0</v>
      </c>
      <c r="G6" s="114" t="n">
        <v>10</v>
      </c>
      <c r="H6" s="114" t="n">
        <v>0</v>
      </c>
      <c r="I6" s="115" t="n">
        <v>19</v>
      </c>
      <c r="J6" s="116" t="n">
        <v>0</v>
      </c>
      <c r="K6" s="114" t="n">
        <v>19</v>
      </c>
      <c r="L6" s="114" t="n">
        <v>0</v>
      </c>
      <c r="M6" s="114" t="n">
        <v>24</v>
      </c>
      <c r="N6" s="114" t="n">
        <v>0</v>
      </c>
      <c r="O6" s="114" t="n">
        <v>8</v>
      </c>
      <c r="P6" s="114" t="n">
        <v>0</v>
      </c>
      <c r="Q6" s="114" t="n">
        <v>9</v>
      </c>
      <c r="R6" s="116" t="n">
        <v>0</v>
      </c>
      <c r="S6" s="115" t="n">
        <v>14</v>
      </c>
      <c r="T6" s="117" t="n">
        <v>0</v>
      </c>
      <c r="U6" s="114" t="n">
        <v>22</v>
      </c>
      <c r="V6" s="114" t="n">
        <v>0</v>
      </c>
      <c r="W6" s="114" t="n">
        <v>28</v>
      </c>
      <c r="X6" s="114" t="n">
        <v>0</v>
      </c>
      <c r="Y6" s="114" t="n">
        <v>27</v>
      </c>
      <c r="Z6" s="114" t="n">
        <v>0</v>
      </c>
      <c r="AA6" s="115" t="n">
        <v>13</v>
      </c>
      <c r="AB6" s="117" t="n">
        <v>0</v>
      </c>
      <c r="AC6" s="114" t="n">
        <v>23</v>
      </c>
      <c r="AD6" s="114" t="n">
        <v>0</v>
      </c>
      <c r="AE6" s="114" t="n">
        <v>8</v>
      </c>
      <c r="AF6" s="114" t="n">
        <v>0</v>
      </c>
      <c r="AG6" s="114" t="n">
        <v>6</v>
      </c>
      <c r="AH6" s="114" t="n">
        <v>0</v>
      </c>
      <c r="AI6" s="115" t="n">
        <v>49</v>
      </c>
      <c r="AJ6" s="117" t="n">
        <v>0</v>
      </c>
      <c r="AK6" s="114" t="n">
        <v>8</v>
      </c>
      <c r="AL6" s="114" t="n">
        <v>2</v>
      </c>
      <c r="AM6" s="114" t="n">
        <v>4</v>
      </c>
      <c r="AN6" s="114" t="n">
        <v>0</v>
      </c>
      <c r="AO6" s="114" t="n">
        <v>18</v>
      </c>
      <c r="AP6" s="114" t="n">
        <v>0</v>
      </c>
      <c r="AQ6" s="114" t="n">
        <v>1</v>
      </c>
      <c r="AR6" s="114" t="n">
        <v>0</v>
      </c>
      <c r="AS6" s="115" t="n">
        <v>10</v>
      </c>
      <c r="AU6" s="0" t="s">
        <v>162</v>
      </c>
    </row>
    <row r="7" customFormat="false" ht="12.75" hidden="false" customHeight="false" outlineLevel="0" collapsed="false">
      <c r="A7" s="118" t="s">
        <v>32</v>
      </c>
      <c r="B7" s="119" t="n">
        <v>0</v>
      </c>
      <c r="C7" s="119" t="n">
        <v>2</v>
      </c>
      <c r="D7" s="119" t="n">
        <v>2</v>
      </c>
      <c r="E7" s="119" t="n">
        <v>0</v>
      </c>
      <c r="F7" s="119" t="n">
        <v>0</v>
      </c>
      <c r="G7" s="119" t="n">
        <v>2</v>
      </c>
      <c r="H7" s="119" t="n">
        <v>0</v>
      </c>
      <c r="I7" s="120" t="n">
        <v>2</v>
      </c>
      <c r="J7" s="121" t="n">
        <v>0</v>
      </c>
      <c r="K7" s="119" t="n">
        <v>0</v>
      </c>
      <c r="L7" s="119" t="n">
        <v>0</v>
      </c>
      <c r="M7" s="119" t="n">
        <v>10</v>
      </c>
      <c r="N7" s="119" t="n">
        <v>0</v>
      </c>
      <c r="O7" s="119" t="n">
        <v>12</v>
      </c>
      <c r="P7" s="119" t="n">
        <v>0</v>
      </c>
      <c r="Q7" s="119" t="n">
        <v>0</v>
      </c>
      <c r="R7" s="121" t="n">
        <v>0</v>
      </c>
      <c r="S7" s="120" t="n">
        <v>0</v>
      </c>
      <c r="T7" s="122" t="n">
        <v>0</v>
      </c>
      <c r="U7" s="119" t="n">
        <v>0</v>
      </c>
      <c r="V7" s="119" t="n">
        <v>0</v>
      </c>
      <c r="W7" s="119" t="n">
        <v>1</v>
      </c>
      <c r="X7" s="119" t="n">
        <v>0</v>
      </c>
      <c r="Y7" s="119" t="n">
        <v>0</v>
      </c>
      <c r="Z7" s="119" t="n">
        <v>5</v>
      </c>
      <c r="AA7" s="120" t="n">
        <v>0</v>
      </c>
      <c r="AB7" s="122" t="n">
        <v>0</v>
      </c>
      <c r="AC7" s="119" t="n">
        <v>1</v>
      </c>
      <c r="AD7" s="119" t="n">
        <v>0</v>
      </c>
      <c r="AE7" s="119" t="n">
        <v>0</v>
      </c>
      <c r="AF7" s="119" t="n">
        <v>0</v>
      </c>
      <c r="AG7" s="119" t="n">
        <v>1</v>
      </c>
      <c r="AH7" s="119" t="n">
        <v>0</v>
      </c>
      <c r="AI7" s="120" t="n">
        <v>0</v>
      </c>
      <c r="AJ7" s="122" t="n">
        <v>1</v>
      </c>
      <c r="AK7" s="119" t="n">
        <v>0</v>
      </c>
      <c r="AL7" s="119" t="n">
        <v>0</v>
      </c>
      <c r="AM7" s="119" t="n">
        <v>0</v>
      </c>
      <c r="AN7" s="119" t="n">
        <v>0</v>
      </c>
      <c r="AO7" s="119" t="n">
        <v>0</v>
      </c>
      <c r="AP7" s="119" t="n">
        <v>0</v>
      </c>
      <c r="AQ7" s="119" t="n">
        <v>0</v>
      </c>
      <c r="AR7" s="119" t="n">
        <v>0</v>
      </c>
      <c r="AS7" s="120" t="n">
        <v>0</v>
      </c>
    </row>
    <row r="8" customFormat="false" ht="12.75" hidden="false" customHeight="false" outlineLevel="0" collapsed="false">
      <c r="A8" s="118" t="s">
        <v>163</v>
      </c>
      <c r="B8" s="119" t="n">
        <v>0</v>
      </c>
      <c r="C8" s="119" t="n">
        <v>1</v>
      </c>
      <c r="D8" s="119" t="n">
        <v>0</v>
      </c>
      <c r="E8" s="119" t="n">
        <v>4</v>
      </c>
      <c r="F8" s="119" t="n">
        <v>0</v>
      </c>
      <c r="G8" s="119" t="n">
        <v>12</v>
      </c>
      <c r="H8" s="119" t="n">
        <v>0</v>
      </c>
      <c r="I8" s="120" t="n">
        <v>10</v>
      </c>
      <c r="J8" s="121" t="n">
        <v>0</v>
      </c>
      <c r="K8" s="119" t="n">
        <v>4</v>
      </c>
      <c r="L8" s="119" t="n">
        <v>0</v>
      </c>
      <c r="M8" s="119" t="n">
        <v>0</v>
      </c>
      <c r="N8" s="119" t="n">
        <v>0</v>
      </c>
      <c r="O8" s="119" t="n">
        <v>0</v>
      </c>
      <c r="P8" s="119" t="n">
        <v>0</v>
      </c>
      <c r="Q8" s="119" t="n">
        <v>2</v>
      </c>
      <c r="R8" s="121" t="n">
        <v>0</v>
      </c>
      <c r="S8" s="120" t="n">
        <v>11</v>
      </c>
      <c r="T8" s="122" t="n">
        <v>0</v>
      </c>
      <c r="U8" s="119" t="n">
        <v>17</v>
      </c>
      <c r="V8" s="119" t="n">
        <v>0</v>
      </c>
      <c r="W8" s="119" t="n">
        <v>7</v>
      </c>
      <c r="X8" s="119" t="n">
        <v>0</v>
      </c>
      <c r="Y8" s="119" t="n">
        <v>3</v>
      </c>
      <c r="Z8" s="119" t="n">
        <v>2</v>
      </c>
      <c r="AA8" s="120" t="n">
        <v>1</v>
      </c>
      <c r="AB8" s="122" t="n">
        <v>0</v>
      </c>
      <c r="AC8" s="119" t="n">
        <v>3</v>
      </c>
      <c r="AD8" s="119" t="n">
        <v>0</v>
      </c>
      <c r="AE8" s="119" t="n">
        <v>0</v>
      </c>
      <c r="AF8" s="119" t="n">
        <v>0</v>
      </c>
      <c r="AG8" s="119" t="n">
        <v>1</v>
      </c>
      <c r="AH8" s="119" t="n">
        <v>0</v>
      </c>
      <c r="AI8" s="120" t="n">
        <v>10</v>
      </c>
      <c r="AJ8" s="122" t="n">
        <v>0</v>
      </c>
      <c r="AK8" s="119" t="n">
        <v>8</v>
      </c>
      <c r="AL8" s="119" t="n">
        <v>0</v>
      </c>
      <c r="AM8" s="119" t="n">
        <v>0</v>
      </c>
      <c r="AN8" s="119" t="n">
        <v>0</v>
      </c>
      <c r="AO8" s="119" t="n">
        <v>6</v>
      </c>
      <c r="AP8" s="119" t="n">
        <v>0</v>
      </c>
      <c r="AQ8" s="119" t="n">
        <v>5</v>
      </c>
      <c r="AR8" s="119" t="n">
        <v>0</v>
      </c>
      <c r="AS8" s="120" t="n">
        <v>7</v>
      </c>
    </row>
    <row r="9" customFormat="false" ht="13.5" hidden="false" customHeight="false" outlineLevel="0" collapsed="false">
      <c r="A9" s="123" t="s">
        <v>40</v>
      </c>
      <c r="B9" s="124" t="n">
        <v>0</v>
      </c>
      <c r="C9" s="124" t="n">
        <v>0</v>
      </c>
      <c r="D9" s="124" t="n">
        <v>0</v>
      </c>
      <c r="E9" s="124" t="n">
        <v>0</v>
      </c>
      <c r="F9" s="124" t="n">
        <v>0</v>
      </c>
      <c r="G9" s="124" t="n">
        <v>0</v>
      </c>
      <c r="H9" s="124" t="n">
        <v>0</v>
      </c>
      <c r="I9" s="125" t="n">
        <v>0</v>
      </c>
      <c r="J9" s="126" t="n">
        <v>0</v>
      </c>
      <c r="K9" s="124" t="n">
        <v>1</v>
      </c>
      <c r="L9" s="124" t="n">
        <v>0</v>
      </c>
      <c r="M9" s="124" t="n">
        <v>0</v>
      </c>
      <c r="N9" s="124" t="n">
        <v>0</v>
      </c>
      <c r="O9" s="124" t="n">
        <v>0</v>
      </c>
      <c r="P9" s="124" t="n">
        <v>0</v>
      </c>
      <c r="Q9" s="124" t="n">
        <v>0</v>
      </c>
      <c r="R9" s="126" t="n">
        <v>0</v>
      </c>
      <c r="S9" s="125" t="n">
        <v>0</v>
      </c>
      <c r="T9" s="127" t="n">
        <v>0</v>
      </c>
      <c r="U9" s="124" t="n">
        <v>0</v>
      </c>
      <c r="V9" s="124" t="n">
        <v>0</v>
      </c>
      <c r="W9" s="124" t="n">
        <v>0</v>
      </c>
      <c r="X9" s="124" t="n">
        <v>0</v>
      </c>
      <c r="Y9" s="124" t="n">
        <v>0</v>
      </c>
      <c r="Z9" s="124" t="n">
        <v>0</v>
      </c>
      <c r="AA9" s="125" t="n">
        <v>0</v>
      </c>
      <c r="AB9" s="127" t="n">
        <v>0</v>
      </c>
      <c r="AC9" s="124" t="n">
        <v>0</v>
      </c>
      <c r="AD9" s="124" t="n">
        <v>0</v>
      </c>
      <c r="AE9" s="124" t="n">
        <v>0</v>
      </c>
      <c r="AF9" s="124" t="n">
        <v>0</v>
      </c>
      <c r="AG9" s="124" t="n">
        <v>0</v>
      </c>
      <c r="AH9" s="124" t="n">
        <v>3</v>
      </c>
      <c r="AI9" s="125" t="n">
        <v>0</v>
      </c>
      <c r="AJ9" s="127" t="n">
        <v>0</v>
      </c>
      <c r="AK9" s="124" t="n">
        <v>0</v>
      </c>
      <c r="AL9" s="124" t="n">
        <v>0</v>
      </c>
      <c r="AM9" s="124" t="n">
        <v>0</v>
      </c>
      <c r="AN9" s="124" t="n">
        <v>0</v>
      </c>
      <c r="AO9" s="124" t="n">
        <v>0</v>
      </c>
      <c r="AP9" s="124" t="n">
        <v>0</v>
      </c>
      <c r="AQ9" s="124" t="n">
        <v>0</v>
      </c>
      <c r="AR9" s="124" t="n">
        <v>0</v>
      </c>
      <c r="AS9" s="125" t="n">
        <v>0</v>
      </c>
    </row>
    <row r="10" customFormat="false" ht="13.5" hidden="false" customHeight="false" outlineLevel="0" collapsed="false">
      <c r="A10" s="105" t="s">
        <v>164</v>
      </c>
      <c r="B10" s="128"/>
      <c r="C10" s="128"/>
      <c r="D10" s="128"/>
      <c r="E10" s="128"/>
      <c r="F10" s="128"/>
      <c r="G10" s="128"/>
      <c r="H10" s="128"/>
      <c r="I10" s="129"/>
      <c r="J10" s="128"/>
      <c r="K10" s="128"/>
      <c r="L10" s="128"/>
      <c r="M10" s="128"/>
      <c r="N10" s="128"/>
      <c r="O10" s="128"/>
      <c r="P10" s="128"/>
      <c r="Q10" s="128"/>
      <c r="R10" s="128"/>
      <c r="S10" s="129"/>
      <c r="T10" s="130"/>
      <c r="U10" s="128"/>
      <c r="V10" s="128"/>
      <c r="W10" s="128"/>
      <c r="X10" s="128"/>
      <c r="Y10" s="128"/>
      <c r="Z10" s="128"/>
      <c r="AA10" s="129"/>
      <c r="AB10" s="130"/>
      <c r="AC10" s="128"/>
      <c r="AD10" s="128"/>
      <c r="AE10" s="128"/>
      <c r="AF10" s="128"/>
      <c r="AG10" s="128"/>
      <c r="AH10" s="128"/>
      <c r="AI10" s="129"/>
      <c r="AJ10" s="130"/>
      <c r="AK10" s="128"/>
      <c r="AL10" s="128"/>
      <c r="AM10" s="128"/>
      <c r="AN10" s="128"/>
      <c r="AO10" s="128"/>
      <c r="AP10" s="128"/>
      <c r="AQ10" s="128"/>
      <c r="AR10" s="128"/>
      <c r="AS10" s="129"/>
    </row>
    <row r="11" customFormat="false" ht="13.5" hidden="false" customHeight="false" outlineLevel="0" collapsed="false">
      <c r="A11" s="105"/>
      <c r="B11" s="128"/>
      <c r="C11" s="128"/>
      <c r="D11" s="128"/>
      <c r="E11" s="128"/>
      <c r="F11" s="128"/>
      <c r="G11" s="128"/>
      <c r="H11" s="128"/>
      <c r="I11" s="129"/>
      <c r="J11" s="128"/>
      <c r="K11" s="128"/>
      <c r="L11" s="128"/>
      <c r="M11" s="128"/>
      <c r="N11" s="128"/>
      <c r="O11" s="128"/>
      <c r="P11" s="128"/>
      <c r="Q11" s="128"/>
      <c r="R11" s="128"/>
      <c r="S11" s="129"/>
      <c r="T11" s="130"/>
      <c r="U11" s="128"/>
      <c r="V11" s="128"/>
      <c r="W11" s="128"/>
      <c r="X11" s="128"/>
      <c r="Y11" s="128"/>
      <c r="Z11" s="128"/>
      <c r="AA11" s="129"/>
      <c r="AB11" s="130"/>
      <c r="AC11" s="128"/>
      <c r="AD11" s="128"/>
      <c r="AE11" s="128"/>
      <c r="AF11" s="128"/>
      <c r="AG11" s="128"/>
      <c r="AH11" s="131"/>
      <c r="AI11" s="132"/>
      <c r="AJ11" s="133"/>
      <c r="AK11" s="131"/>
      <c r="AL11" s="131"/>
      <c r="AM11" s="131"/>
      <c r="AN11" s="131"/>
      <c r="AO11" s="131"/>
      <c r="AP11" s="131"/>
      <c r="AQ11" s="131"/>
      <c r="AR11" s="128"/>
      <c r="AS11" s="129"/>
    </row>
    <row r="12" customFormat="false" ht="13.5" hidden="false" customHeight="false" outlineLevel="0" collapsed="false">
      <c r="A12" s="134" t="s">
        <v>39</v>
      </c>
      <c r="B12" s="131"/>
      <c r="C12" s="131"/>
      <c r="D12" s="131"/>
      <c r="E12" s="131"/>
      <c r="F12" s="131"/>
      <c r="G12" s="131"/>
      <c r="H12" s="131"/>
      <c r="I12" s="132"/>
      <c r="J12" s="131"/>
      <c r="K12" s="131"/>
      <c r="L12" s="131"/>
      <c r="M12" s="131"/>
      <c r="N12" s="131"/>
      <c r="O12" s="131"/>
      <c r="P12" s="131"/>
      <c r="Q12" s="131"/>
      <c r="R12" s="131"/>
      <c r="S12" s="132"/>
      <c r="T12" s="133"/>
      <c r="U12" s="131"/>
      <c r="V12" s="131"/>
      <c r="W12" s="131"/>
      <c r="X12" s="131"/>
      <c r="Y12" s="131"/>
      <c r="Z12" s="131"/>
      <c r="AA12" s="132"/>
      <c r="AB12" s="133"/>
      <c r="AC12" s="131"/>
      <c r="AD12" s="131"/>
      <c r="AE12" s="131"/>
      <c r="AF12" s="131"/>
      <c r="AG12" s="131"/>
      <c r="AH12" s="131"/>
      <c r="AI12" s="132"/>
      <c r="AJ12" s="133"/>
      <c r="AK12" s="131"/>
      <c r="AL12" s="131"/>
      <c r="AM12" s="131"/>
      <c r="AN12" s="131"/>
      <c r="AO12" s="131"/>
      <c r="AP12" s="131"/>
      <c r="AQ12" s="131"/>
      <c r="AR12" s="131"/>
      <c r="AS12" s="132"/>
    </row>
    <row r="13" customFormat="false" ht="12.75" hidden="false" customHeight="false" outlineLevel="0" collapsed="false">
      <c r="A13" s="135" t="s">
        <v>37</v>
      </c>
      <c r="B13" s="136" t="n">
        <v>1</v>
      </c>
      <c r="C13" s="136" t="n">
        <v>62</v>
      </c>
      <c r="D13" s="136" t="n">
        <v>12</v>
      </c>
      <c r="E13" s="136" t="n">
        <v>107</v>
      </c>
      <c r="F13" s="136" t="n">
        <v>10</v>
      </c>
      <c r="G13" s="136" t="n">
        <v>83</v>
      </c>
      <c r="H13" s="136" t="n">
        <v>2</v>
      </c>
      <c r="I13" s="137" t="n">
        <v>103</v>
      </c>
      <c r="J13" s="138" t="n">
        <v>5</v>
      </c>
      <c r="K13" s="136" t="n">
        <v>62</v>
      </c>
      <c r="L13" s="136" t="n">
        <v>7</v>
      </c>
      <c r="M13" s="136" t="n">
        <v>38</v>
      </c>
      <c r="N13" s="136" t="n">
        <v>4</v>
      </c>
      <c r="O13" s="136" t="n">
        <v>26</v>
      </c>
      <c r="P13" s="136" t="n">
        <v>2</v>
      </c>
      <c r="Q13" s="136" t="n">
        <v>30</v>
      </c>
      <c r="R13" s="138" t="n">
        <v>5</v>
      </c>
      <c r="S13" s="137" t="n">
        <v>50</v>
      </c>
      <c r="T13" s="139" t="n">
        <v>7</v>
      </c>
      <c r="U13" s="136" t="n">
        <v>55</v>
      </c>
      <c r="V13" s="136" t="n">
        <v>7</v>
      </c>
      <c r="W13" s="136" t="n">
        <v>45</v>
      </c>
      <c r="X13" s="136" t="n">
        <v>5</v>
      </c>
      <c r="Y13" s="136" t="n">
        <v>62</v>
      </c>
      <c r="Z13" s="136" t="n">
        <v>9</v>
      </c>
      <c r="AA13" s="137" t="n">
        <v>101</v>
      </c>
      <c r="AB13" s="139" t="n">
        <v>3</v>
      </c>
      <c r="AC13" s="136" t="n">
        <v>119</v>
      </c>
      <c r="AD13" s="136" t="n">
        <v>3</v>
      </c>
      <c r="AE13" s="136" t="n">
        <v>101</v>
      </c>
      <c r="AF13" s="136" t="n">
        <v>1</v>
      </c>
      <c r="AG13" s="136" t="n">
        <v>107</v>
      </c>
      <c r="AH13" s="136" t="n">
        <v>4</v>
      </c>
      <c r="AI13" s="137" t="n">
        <v>119</v>
      </c>
      <c r="AJ13" s="139" t="n">
        <v>4</v>
      </c>
      <c r="AK13" s="136" t="n">
        <v>119</v>
      </c>
      <c r="AL13" s="136" t="n">
        <v>6</v>
      </c>
      <c r="AM13" s="136" t="n">
        <v>90</v>
      </c>
      <c r="AN13" s="136" t="n">
        <v>6</v>
      </c>
      <c r="AO13" s="136" t="n">
        <v>97</v>
      </c>
      <c r="AP13" s="136" t="n">
        <v>5</v>
      </c>
      <c r="AQ13" s="136" t="n">
        <v>61</v>
      </c>
      <c r="AR13" s="136" t="n">
        <v>1</v>
      </c>
      <c r="AS13" s="137" t="n">
        <v>79</v>
      </c>
    </row>
    <row r="14" customFormat="false" ht="12.75" hidden="false" customHeight="false" outlineLevel="0" collapsed="false">
      <c r="A14" s="118" t="s">
        <v>32</v>
      </c>
      <c r="B14" s="119" t="n">
        <v>0</v>
      </c>
      <c r="C14" s="119" t="n">
        <v>3</v>
      </c>
      <c r="D14" s="119" t="n">
        <v>0</v>
      </c>
      <c r="E14" s="119" t="n">
        <v>15</v>
      </c>
      <c r="F14" s="119" t="n">
        <v>1</v>
      </c>
      <c r="G14" s="119" t="n">
        <v>6</v>
      </c>
      <c r="H14" s="119" t="n">
        <v>0</v>
      </c>
      <c r="I14" s="120" t="n">
        <v>22</v>
      </c>
      <c r="J14" s="121" t="n">
        <v>0</v>
      </c>
      <c r="K14" s="119" t="n">
        <v>4</v>
      </c>
      <c r="L14" s="119" t="n">
        <v>0</v>
      </c>
      <c r="M14" s="119" t="n">
        <v>2</v>
      </c>
      <c r="N14" s="119" t="n">
        <v>0</v>
      </c>
      <c r="O14" s="119" t="n">
        <v>18</v>
      </c>
      <c r="P14" s="119" t="n">
        <v>0</v>
      </c>
      <c r="Q14" s="119" t="n">
        <v>17</v>
      </c>
      <c r="R14" s="121" t="n">
        <v>0</v>
      </c>
      <c r="S14" s="120" t="n">
        <v>18</v>
      </c>
      <c r="T14" s="122" t="n">
        <v>0</v>
      </c>
      <c r="U14" s="119" t="n">
        <v>20</v>
      </c>
      <c r="V14" s="119" t="n">
        <v>2</v>
      </c>
      <c r="W14" s="119" t="n">
        <v>43</v>
      </c>
      <c r="X14" s="119" t="n">
        <v>1</v>
      </c>
      <c r="Y14" s="119" t="n">
        <v>24</v>
      </c>
      <c r="Z14" s="119" t="n">
        <v>5</v>
      </c>
      <c r="AA14" s="120" t="n">
        <v>9</v>
      </c>
      <c r="AB14" s="122" t="n">
        <v>1</v>
      </c>
      <c r="AC14" s="119" t="n">
        <v>23</v>
      </c>
      <c r="AD14" s="119" t="n">
        <v>5</v>
      </c>
      <c r="AE14" s="119" t="n">
        <v>37</v>
      </c>
      <c r="AF14" s="119" t="n">
        <v>3</v>
      </c>
      <c r="AG14" s="119" t="n">
        <v>44</v>
      </c>
      <c r="AH14" s="119" t="n">
        <v>1</v>
      </c>
      <c r="AI14" s="120" t="n">
        <v>23</v>
      </c>
      <c r="AJ14" s="122" t="n">
        <v>0</v>
      </c>
      <c r="AK14" s="119" t="n">
        <v>17</v>
      </c>
      <c r="AL14" s="119" t="n">
        <v>3</v>
      </c>
      <c r="AM14" s="119" t="n">
        <v>22</v>
      </c>
      <c r="AN14" s="119" t="n">
        <v>1</v>
      </c>
      <c r="AO14" s="119" t="n">
        <v>52</v>
      </c>
      <c r="AP14" s="119" t="n">
        <v>0</v>
      </c>
      <c r="AQ14" s="119" t="n">
        <v>77</v>
      </c>
      <c r="AR14" s="119" t="n">
        <v>1</v>
      </c>
      <c r="AS14" s="120" t="n">
        <v>18</v>
      </c>
    </row>
    <row r="15" customFormat="false" ht="12.75" hidden="false" customHeight="false" outlineLevel="0" collapsed="false">
      <c r="A15" s="118" t="s">
        <v>163</v>
      </c>
      <c r="B15" s="119" t="n">
        <v>4</v>
      </c>
      <c r="C15" s="119" t="n">
        <v>1</v>
      </c>
      <c r="D15" s="119" t="n">
        <v>3</v>
      </c>
      <c r="E15" s="119" t="n">
        <v>10</v>
      </c>
      <c r="F15" s="119" t="n">
        <v>0</v>
      </c>
      <c r="G15" s="119" t="n">
        <v>12</v>
      </c>
      <c r="H15" s="119" t="n">
        <v>0</v>
      </c>
      <c r="I15" s="120" t="n">
        <v>9</v>
      </c>
      <c r="J15" s="121" t="n">
        <v>2</v>
      </c>
      <c r="K15" s="119" t="n">
        <v>23</v>
      </c>
      <c r="L15" s="119" t="n">
        <v>4</v>
      </c>
      <c r="M15" s="119" t="n">
        <v>13</v>
      </c>
      <c r="N15" s="119" t="n">
        <v>3</v>
      </c>
      <c r="O15" s="119" t="n">
        <v>12</v>
      </c>
      <c r="P15" s="119" t="n">
        <v>3</v>
      </c>
      <c r="Q15" s="119" t="n">
        <v>18</v>
      </c>
      <c r="R15" s="121" t="n">
        <v>5</v>
      </c>
      <c r="S15" s="120" t="n">
        <v>41</v>
      </c>
      <c r="T15" s="122" t="n">
        <v>4</v>
      </c>
      <c r="U15" s="119" t="n">
        <v>11</v>
      </c>
      <c r="V15" s="119" t="n">
        <v>9</v>
      </c>
      <c r="W15" s="119" t="n">
        <v>10</v>
      </c>
      <c r="X15" s="119" t="n">
        <v>2</v>
      </c>
      <c r="Y15" s="119" t="n">
        <v>35</v>
      </c>
      <c r="Z15" s="119" t="n">
        <v>0</v>
      </c>
      <c r="AA15" s="120" t="n">
        <v>29</v>
      </c>
      <c r="AB15" s="122" t="n">
        <v>3</v>
      </c>
      <c r="AC15" s="119" t="n">
        <v>24</v>
      </c>
      <c r="AD15" s="119" t="n">
        <v>2</v>
      </c>
      <c r="AE15" s="119" t="n">
        <v>28</v>
      </c>
      <c r="AF15" s="119" t="n">
        <v>2</v>
      </c>
      <c r="AG15" s="119" t="n">
        <v>22</v>
      </c>
      <c r="AH15" s="119" t="n">
        <v>2</v>
      </c>
      <c r="AI15" s="120" t="n">
        <v>5</v>
      </c>
      <c r="AJ15" s="122" t="n">
        <v>0</v>
      </c>
      <c r="AK15" s="119" t="n">
        <v>19</v>
      </c>
      <c r="AL15" s="119" t="n">
        <v>3</v>
      </c>
      <c r="AM15" s="119" t="n">
        <v>22</v>
      </c>
      <c r="AN15" s="119" t="n">
        <v>4</v>
      </c>
      <c r="AO15" s="119" t="n">
        <v>13</v>
      </c>
      <c r="AP15" s="119" t="n">
        <v>2</v>
      </c>
      <c r="AQ15" s="119" t="n">
        <v>19</v>
      </c>
      <c r="AR15" s="119" t="n">
        <v>1</v>
      </c>
      <c r="AS15" s="120" t="n">
        <v>14</v>
      </c>
    </row>
    <row r="16" customFormat="false" ht="13.5" hidden="false" customHeight="false" outlineLevel="0" collapsed="false">
      <c r="A16" s="123" t="s">
        <v>40</v>
      </c>
      <c r="B16" s="124" t="n">
        <v>0</v>
      </c>
      <c r="C16" s="124" t="n">
        <v>0</v>
      </c>
      <c r="D16" s="124" t="n">
        <v>0</v>
      </c>
      <c r="E16" s="124" t="n">
        <v>0</v>
      </c>
      <c r="F16" s="124" t="n">
        <v>0</v>
      </c>
      <c r="G16" s="124" t="n">
        <v>0</v>
      </c>
      <c r="H16" s="124" t="n">
        <v>0</v>
      </c>
      <c r="I16" s="125" t="n">
        <v>0</v>
      </c>
      <c r="J16" s="126" t="n">
        <v>0</v>
      </c>
      <c r="K16" s="124" t="n">
        <v>0</v>
      </c>
      <c r="L16" s="124" t="n">
        <v>0</v>
      </c>
      <c r="M16" s="124" t="n">
        <v>1</v>
      </c>
      <c r="N16" s="124" t="n">
        <v>0</v>
      </c>
      <c r="O16" s="124" t="n">
        <v>2</v>
      </c>
      <c r="P16" s="124" t="n">
        <v>0</v>
      </c>
      <c r="Q16" s="124" t="n">
        <v>0</v>
      </c>
      <c r="R16" s="126" t="n">
        <v>0</v>
      </c>
      <c r="S16" s="125" t="n">
        <v>1</v>
      </c>
      <c r="T16" s="127" t="n">
        <v>0</v>
      </c>
      <c r="U16" s="124" t="n">
        <v>0</v>
      </c>
      <c r="V16" s="124" t="n">
        <v>0</v>
      </c>
      <c r="W16" s="124" t="n">
        <v>0</v>
      </c>
      <c r="X16" s="124" t="n">
        <v>0</v>
      </c>
      <c r="Y16" s="124" t="n">
        <v>2</v>
      </c>
      <c r="Z16" s="124" t="n">
        <v>0</v>
      </c>
      <c r="AA16" s="125" t="n">
        <v>7</v>
      </c>
      <c r="AB16" s="127" t="n">
        <v>0</v>
      </c>
      <c r="AC16" s="124" t="n">
        <v>1</v>
      </c>
      <c r="AD16" s="124" t="n">
        <v>5</v>
      </c>
      <c r="AE16" s="124" t="n">
        <v>0</v>
      </c>
      <c r="AF16" s="124" t="n">
        <v>0</v>
      </c>
      <c r="AG16" s="124" t="n">
        <v>4</v>
      </c>
      <c r="AH16" s="124" t="n">
        <v>0</v>
      </c>
      <c r="AI16" s="125" t="n">
        <v>8</v>
      </c>
      <c r="AJ16" s="127" t="n">
        <v>0</v>
      </c>
      <c r="AK16" s="124" t="n">
        <v>6</v>
      </c>
      <c r="AL16" s="124" t="n">
        <v>0</v>
      </c>
      <c r="AM16" s="124" t="n">
        <v>7</v>
      </c>
      <c r="AN16" s="124" t="n">
        <v>0</v>
      </c>
      <c r="AO16" s="124" t="n">
        <v>17</v>
      </c>
      <c r="AP16" s="124" t="n">
        <v>0</v>
      </c>
      <c r="AQ16" s="124" t="n">
        <v>17</v>
      </c>
      <c r="AR16" s="124" t="n">
        <v>0</v>
      </c>
      <c r="AS16" s="125" t="n">
        <v>0</v>
      </c>
    </row>
  </sheetData>
  <mergeCells count="28">
    <mergeCell ref="A1:A3"/>
    <mergeCell ref="B1:I1"/>
    <mergeCell ref="J1:Q1"/>
    <mergeCell ref="T1:AA1"/>
    <mergeCell ref="AB1:AI1"/>
    <mergeCell ref="AJ1:A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</mergeCells>
  <printOptions headings="false" gridLines="false" gridLinesSet="true" horizontalCentered="true" verticalCentered="false"/>
  <pageMargins left="0.5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9" activeCellId="0" sqref="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true" outlineLevel="0" max="4" min="2" style="0" width="8.41"/>
    <col collapsed="false" customWidth="true" hidden="true" outlineLevel="0" max="5" min="5" style="0" width="9.7"/>
    <col collapsed="false" customWidth="true" hidden="false" outlineLevel="0" max="10" min="10" style="140" width="8.7"/>
    <col collapsed="false" customWidth="true" hidden="false" outlineLevel="0" max="11" min="11" style="140" width="9.99"/>
    <col collapsed="false" customWidth="true" hidden="false" outlineLevel="0" max="12" min="12" style="140" width="8.56"/>
    <col collapsed="false" customWidth="true" hidden="false" outlineLevel="0" max="13" min="13" style="140" width="10.71"/>
    <col collapsed="false" customWidth="true" hidden="false" outlineLevel="0" max="14" min="14" style="140" width="10.13"/>
    <col collapsed="false" customWidth="true" hidden="false" outlineLevel="0" max="15" min="15" style="140" width="11.42"/>
  </cols>
  <sheetData>
    <row r="1" customFormat="false" ht="13.5" hidden="false" customHeight="false" outlineLevel="0" collapsed="false">
      <c r="A1" s="93" t="s">
        <v>165</v>
      </c>
      <c r="B1" s="93" t="s">
        <v>142</v>
      </c>
      <c r="C1" s="93"/>
      <c r="D1" s="93"/>
      <c r="E1" s="93"/>
      <c r="F1" s="94" t="s">
        <v>143</v>
      </c>
      <c r="G1" s="94"/>
      <c r="H1" s="94"/>
      <c r="I1" s="94"/>
      <c r="J1" s="94"/>
      <c r="K1" s="94"/>
      <c r="L1" s="94"/>
      <c r="M1" s="94"/>
      <c r="N1" s="94"/>
      <c r="O1" s="94"/>
    </row>
    <row r="2" customFormat="false" ht="12.75" hidden="false" customHeight="false" outlineLevel="0" collapsed="false">
      <c r="A2" s="93"/>
      <c r="B2" s="97" t="s">
        <v>146</v>
      </c>
      <c r="C2" s="97"/>
      <c r="D2" s="97" t="s">
        <v>147</v>
      </c>
      <c r="E2" s="97"/>
      <c r="F2" s="97" t="s">
        <v>156</v>
      </c>
      <c r="G2" s="97"/>
      <c r="H2" s="98" t="s">
        <v>157</v>
      </c>
      <c r="I2" s="98"/>
      <c r="J2" s="141" t="s">
        <v>150</v>
      </c>
      <c r="K2" s="141"/>
      <c r="L2" s="142" t="s">
        <v>158</v>
      </c>
      <c r="M2" s="142"/>
      <c r="N2" s="142" t="s">
        <v>159</v>
      </c>
      <c r="O2" s="142"/>
    </row>
    <row r="3" customFormat="false" ht="13.5" hidden="false" customHeight="false" outlineLevel="0" collapsed="false">
      <c r="A3" s="93"/>
      <c r="B3" s="101" t="s">
        <v>88</v>
      </c>
      <c r="C3" s="102" t="s">
        <v>160</v>
      </c>
      <c r="D3" s="101" t="s">
        <v>88</v>
      </c>
      <c r="E3" s="102" t="s">
        <v>160</v>
      </c>
      <c r="F3" s="101" t="s">
        <v>88</v>
      </c>
      <c r="G3" s="102" t="s">
        <v>160</v>
      </c>
      <c r="H3" s="102" t="s">
        <v>88</v>
      </c>
      <c r="I3" s="102" t="s">
        <v>160</v>
      </c>
      <c r="J3" s="143" t="s">
        <v>88</v>
      </c>
      <c r="K3" s="143" t="s">
        <v>160</v>
      </c>
      <c r="L3" s="143" t="s">
        <v>88</v>
      </c>
      <c r="M3" s="144" t="s">
        <v>160</v>
      </c>
      <c r="N3" s="143" t="s">
        <v>88</v>
      </c>
      <c r="O3" s="144" t="s">
        <v>160</v>
      </c>
    </row>
    <row r="4" customFormat="false" ht="13.5" hidden="false" customHeight="false" outlineLevel="0" collapsed="false">
      <c r="A4" s="105" t="s">
        <v>161</v>
      </c>
      <c r="B4" s="108"/>
      <c r="C4" s="106"/>
      <c r="D4" s="106"/>
      <c r="E4" s="106"/>
      <c r="F4" s="108"/>
      <c r="G4" s="106"/>
      <c r="H4" s="106"/>
      <c r="I4" s="106"/>
      <c r="J4" s="145"/>
      <c r="K4" s="145"/>
      <c r="L4" s="145"/>
      <c r="M4" s="145"/>
      <c r="N4" s="145"/>
      <c r="O4" s="146"/>
    </row>
    <row r="5" customFormat="false" ht="13.5" hidden="false" customHeight="false" outlineLevel="0" collapsed="false">
      <c r="A5" s="109" t="s">
        <v>39</v>
      </c>
      <c r="B5" s="112"/>
      <c r="C5" s="110"/>
      <c r="D5" s="110"/>
      <c r="E5" s="110"/>
      <c r="F5" s="112"/>
      <c r="G5" s="110"/>
      <c r="H5" s="110"/>
      <c r="I5" s="110"/>
      <c r="J5" s="147"/>
      <c r="K5" s="147"/>
      <c r="L5" s="147"/>
      <c r="M5" s="147"/>
      <c r="N5" s="147"/>
      <c r="O5" s="148"/>
    </row>
    <row r="6" customFormat="false" ht="12.75" hidden="false" customHeight="false" outlineLevel="0" collapsed="false">
      <c r="A6" s="135" t="s">
        <v>166</v>
      </c>
      <c r="B6" s="117" t="n">
        <v>0</v>
      </c>
      <c r="C6" s="114" t="n">
        <v>6600</v>
      </c>
      <c r="D6" s="114" t="n">
        <v>0</v>
      </c>
      <c r="E6" s="114" t="n">
        <v>62810</v>
      </c>
      <c r="F6" s="117" t="n">
        <v>0</v>
      </c>
      <c r="G6" s="114" t="n">
        <v>11220</v>
      </c>
      <c r="H6" s="114" t="n">
        <v>200</v>
      </c>
      <c r="I6" s="114" t="n">
        <v>5500</v>
      </c>
      <c r="J6" s="149" t="n">
        <v>0</v>
      </c>
      <c r="K6" s="149" t="n">
        <v>32750</v>
      </c>
      <c r="L6" s="149" t="n">
        <v>0</v>
      </c>
      <c r="M6" s="149" t="n">
        <v>5500</v>
      </c>
      <c r="N6" s="150" t="n">
        <v>0</v>
      </c>
      <c r="O6" s="151" t="n">
        <v>7810</v>
      </c>
    </row>
    <row r="7" customFormat="false" ht="12.75" hidden="false" customHeight="false" outlineLevel="0" collapsed="false">
      <c r="A7" s="118" t="s">
        <v>167</v>
      </c>
      <c r="B7" s="122" t="n">
        <v>0</v>
      </c>
      <c r="C7" s="119" t="n">
        <v>19000</v>
      </c>
      <c r="D7" s="119" t="n">
        <v>0</v>
      </c>
      <c r="E7" s="119" t="n">
        <v>0</v>
      </c>
      <c r="F7" s="122" t="n">
        <v>36000</v>
      </c>
      <c r="G7" s="119" t="n">
        <v>0</v>
      </c>
      <c r="H7" s="119" t="n">
        <v>0</v>
      </c>
      <c r="I7" s="119" t="n">
        <v>0</v>
      </c>
      <c r="J7" s="152" t="n">
        <v>0</v>
      </c>
      <c r="K7" s="152" t="n">
        <v>0</v>
      </c>
      <c r="L7" s="152" t="n">
        <v>0</v>
      </c>
      <c r="M7" s="152" t="n">
        <v>0</v>
      </c>
      <c r="N7" s="153" t="n">
        <v>0</v>
      </c>
      <c r="O7" s="154" t="n">
        <v>0</v>
      </c>
    </row>
    <row r="8" customFormat="false" ht="12.75" hidden="false" customHeight="false" outlineLevel="0" collapsed="false">
      <c r="A8" s="118" t="s">
        <v>168</v>
      </c>
      <c r="B8" s="122" t="n">
        <v>0</v>
      </c>
      <c r="C8" s="119" t="n">
        <v>0</v>
      </c>
      <c r="D8" s="119" t="n">
        <v>0</v>
      </c>
      <c r="E8" s="119" t="n">
        <v>185536</v>
      </c>
      <c r="F8" s="122" t="n">
        <v>0</v>
      </c>
      <c r="G8" s="119" t="n">
        <v>97174</v>
      </c>
      <c r="H8" s="119" t="n">
        <v>0</v>
      </c>
      <c r="I8" s="119" t="n">
        <v>120</v>
      </c>
      <c r="J8" s="152" t="n">
        <v>0</v>
      </c>
      <c r="K8" s="152" t="n">
        <v>7059</v>
      </c>
      <c r="L8" s="152" t="n">
        <v>0</v>
      </c>
      <c r="M8" s="152" t="n">
        <v>145036</v>
      </c>
      <c r="N8" s="153" t="n">
        <v>0</v>
      </c>
      <c r="O8" s="154" t="n">
        <v>6720</v>
      </c>
    </row>
    <row r="9" customFormat="false" ht="13.5" hidden="false" customHeight="false" outlineLevel="0" collapsed="false">
      <c r="A9" s="123" t="s">
        <v>169</v>
      </c>
      <c r="B9" s="127"/>
      <c r="C9" s="124"/>
      <c r="D9" s="124"/>
      <c r="E9" s="124"/>
      <c r="F9" s="127"/>
      <c r="G9" s="124"/>
      <c r="H9" s="124"/>
      <c r="I9" s="124"/>
      <c r="J9" s="155" t="n">
        <v>0</v>
      </c>
      <c r="K9" s="155" t="n">
        <v>0</v>
      </c>
      <c r="L9" s="155" t="n">
        <v>0</v>
      </c>
      <c r="M9" s="155" t="n">
        <v>0</v>
      </c>
      <c r="N9" s="156" t="n">
        <v>0</v>
      </c>
      <c r="O9" s="157" t="n">
        <v>0</v>
      </c>
    </row>
    <row r="10" customFormat="false" ht="13.5" hidden="false" customHeight="false" outlineLevel="0" collapsed="false">
      <c r="A10" s="105" t="s">
        <v>164</v>
      </c>
      <c r="B10" s="130"/>
      <c r="C10" s="128"/>
      <c r="D10" s="128"/>
      <c r="E10" s="128"/>
      <c r="F10" s="130"/>
      <c r="G10" s="128"/>
      <c r="H10" s="128"/>
      <c r="I10" s="128"/>
      <c r="J10" s="158"/>
      <c r="K10" s="158"/>
      <c r="L10" s="158"/>
      <c r="M10" s="158"/>
      <c r="N10" s="159"/>
      <c r="O10" s="160"/>
    </row>
    <row r="11" customFormat="false" ht="13.5" hidden="false" customHeight="false" outlineLevel="0" collapsed="false">
      <c r="A11" s="134" t="s">
        <v>39</v>
      </c>
      <c r="B11" s="133"/>
      <c r="C11" s="131"/>
      <c r="D11" s="131"/>
      <c r="E11" s="131"/>
      <c r="F11" s="133"/>
      <c r="G11" s="131"/>
      <c r="H11" s="131"/>
      <c r="I11" s="131"/>
      <c r="J11" s="161"/>
      <c r="K11" s="161"/>
      <c r="L11" s="161"/>
      <c r="M11" s="161"/>
      <c r="N11" s="162"/>
      <c r="O11" s="163"/>
    </row>
    <row r="12" customFormat="false" ht="12.75" hidden="false" customHeight="false" outlineLevel="0" collapsed="false">
      <c r="A12" s="135" t="s">
        <v>166</v>
      </c>
      <c r="B12" s="139" t="n">
        <v>88</v>
      </c>
      <c r="C12" s="136" t="n">
        <v>10071.335</v>
      </c>
      <c r="D12" s="136" t="n">
        <v>440</v>
      </c>
      <c r="E12" s="136" t="n">
        <v>19621.455</v>
      </c>
      <c r="F12" s="139" t="n">
        <v>458</v>
      </c>
      <c r="G12" s="136" t="n">
        <v>14842.525</v>
      </c>
      <c r="H12" s="136" t="n">
        <v>621</v>
      </c>
      <c r="I12" s="136" t="n">
        <v>11552.853</v>
      </c>
      <c r="J12" s="164" t="n">
        <v>528</v>
      </c>
      <c r="K12" s="164" t="n">
        <v>16196.929</v>
      </c>
      <c r="L12" s="164" t="n">
        <v>220</v>
      </c>
      <c r="M12" s="164" t="n">
        <v>14424.014</v>
      </c>
      <c r="N12" s="165" t="n">
        <v>22</v>
      </c>
      <c r="O12" s="166" t="n">
        <v>9344.268</v>
      </c>
    </row>
    <row r="13" customFormat="false" ht="12.75" hidden="false" customHeight="false" outlineLevel="0" collapsed="false">
      <c r="A13" s="118" t="s">
        <v>167</v>
      </c>
      <c r="B13" s="122" t="n">
        <v>1500</v>
      </c>
      <c r="C13" s="119" t="n">
        <v>5452</v>
      </c>
      <c r="D13" s="119" t="n">
        <v>40</v>
      </c>
      <c r="E13" s="119" t="n">
        <v>4960</v>
      </c>
      <c r="F13" s="122" t="n">
        <v>0</v>
      </c>
      <c r="G13" s="119" t="n">
        <v>5496</v>
      </c>
      <c r="H13" s="119" t="n">
        <v>1500</v>
      </c>
      <c r="I13" s="119" t="n">
        <v>41980</v>
      </c>
      <c r="J13" s="152" t="n">
        <v>40</v>
      </c>
      <c r="K13" s="152" t="n">
        <v>6140</v>
      </c>
      <c r="L13" s="152" t="n">
        <v>0</v>
      </c>
      <c r="M13" s="152" t="n">
        <v>12570</v>
      </c>
      <c r="N13" s="153" t="n">
        <v>1000</v>
      </c>
      <c r="O13" s="154" t="n">
        <v>1660</v>
      </c>
    </row>
    <row r="14" customFormat="false" ht="12.75" hidden="false" customHeight="false" outlineLevel="0" collapsed="false">
      <c r="A14" s="118" t="s">
        <v>168</v>
      </c>
      <c r="B14" s="122" t="n">
        <v>227</v>
      </c>
      <c r="C14" s="119" t="n">
        <v>5299</v>
      </c>
      <c r="D14" s="119" t="n">
        <v>662</v>
      </c>
      <c r="E14" s="119" t="n">
        <v>16406</v>
      </c>
      <c r="F14" s="122" t="n">
        <v>0</v>
      </c>
      <c r="G14" s="119" t="n">
        <v>73018</v>
      </c>
      <c r="H14" s="119" t="n">
        <v>1723</v>
      </c>
      <c r="I14" s="119" t="n">
        <v>15584</v>
      </c>
      <c r="J14" s="152" t="n">
        <v>2264</v>
      </c>
      <c r="K14" s="152" t="n">
        <v>4567</v>
      </c>
      <c r="L14" s="152" t="n">
        <v>480</v>
      </c>
      <c r="M14" s="152" t="n">
        <v>10029</v>
      </c>
      <c r="N14" s="153" t="n">
        <v>454</v>
      </c>
      <c r="O14" s="154" t="n">
        <v>16769</v>
      </c>
    </row>
    <row r="15" customFormat="false" ht="13.5" hidden="false" customHeight="false" outlineLevel="0" collapsed="false">
      <c r="A15" s="123" t="s">
        <v>169</v>
      </c>
      <c r="B15" s="127"/>
      <c r="C15" s="124"/>
      <c r="D15" s="124"/>
      <c r="E15" s="124"/>
      <c r="F15" s="127"/>
      <c r="G15" s="124"/>
      <c r="H15" s="124"/>
      <c r="I15" s="124"/>
      <c r="J15" s="155" t="n">
        <v>0</v>
      </c>
      <c r="K15" s="155" t="n">
        <v>2758</v>
      </c>
      <c r="L15" s="155" t="n">
        <v>0</v>
      </c>
      <c r="M15" s="155" t="n">
        <v>6549.8396</v>
      </c>
      <c r="N15" s="156" t="n">
        <v>0</v>
      </c>
      <c r="O15" s="157" t="n">
        <v>5586</v>
      </c>
    </row>
    <row r="18" customFormat="false" ht="12.75" hidden="false" customHeight="false" outlineLevel="0" collapsed="false">
      <c r="A18" s="167" t="s">
        <v>170</v>
      </c>
      <c r="B18" s="167"/>
      <c r="C18" s="167"/>
      <c r="D18" s="167"/>
      <c r="E18" s="167"/>
    </row>
    <row r="19" customFormat="false" ht="12.75" hidden="false" customHeight="false" outlineLevel="0" collapsed="false">
      <c r="A19" s="168" t="s">
        <v>171</v>
      </c>
      <c r="B19" s="168"/>
      <c r="C19" s="168"/>
      <c r="D19" s="168"/>
      <c r="E19" s="168"/>
      <c r="J19" s="35" t="n">
        <f aca="false">+J12</f>
        <v>528</v>
      </c>
      <c r="K19" s="35" t="n">
        <f aca="false">+K12</f>
        <v>16196.929</v>
      </c>
      <c r="M19" s="35"/>
    </row>
    <row r="20" customFormat="false" ht="12.75" hidden="false" customHeight="false" outlineLevel="0" collapsed="false">
      <c r="A20" s="168" t="s">
        <v>167</v>
      </c>
      <c r="B20" s="168"/>
      <c r="C20" s="168"/>
      <c r="D20" s="168"/>
      <c r="E20" s="168"/>
      <c r="J20" s="35" t="n">
        <f aca="false">+J7+J13</f>
        <v>40</v>
      </c>
      <c r="K20" s="35" t="n">
        <f aca="false">+K7+K13</f>
        <v>6140</v>
      </c>
    </row>
    <row r="21" customFormat="false" ht="12.75" hidden="false" customHeight="false" outlineLevel="0" collapsed="false">
      <c r="A21" s="168" t="s">
        <v>168</v>
      </c>
      <c r="B21" s="168"/>
      <c r="C21" s="168"/>
      <c r="D21" s="168"/>
      <c r="E21" s="168"/>
      <c r="J21" s="35" t="n">
        <f aca="false">+J8+J14</f>
        <v>2264</v>
      </c>
      <c r="K21" s="35" t="n">
        <f aca="false">+K8+K14</f>
        <v>11626</v>
      </c>
    </row>
    <row r="22" customFormat="false" ht="12.75" hidden="false" customHeight="false" outlineLevel="0" collapsed="false">
      <c r="A22" s="168" t="s">
        <v>169</v>
      </c>
      <c r="B22" s="168"/>
      <c r="C22" s="168"/>
      <c r="D22" s="168"/>
      <c r="E22" s="168"/>
      <c r="J22" s="35" t="n">
        <f aca="false">+J9+J15</f>
        <v>0</v>
      </c>
      <c r="K22" s="35" t="n">
        <f aca="false">+K9+K15</f>
        <v>2758</v>
      </c>
    </row>
    <row r="23" customFormat="false" ht="12.75" hidden="false" customHeight="false" outlineLevel="0" collapsed="false">
      <c r="A23" s="168"/>
      <c r="B23" s="168"/>
      <c r="C23" s="168"/>
      <c r="D23" s="168"/>
      <c r="E23" s="168"/>
    </row>
    <row r="24" customFormat="false" ht="12.75" hidden="false" customHeight="false" outlineLevel="0" collapsed="false">
      <c r="A24" s="168"/>
      <c r="B24" s="168"/>
      <c r="C24" s="168"/>
      <c r="D24" s="168"/>
      <c r="E24" s="168"/>
    </row>
    <row r="25" customFormat="false" ht="12.75" hidden="false" customHeight="false" outlineLevel="0" collapsed="false">
      <c r="A25" s="168"/>
      <c r="B25" s="168"/>
      <c r="C25" s="168"/>
      <c r="D25" s="168"/>
      <c r="E25" s="168"/>
    </row>
    <row r="26" customFormat="false" ht="12.75" hidden="false" customHeight="false" outlineLevel="0" collapsed="false">
      <c r="A26" s="168"/>
      <c r="B26" s="168"/>
      <c r="C26" s="168"/>
      <c r="D26" s="168"/>
      <c r="E26" s="168"/>
    </row>
    <row r="27" customFormat="false" ht="12.75" hidden="false" customHeight="false" outlineLevel="0" collapsed="false">
      <c r="A27" s="168"/>
      <c r="B27" s="168"/>
      <c r="C27" s="168"/>
      <c r="D27" s="168"/>
      <c r="E27" s="168"/>
      <c r="M27" s="140" t="s">
        <v>172</v>
      </c>
    </row>
    <row r="28" customFormat="false" ht="12.75" hidden="false" customHeight="false" outlineLevel="0" collapsed="false">
      <c r="A28" s="168"/>
      <c r="B28" s="168"/>
      <c r="C28" s="168"/>
      <c r="D28" s="168"/>
      <c r="E28" s="168"/>
    </row>
  </sheetData>
  <mergeCells count="10">
    <mergeCell ref="A1:A3"/>
    <mergeCell ref="B1:E1"/>
    <mergeCell ref="F1:O1"/>
    <mergeCell ref="B2:C2"/>
    <mergeCell ref="D2:E2"/>
    <mergeCell ref="F2:G2"/>
    <mergeCell ref="H2:I2"/>
    <mergeCell ref="J2:K2"/>
    <mergeCell ref="L2:M2"/>
    <mergeCell ref="N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18.75" hidden="false" customHeight="true" outlineLevel="0" collapsed="false">
      <c r="A1" s="169" t="s">
        <v>88</v>
      </c>
    </row>
    <row r="2" customFormat="false" ht="12.75" hidden="false" customHeight="false" outlineLevel="0" collapsed="false">
      <c r="B2" s="170" t="s">
        <v>173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14396</v>
      </c>
      <c r="C6" s="35" t="n">
        <v>2471730086.55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2941</v>
      </c>
      <c r="C7" s="35" t="n">
        <v>36577687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1460</v>
      </c>
      <c r="C9" s="85" t="n">
        <v>66188499.98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1</v>
      </c>
      <c r="C11" s="85" t="n">
        <v>45000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11</v>
      </c>
      <c r="C12" s="85" t="n">
        <v>3300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2</v>
      </c>
      <c r="C14" s="176" t="n">
        <v>5000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40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B17" s="176"/>
      <c r="C17" s="176"/>
      <c r="D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A19" s="90" t="s">
        <v>178</v>
      </c>
      <c r="B19" s="177" t="n">
        <v>4</v>
      </c>
      <c r="C19" s="177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B20" s="176"/>
      <c r="C20" s="176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20.25" hidden="false" customHeight="true" outlineLevel="0" collapsed="false">
      <c r="A23" s="169" t="s">
        <v>160</v>
      </c>
      <c r="B23" s="180"/>
      <c r="C23" s="180"/>
    </row>
    <row r="24" customFormat="false" ht="12.75" hidden="false" customHeight="false" outlineLevel="0" collapsed="false">
      <c r="B24" s="181" t="str">
        <f aca="false">B2</f>
        <v>Week ending 05/30</v>
      </c>
      <c r="C24" s="181"/>
      <c r="D24" s="171" t="s">
        <v>174</v>
      </c>
    </row>
    <row r="25" customFormat="false" ht="12.75" hidden="false" customHeight="false" outlineLevel="0" collapsed="false">
      <c r="A25" s="172" t="s">
        <v>175</v>
      </c>
      <c r="B25" s="182" t="s">
        <v>1</v>
      </c>
      <c r="C25" s="182" t="s">
        <v>176</v>
      </c>
      <c r="D25" s="173" t="s">
        <v>127</v>
      </c>
    </row>
    <row r="26" customFormat="false" ht="12.75" hidden="false" customHeight="false" outlineLevel="0" collapsed="false">
      <c r="A26" s="90"/>
      <c r="B26" s="183"/>
      <c r="C26" s="183"/>
    </row>
    <row r="27" customFormat="false" ht="12.75" hidden="false" customHeight="false" outlineLevel="0" collapsed="false">
      <c r="A27" s="84" t="s">
        <v>10</v>
      </c>
      <c r="B27" s="176"/>
      <c r="C27" s="176"/>
      <c r="D27" s="80"/>
      <c r="E27" s="80"/>
      <c r="F27" s="80"/>
      <c r="G27" s="80"/>
      <c r="H27" s="80"/>
      <c r="I27" s="80"/>
      <c r="J27" s="80"/>
    </row>
    <row r="28" customFormat="false" ht="12.75" hidden="false" customHeight="false" outlineLevel="0" collapsed="false">
      <c r="A28" s="175" t="s">
        <v>13</v>
      </c>
      <c r="B28" s="176" t="n">
        <v>3281</v>
      </c>
      <c r="C28" s="176" t="n">
        <v>2768624920.13</v>
      </c>
      <c r="D28" s="80" t="s">
        <v>86</v>
      </c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15</v>
      </c>
      <c r="B29" s="176" t="n">
        <v>1904</v>
      </c>
      <c r="C29" s="176" t="n">
        <v>43468602.3</v>
      </c>
      <c r="D29" s="80" t="s">
        <v>90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84" t="s">
        <v>21</v>
      </c>
      <c r="B30" s="177"/>
      <c r="C30" s="176"/>
      <c r="D30" s="80"/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175" t="s">
        <v>26</v>
      </c>
      <c r="B31" s="176" t="n">
        <v>1539</v>
      </c>
      <c r="C31" s="176" t="n">
        <v>103799379.82</v>
      </c>
      <c r="D31" s="80" t="s">
        <v>97</v>
      </c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28</v>
      </c>
      <c r="B32" s="176" t="n">
        <v>13</v>
      </c>
      <c r="C32" s="176" t="n">
        <v>2083750</v>
      </c>
      <c r="D32" s="80" t="s">
        <v>100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177</v>
      </c>
      <c r="B33" s="176" t="n">
        <v>5</v>
      </c>
      <c r="C33" s="176" t="n">
        <v>240000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31</v>
      </c>
      <c r="B34" s="176" t="n">
        <v>4</v>
      </c>
      <c r="C34" s="176" t="n">
        <v>20000</v>
      </c>
      <c r="D34" s="80" t="s">
        <v>103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23</v>
      </c>
      <c r="B35" s="176" t="n">
        <v>357</v>
      </c>
      <c r="C35" s="176" t="n">
        <v>0</v>
      </c>
      <c r="D35" s="80" t="s">
        <v>105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33</v>
      </c>
      <c r="B36" s="176" t="n">
        <v>4</v>
      </c>
      <c r="C36" s="176" t="n">
        <v>10000</v>
      </c>
      <c r="D36" s="80" t="s">
        <v>107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84" t="s">
        <v>39</v>
      </c>
      <c r="B37" s="177"/>
      <c r="C37" s="176"/>
      <c r="D37" s="80"/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175" t="s">
        <v>40</v>
      </c>
      <c r="B38" s="176" t="n">
        <v>49</v>
      </c>
      <c r="C38" s="176" t="n">
        <v>6176</v>
      </c>
      <c r="D38" s="80" t="s">
        <v>100</v>
      </c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/>
      <c r="B39" s="176"/>
      <c r="C39" s="176"/>
      <c r="D39" s="80"/>
      <c r="E39" s="80"/>
      <c r="F39" s="80"/>
      <c r="G39" s="80"/>
      <c r="H39" s="80"/>
      <c r="I39" s="80"/>
      <c r="J39" s="80"/>
    </row>
  </sheetData>
  <mergeCells count="2">
    <mergeCell ref="B2:C2"/>
    <mergeCell ref="B24:C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179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15485</v>
      </c>
      <c r="C6" s="35" t="n">
        <v>2407867656.28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2878</v>
      </c>
      <c r="C7" s="35" t="n">
        <v>21566575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1578</v>
      </c>
      <c r="C9" s="85" t="n">
        <v>68070386.35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1</v>
      </c>
      <c r="C10" s="85" t="n">
        <v>7750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0</v>
      </c>
      <c r="C11" s="85" t="n">
        <v>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18</v>
      </c>
      <c r="C12" s="85" t="n">
        <v>5400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2</v>
      </c>
      <c r="C14" s="176" t="n">
        <v>5000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40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B17" s="176"/>
      <c r="C17" s="176"/>
      <c r="D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A19" s="90" t="s">
        <v>178</v>
      </c>
      <c r="B19" s="177" t="n">
        <v>6</v>
      </c>
      <c r="C19" s="177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B20" s="176"/>
      <c r="C20" s="176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23.25" hidden="false" customHeight="false" outlineLevel="0" collapsed="false">
      <c r="A23" s="169" t="s">
        <v>160</v>
      </c>
      <c r="B23" s="180"/>
      <c r="C23" s="180"/>
    </row>
    <row r="24" customFormat="false" ht="12.75" hidden="false" customHeight="false" outlineLevel="0" collapsed="false">
      <c r="B24" s="181" t="str">
        <f aca="false">B2</f>
        <v>Week ending 05/23</v>
      </c>
      <c r="C24" s="181"/>
      <c r="D24" s="171" t="s">
        <v>174</v>
      </c>
    </row>
    <row r="25" customFormat="false" ht="12.75" hidden="false" customHeight="false" outlineLevel="0" collapsed="false">
      <c r="A25" s="172" t="s">
        <v>175</v>
      </c>
      <c r="B25" s="182" t="s">
        <v>1</v>
      </c>
      <c r="C25" s="182" t="s">
        <v>176</v>
      </c>
      <c r="D25" s="173" t="s">
        <v>127</v>
      </c>
    </row>
    <row r="26" customFormat="false" ht="12.75" hidden="false" customHeight="false" outlineLevel="0" collapsed="false">
      <c r="A26" s="90"/>
      <c r="B26" s="183"/>
      <c r="C26" s="183"/>
    </row>
    <row r="27" customFormat="false" ht="12.75" hidden="false" customHeight="false" outlineLevel="0" collapsed="false">
      <c r="A27" s="84" t="s">
        <v>10</v>
      </c>
      <c r="B27" s="176"/>
      <c r="C27" s="176"/>
      <c r="D27" s="80"/>
      <c r="E27" s="80"/>
      <c r="F27" s="80"/>
      <c r="G27" s="80"/>
      <c r="H27" s="80"/>
      <c r="I27" s="80"/>
      <c r="J27" s="80"/>
    </row>
    <row r="28" customFormat="false" ht="12.75" hidden="false" customHeight="false" outlineLevel="0" collapsed="false">
      <c r="A28" s="175" t="s">
        <v>13</v>
      </c>
      <c r="B28" s="176" t="n">
        <v>2608</v>
      </c>
      <c r="C28" s="176" t="n">
        <v>3290503606.04</v>
      </c>
      <c r="D28" s="80" t="s">
        <v>86</v>
      </c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15</v>
      </c>
      <c r="B29" s="176" t="n">
        <v>2447</v>
      </c>
      <c r="C29" s="176" t="n">
        <v>28061045.6</v>
      </c>
      <c r="D29" s="80" t="s">
        <v>90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84" t="s">
        <v>21</v>
      </c>
      <c r="B30" s="177"/>
      <c r="C30" s="176"/>
      <c r="D30" s="80"/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175" t="s">
        <v>26</v>
      </c>
      <c r="B31" s="176" t="n">
        <v>1864</v>
      </c>
      <c r="C31" s="176" t="n">
        <v>242495930.73</v>
      </c>
      <c r="D31" s="80" t="s">
        <v>97</v>
      </c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28</v>
      </c>
      <c r="B32" s="176" t="n">
        <v>16</v>
      </c>
      <c r="C32" s="176" t="n">
        <v>395250</v>
      </c>
      <c r="D32" s="80" t="s">
        <v>100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177</v>
      </c>
      <c r="B33" s="176" t="n">
        <v>5</v>
      </c>
      <c r="C33" s="176" t="n">
        <v>332500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31</v>
      </c>
      <c r="B34" s="176" t="n">
        <v>18</v>
      </c>
      <c r="C34" s="176" t="n">
        <v>88360</v>
      </c>
      <c r="D34" s="80" t="s">
        <v>103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23</v>
      </c>
      <c r="B35" s="176" t="n">
        <v>532</v>
      </c>
      <c r="C35" s="176" t="n">
        <v>0</v>
      </c>
      <c r="D35" s="80" t="s">
        <v>105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33</v>
      </c>
      <c r="B36" s="176" t="n">
        <v>15</v>
      </c>
      <c r="C36" s="176" t="n">
        <v>52500</v>
      </c>
      <c r="D36" s="80" t="s">
        <v>107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84" t="s">
        <v>39</v>
      </c>
      <c r="B37" s="177"/>
      <c r="C37" s="176"/>
      <c r="D37" s="80"/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175" t="s">
        <v>40</v>
      </c>
      <c r="B38" s="176" t="n">
        <v>157</v>
      </c>
      <c r="C38" s="176" t="n">
        <v>7244.20000000112</v>
      </c>
      <c r="D38" s="80" t="s">
        <v>100</v>
      </c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/>
      <c r="B39" s="176"/>
      <c r="C39" s="176"/>
      <c r="D39" s="80"/>
      <c r="E39" s="80"/>
      <c r="F39" s="80"/>
      <c r="G39" s="80"/>
      <c r="H39" s="80"/>
      <c r="I39" s="80"/>
      <c r="J39" s="80"/>
    </row>
  </sheetData>
  <mergeCells count="2">
    <mergeCell ref="B2:C2"/>
    <mergeCell ref="B24:C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AA15" activeCellId="0" sqref="A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180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f aca="false">[3]Sheet1!B9+[3]Sheet1!B10</f>
        <v>15702</v>
      </c>
      <c r="C6" s="35" t="n">
        <f aca="false">[3]Sheet1!B71+[3]Sheet1!B72</f>
        <v>2472589163.98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f aca="false">[3]Sheet1!B17+[3]Sheet1!B18+[3]Sheet1!B19</f>
        <v>2570</v>
      </c>
      <c r="C7" s="35" t="n">
        <f aca="false">[3]Sheet1!B79+[3]Sheet1!B80+[3]Sheet1!B81</f>
        <v>19622774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f aca="false">[3]Sheet1!B32+[3]Sheet1!B33+[3]Sheet1!B35</f>
        <v>1312</v>
      </c>
      <c r="C9" s="85" t="n">
        <f aca="false">[3]Sheet1!B94+[3]Sheet1!B95+[3]Sheet1!B97</f>
        <v>62923300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f aca="false">[3]Sheet1!B36</f>
        <v>1</v>
      </c>
      <c r="C10" s="85" t="n">
        <f aca="false">[3]Sheet1!B98</f>
        <v>7750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f aca="false">[3]Sheet1!B37</f>
        <v>5</v>
      </c>
      <c r="C11" s="85" t="n">
        <f aca="false">[3]Sheet1!B99</f>
        <v>225000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f aca="false">[3]Sheet1!B42</f>
        <v>16</v>
      </c>
      <c r="C12" s="85" t="n">
        <f aca="false">[3]Sheet1!B104</f>
        <v>4200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f aca="false">[3]Sheet1!B51</f>
        <v>0</v>
      </c>
      <c r="C13" s="176" t="n">
        <f aca="false">[3]Sheet1!B113</f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f aca="false">[3]Sheet1!B39</f>
        <v>8</v>
      </c>
      <c r="C14" s="176" t="n">
        <f aca="false">[3]Sheet1!B101</f>
        <v>20000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f aca="false">[3]Sheet1!B40</f>
        <v>0</v>
      </c>
      <c r="C16" s="176" t="n">
        <f aca="false">[3]Sheet1!B102</f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f aca="false">[3]Sheet1!B47</f>
        <v>0</v>
      </c>
      <c r="C17" s="176" t="n">
        <f aca="false">[3]Sheet1!B109</f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5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tr">
        <f aca="false">B2</f>
        <v>Week ending 05/16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f aca="false">[3]Sheet1!C9+[3]Sheet1!C10</f>
        <v>2547</v>
      </c>
      <c r="C29" s="176" t="n">
        <f aca="false">[3]Sheet1!C71+[3]Sheet1!C72</f>
        <v>1899138502.46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f aca="false">[3]Sheet1!C17+[3]Sheet1!C18+[3]Sheet1!C19</f>
        <v>2390</v>
      </c>
      <c r="C30" s="176" t="n">
        <f aca="false">[3]Sheet1!C79+[3]Sheet1!C80+[3]Sheet1!C81</f>
        <v>25161550.36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f aca="false">[3]Sheet1!C32+[3]Sheet1!C33+[3]Sheet1!C35</f>
        <v>1610</v>
      </c>
      <c r="C32" s="176" t="n">
        <f aca="false">[3]Sheet1!C94+[3]Sheet1!C95+[3]Sheet1!C97</f>
        <v>106926109.23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f aca="false">[3]Sheet1!C36</f>
        <v>25</v>
      </c>
      <c r="C33" s="176" t="n">
        <f aca="false">[3]Sheet1!C98</f>
        <v>1489250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f aca="false">[3]Sheet1!C37</f>
        <v>8</v>
      </c>
      <c r="C34" s="176" t="n">
        <f aca="false">[3]Sheet1!C99</f>
        <v>360000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f aca="false">[3]Sheet1!C42</f>
        <v>10</v>
      </c>
      <c r="C35" s="176" t="n">
        <f aca="false">[3]Sheet1!C104</f>
        <v>39500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f aca="false">[3]Sheet1!C51</f>
        <v>430</v>
      </c>
      <c r="C36" s="176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f aca="false">[3]Sheet1!C39</f>
        <v>8</v>
      </c>
      <c r="C37" s="176" t="n">
        <f aca="false">[3]Sheet1!C101</f>
        <v>25750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76" t="n">
        <f aca="false">[3]Sheet1!C40+115+56+14</f>
        <v>272</v>
      </c>
      <c r="C39" s="176" t="n">
        <f aca="false">[3]Sheet1!C102+48947+7199+10986</f>
        <v>112816.06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f aca="false">[3]Sheet1!C47</f>
        <v>176</v>
      </c>
      <c r="C40" s="176" t="n">
        <f aca="false">[3]Sheet1!C109</f>
        <v>5292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/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tr">
        <f aca="false">B2</f>
        <v>Week ending 05/16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6</v>
      </c>
      <c r="C49" s="35" t="n">
        <v>528000</v>
      </c>
      <c r="D49" s="180" t="s">
        <v>183</v>
      </c>
      <c r="E49" s="180"/>
    </row>
    <row r="50" customFormat="false" ht="12.75" hidden="false" customHeight="false" outlineLevel="0" collapsed="false">
      <c r="A50" s="175" t="s">
        <v>32</v>
      </c>
      <c r="B50" s="35"/>
      <c r="C50" s="35"/>
      <c r="D50" s="180"/>
      <c r="E50" s="180"/>
    </row>
    <row r="51" customFormat="false" ht="12.75" hidden="false" customHeight="false" outlineLevel="0" collapsed="false">
      <c r="A51" s="175" t="s">
        <v>163</v>
      </c>
      <c r="B51" s="35" t="n">
        <v>6</v>
      </c>
      <c r="C51" s="35" t="n">
        <v>3285</v>
      </c>
      <c r="D51" s="180" t="s">
        <v>184</v>
      </c>
      <c r="E51" s="180"/>
    </row>
    <row r="52" customFormat="false" ht="12.75" hidden="false" customHeight="false" outlineLevel="0" collapsed="false">
      <c r="B52" s="180"/>
      <c r="C52" s="180"/>
      <c r="D52" s="180"/>
      <c r="E52" s="180"/>
    </row>
    <row r="53" customFormat="false" ht="12.75" hidden="false" customHeight="false" outlineLevel="0" collapsed="false">
      <c r="A53" s="90" t="s">
        <v>185</v>
      </c>
      <c r="B53" s="183" t="n">
        <v>2</v>
      </c>
      <c r="C53" s="183"/>
      <c r="D53" s="180"/>
      <c r="E53" s="180"/>
    </row>
    <row r="54" customFormat="false" ht="12.75" hidden="false" customHeight="false" outlineLevel="0" collapsed="false">
      <c r="B54" s="180"/>
      <c r="C54" s="180"/>
      <c r="D54" s="180"/>
      <c r="E54" s="180"/>
    </row>
    <row r="55" customFormat="false" ht="12.75" hidden="false" customHeight="false" outlineLevel="0" collapsed="false">
      <c r="A55" s="87" t="s">
        <v>186</v>
      </c>
      <c r="B55" s="180"/>
      <c r="C55" s="184" t="n">
        <f aca="false">C49/1000</f>
        <v>528</v>
      </c>
      <c r="D55" s="180"/>
      <c r="E55" s="180"/>
    </row>
    <row r="56" customFormat="false" ht="12.75" hidden="false" customHeight="false" outlineLevel="0" collapsed="false">
      <c r="B56" s="180"/>
      <c r="C56" s="180"/>
      <c r="D56" s="180"/>
      <c r="E56" s="180"/>
    </row>
    <row r="57" customFormat="false" ht="12.75" hidden="false" customHeight="false" outlineLevel="0" collapsed="false">
      <c r="B57" s="180"/>
      <c r="C57" s="180"/>
      <c r="D57" s="180"/>
      <c r="E57" s="180"/>
    </row>
    <row r="58" customFormat="false" ht="12.75" hidden="false" customHeight="false" outlineLevel="0" collapsed="false">
      <c r="A58" s="84" t="s">
        <v>187</v>
      </c>
      <c r="B58" s="183"/>
      <c r="C58" s="185" t="n">
        <f aca="false">C55+C51+C40+C39+C17+C16</f>
        <v>121921.06</v>
      </c>
      <c r="D58" s="183"/>
      <c r="E58" s="183"/>
      <c r="F58" s="90"/>
    </row>
    <row r="59" customFormat="false" ht="12.75" hidden="false" customHeight="false" outlineLevel="0" collapsed="false">
      <c r="B59" s="180"/>
      <c r="C59" s="180"/>
      <c r="D59" s="180"/>
    </row>
    <row r="60" customFormat="false" ht="12.75" hidden="false" customHeight="false" outlineLevel="0" collapsed="false">
      <c r="B60" s="180"/>
      <c r="C60" s="180"/>
      <c r="D60" s="180"/>
    </row>
    <row r="61" customFormat="false" ht="12.75" hidden="false" customHeight="false" outlineLevel="0" collapsed="false">
      <c r="B61" s="180"/>
      <c r="C61" s="180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Y69" activeCellId="0" sqref="Y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188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14518</v>
      </c>
      <c r="C6" s="35" t="n">
        <v>2022198769.82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2472</v>
      </c>
      <c r="C7" s="35" t="n">
        <v>22337927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1146</v>
      </c>
      <c r="C9" s="85" t="n">
        <v>52058000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1</v>
      </c>
      <c r="C11" s="85" t="n">
        <v>45000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15</v>
      </c>
      <c r="C12" s="85" t="n">
        <v>4500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4</v>
      </c>
      <c r="C14" s="176" t="n">
        <v>10000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5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188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2542</v>
      </c>
      <c r="C29" s="176" t="n">
        <v>2204384860.99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2474</v>
      </c>
      <c r="C30" s="176" t="n">
        <v>35092367.33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1174</v>
      </c>
      <c r="C32" s="176" t="n">
        <v>70870782.83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5</v>
      </c>
      <c r="C33" s="176" t="n">
        <v>206000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6</v>
      </c>
      <c r="C34" s="176" t="n">
        <v>249000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9</v>
      </c>
      <c r="C35" s="176" t="n">
        <v>36000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357</v>
      </c>
      <c r="C36" s="176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10</v>
      </c>
      <c r="C37" s="176" t="n">
        <v>65000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86" t="n">
        <v>171</v>
      </c>
      <c r="C39" s="186" t="n">
        <v>48313.1799999999</v>
      </c>
      <c r="D39" s="80" t="s">
        <v>100</v>
      </c>
      <c r="E39" s="80"/>
      <c r="F39" s="80" t="n">
        <v>31060</v>
      </c>
      <c r="G39" s="80" t="n">
        <v>17253</v>
      </c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36</v>
      </c>
      <c r="C40" s="176" t="n">
        <v>2490</v>
      </c>
      <c r="D40" s="80" t="s">
        <v>100</v>
      </c>
      <c r="E40" s="80"/>
      <c r="F40" s="80" t="n">
        <v>96</v>
      </c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 t="n">
        <v>17873</v>
      </c>
      <c r="D42" s="80"/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/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188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8</v>
      </c>
      <c r="C49" s="35" t="n">
        <v>1821000</v>
      </c>
      <c r="D49" s="180" t="s">
        <v>183</v>
      </c>
      <c r="E49" s="180"/>
    </row>
    <row r="50" customFormat="false" ht="12.75" hidden="false" customHeight="false" outlineLevel="0" collapsed="false">
      <c r="A50" s="175" t="s">
        <v>32</v>
      </c>
      <c r="B50" s="35"/>
      <c r="C50" s="35"/>
      <c r="D50" s="180"/>
      <c r="E50" s="180"/>
    </row>
    <row r="51" customFormat="false" ht="12.75" hidden="false" customHeight="false" outlineLevel="0" collapsed="false">
      <c r="A51" s="175" t="s">
        <v>163</v>
      </c>
      <c r="B51" s="35" t="n">
        <v>6</v>
      </c>
      <c r="C51" s="35" t="n">
        <v>3400</v>
      </c>
      <c r="D51" s="180" t="s">
        <v>184</v>
      </c>
      <c r="E51" s="180"/>
    </row>
    <row r="52" customFormat="false" ht="12.75" hidden="false" customHeight="false" outlineLevel="0" collapsed="false">
      <c r="B52" s="180"/>
      <c r="C52" s="180"/>
      <c r="D52" s="180"/>
      <c r="E52" s="180"/>
    </row>
    <row r="53" customFormat="false" ht="12.75" hidden="false" customHeight="false" outlineLevel="0" collapsed="false">
      <c r="A53" s="90" t="s">
        <v>185</v>
      </c>
      <c r="B53" s="183" t="n">
        <v>1</v>
      </c>
      <c r="C53" s="183"/>
      <c r="D53" s="180"/>
      <c r="E53" s="180"/>
    </row>
    <row r="54" customFormat="false" ht="12.75" hidden="false" customHeight="false" outlineLevel="0" collapsed="false">
      <c r="B54" s="180"/>
      <c r="C54" s="180"/>
      <c r="D54" s="180"/>
      <c r="E54" s="180"/>
    </row>
    <row r="55" customFormat="false" ht="12.75" hidden="false" customHeight="false" outlineLevel="0" collapsed="false">
      <c r="A55" s="87" t="s">
        <v>186</v>
      </c>
      <c r="B55" s="180"/>
      <c r="C55" s="184" t="n">
        <v>1821</v>
      </c>
      <c r="D55" s="180"/>
      <c r="E55" s="180"/>
    </row>
    <row r="56" customFormat="false" ht="12.75" hidden="false" customHeight="false" outlineLevel="0" collapsed="false">
      <c r="B56" s="180"/>
      <c r="C56" s="180"/>
      <c r="D56" s="180"/>
      <c r="E56" s="180"/>
    </row>
    <row r="57" customFormat="false" ht="12.75" hidden="false" customHeight="false" outlineLevel="0" collapsed="false">
      <c r="B57" s="180"/>
      <c r="C57" s="180"/>
      <c r="D57" s="180"/>
      <c r="E57" s="180"/>
    </row>
    <row r="58" customFormat="false" ht="12.75" hidden="false" customHeight="false" outlineLevel="0" collapsed="false">
      <c r="A58" s="84" t="s">
        <v>187</v>
      </c>
      <c r="B58" s="183"/>
      <c r="C58" s="185" t="n">
        <v>56024.1799999999</v>
      </c>
      <c r="D58" s="183"/>
      <c r="E58" s="183"/>
      <c r="F58" s="90"/>
    </row>
    <row r="59" customFormat="false" ht="12.75" hidden="false" customHeight="false" outlineLevel="0" collapsed="false">
      <c r="B59" s="180"/>
      <c r="C59" s="180"/>
      <c r="D59" s="180"/>
    </row>
    <row r="60" customFormat="false" ht="12.75" hidden="false" customHeight="false" outlineLevel="0" collapsed="false">
      <c r="B60" s="180"/>
      <c r="C60" s="180"/>
      <c r="D60" s="180"/>
    </row>
    <row r="61" customFormat="false" ht="12.75" hidden="false" customHeight="false" outlineLevel="0" collapsed="false">
      <c r="B61" s="180"/>
      <c r="C61" s="18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Y69" activeCellId="0" sqref="Y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69" t="s">
        <v>88</v>
      </c>
    </row>
    <row r="2" customFormat="false" ht="12.75" hidden="false" customHeight="false" outlineLevel="0" collapsed="false">
      <c r="B2" s="170" t="s">
        <v>189</v>
      </c>
      <c r="C2" s="170"/>
      <c r="D2" s="171" t="s">
        <v>174</v>
      </c>
    </row>
    <row r="3" customFormat="false" ht="12.75" hidden="false" customHeight="false" outlineLevel="0" collapsed="false">
      <c r="A3" s="172" t="s">
        <v>175</v>
      </c>
      <c r="B3" s="75" t="s">
        <v>1</v>
      </c>
      <c r="C3" s="75" t="s">
        <v>176</v>
      </c>
      <c r="D3" s="173" t="s">
        <v>127</v>
      </c>
    </row>
    <row r="4" customFormat="false" ht="12.75" hidden="false" customHeight="false" outlineLevel="0" collapsed="false">
      <c r="A4" s="90"/>
      <c r="B4" s="90"/>
      <c r="C4" s="90"/>
    </row>
    <row r="5" customFormat="false" ht="12.75" hidden="false" customHeight="false" outlineLevel="0" collapsed="false">
      <c r="A5" s="84" t="s">
        <v>10</v>
      </c>
      <c r="B5" s="174"/>
      <c r="C5" s="17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customFormat="false" ht="12.75" hidden="false" customHeight="false" outlineLevel="0" collapsed="false">
      <c r="A6" s="175" t="s">
        <v>13</v>
      </c>
      <c r="B6" s="176" t="n">
        <v>16925</v>
      </c>
      <c r="C6" s="35" t="n">
        <v>2409994974.34</v>
      </c>
      <c r="D6" s="80" t="s">
        <v>86</v>
      </c>
      <c r="E6" s="9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customFormat="false" ht="12.75" hidden="false" customHeight="false" outlineLevel="0" collapsed="false">
      <c r="A7" s="175" t="s">
        <v>15</v>
      </c>
      <c r="B7" s="176" t="n">
        <v>3164</v>
      </c>
      <c r="C7" s="35" t="n">
        <v>23724896</v>
      </c>
      <c r="D7" s="80" t="s">
        <v>90</v>
      </c>
      <c r="E7" s="9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customFormat="false" ht="12.75" hidden="false" customHeight="false" outlineLevel="0" collapsed="false">
      <c r="A8" s="84" t="s">
        <v>21</v>
      </c>
      <c r="B8" s="177"/>
      <c r="C8" s="178"/>
      <c r="D8" s="80"/>
      <c r="E8" s="9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customFormat="false" ht="12.75" hidden="false" customHeight="false" outlineLevel="0" collapsed="false">
      <c r="A9" s="175" t="s">
        <v>26</v>
      </c>
      <c r="B9" s="176" t="n">
        <v>1016</v>
      </c>
      <c r="C9" s="85" t="n">
        <v>46714190.01</v>
      </c>
      <c r="D9" s="80" t="s">
        <v>97</v>
      </c>
      <c r="E9" s="9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customFormat="false" ht="12.75" hidden="false" customHeight="false" outlineLevel="0" collapsed="false">
      <c r="A10" s="175" t="s">
        <v>28</v>
      </c>
      <c r="B10" s="176" t="n">
        <v>0</v>
      </c>
      <c r="C10" s="85" t="n">
        <v>0</v>
      </c>
      <c r="D10" s="80" t="s">
        <v>100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customFormat="false" ht="12.75" hidden="false" customHeight="false" outlineLevel="0" collapsed="false">
      <c r="A11" s="175" t="s">
        <v>177</v>
      </c>
      <c r="B11" s="176" t="n">
        <v>5</v>
      </c>
      <c r="C11" s="85" t="n">
        <v>225000</v>
      </c>
      <c r="D11" s="80" t="s">
        <v>100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customFormat="false" ht="12.75" hidden="false" customHeight="false" outlineLevel="0" collapsed="false">
      <c r="A12" s="175" t="s">
        <v>31</v>
      </c>
      <c r="B12" s="176" t="n">
        <v>8</v>
      </c>
      <c r="C12" s="85" t="n">
        <v>2400</v>
      </c>
      <c r="D12" s="80" t="s">
        <v>103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customFormat="false" ht="12.75" hidden="false" customHeight="false" outlineLevel="0" collapsed="false">
      <c r="A13" s="179" t="s">
        <v>23</v>
      </c>
      <c r="B13" s="176" t="n">
        <v>0</v>
      </c>
      <c r="C13" s="176" t="n">
        <v>0</v>
      </c>
      <c r="D13" s="80" t="s">
        <v>105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customFormat="false" ht="12.75" hidden="false" customHeight="false" outlineLevel="0" collapsed="false">
      <c r="A14" s="175" t="s">
        <v>33</v>
      </c>
      <c r="B14" s="176" t="n">
        <v>1</v>
      </c>
      <c r="C14" s="176" t="n">
        <v>2500</v>
      </c>
      <c r="D14" s="80" t="s">
        <v>107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customFormat="false" ht="12.75" hidden="false" customHeight="false" outlineLevel="0" collapsed="false">
      <c r="A15" s="84" t="s">
        <v>39</v>
      </c>
      <c r="B15" s="177"/>
      <c r="C15" s="178"/>
      <c r="D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customFormat="false" ht="12.75" hidden="false" customHeight="false" outlineLevel="0" collapsed="false">
      <c r="A16" s="175" t="s">
        <v>181</v>
      </c>
      <c r="B16" s="176" t="n">
        <v>0</v>
      </c>
      <c r="C16" s="176" t="n">
        <v>0</v>
      </c>
      <c r="D16" s="80" t="s">
        <v>100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customFormat="false" ht="12.75" hidden="false" customHeight="false" outlineLevel="0" collapsed="false">
      <c r="A17" s="175" t="s">
        <v>40</v>
      </c>
      <c r="B17" s="176" t="n">
        <v>0</v>
      </c>
      <c r="C17" s="176" t="n">
        <v>0</v>
      </c>
      <c r="D17" s="80" t="s">
        <v>100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customFormat="false" ht="12.75" hidden="false" customHeight="false" outlineLevel="0" collapsed="false">
      <c r="B18" s="176"/>
      <c r="C18" s="176"/>
      <c r="D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customFormat="false" ht="12.75" hidden="false" customHeight="false" outlineLevel="0" collapsed="false">
      <c r="B19" s="176"/>
      <c r="C19" s="176"/>
      <c r="D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customFormat="false" ht="12.75" hidden="false" customHeight="false" outlineLevel="0" collapsed="false">
      <c r="A20" s="90" t="s">
        <v>178</v>
      </c>
      <c r="B20" s="177" t="n">
        <v>10</v>
      </c>
      <c r="C20" s="177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customFormat="false" ht="12.75" hidden="false" customHeight="false" outlineLevel="0" collapsed="false">
      <c r="B21" s="176"/>
      <c r="C21" s="176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customFormat="false" ht="12.75" hidden="false" customHeight="false" outlineLevel="0" collapsed="false">
      <c r="B22" s="176"/>
      <c r="C22" s="176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customFormat="false" ht="12.75" hidden="false" customHeight="false" outlineLevel="0" collapsed="false">
      <c r="B23" s="176"/>
      <c r="C23" s="176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customFormat="false" ht="23.25" hidden="false" customHeight="false" outlineLevel="0" collapsed="false">
      <c r="A24" s="169" t="s">
        <v>160</v>
      </c>
      <c r="B24" s="180"/>
      <c r="C24" s="180"/>
    </row>
    <row r="25" customFormat="false" ht="12.75" hidden="false" customHeight="false" outlineLevel="0" collapsed="false">
      <c r="B25" s="181" t="s">
        <v>189</v>
      </c>
      <c r="C25" s="181"/>
      <c r="D25" s="171" t="s">
        <v>174</v>
      </c>
    </row>
    <row r="26" customFormat="false" ht="12.75" hidden="false" customHeight="false" outlineLevel="0" collapsed="false">
      <c r="A26" s="172" t="s">
        <v>175</v>
      </c>
      <c r="B26" s="182" t="s">
        <v>1</v>
      </c>
      <c r="C26" s="182" t="s">
        <v>176</v>
      </c>
      <c r="D26" s="173" t="s">
        <v>127</v>
      </c>
    </row>
    <row r="27" customFormat="false" ht="12.75" hidden="false" customHeight="false" outlineLevel="0" collapsed="false">
      <c r="A27" s="90"/>
      <c r="B27" s="183"/>
      <c r="C27" s="183"/>
    </row>
    <row r="28" customFormat="false" ht="12.75" hidden="false" customHeight="false" outlineLevel="0" collapsed="false">
      <c r="A28" s="84" t="s">
        <v>10</v>
      </c>
      <c r="B28" s="176"/>
      <c r="C28" s="176"/>
      <c r="D28" s="80"/>
      <c r="E28" s="80"/>
      <c r="F28" s="80"/>
      <c r="G28" s="80"/>
      <c r="H28" s="80"/>
      <c r="I28" s="80"/>
      <c r="J28" s="80"/>
    </row>
    <row r="29" customFormat="false" ht="12.75" hidden="false" customHeight="false" outlineLevel="0" collapsed="false">
      <c r="A29" s="175" t="s">
        <v>13</v>
      </c>
      <c r="B29" s="176" t="n">
        <v>3627</v>
      </c>
      <c r="C29" s="176" t="n">
        <v>2250285217.19</v>
      </c>
      <c r="D29" s="80" t="s">
        <v>86</v>
      </c>
      <c r="E29" s="80"/>
      <c r="F29" s="80"/>
      <c r="G29" s="80"/>
      <c r="H29" s="80"/>
      <c r="I29" s="80"/>
      <c r="J29" s="80"/>
    </row>
    <row r="30" customFormat="false" ht="12.75" hidden="false" customHeight="false" outlineLevel="0" collapsed="false">
      <c r="A30" s="175" t="s">
        <v>15</v>
      </c>
      <c r="B30" s="176" t="n">
        <v>2924</v>
      </c>
      <c r="C30" s="176" t="n">
        <v>31997546.39</v>
      </c>
      <c r="D30" s="80" t="s">
        <v>90</v>
      </c>
      <c r="E30" s="80"/>
      <c r="F30" s="80"/>
      <c r="G30" s="80"/>
      <c r="H30" s="80"/>
      <c r="I30" s="80"/>
      <c r="J30" s="80"/>
    </row>
    <row r="31" customFormat="false" ht="12.75" hidden="false" customHeight="false" outlineLevel="0" collapsed="false">
      <c r="A31" s="84" t="s">
        <v>21</v>
      </c>
      <c r="B31" s="177"/>
      <c r="C31" s="176"/>
      <c r="D31" s="80"/>
      <c r="E31" s="80"/>
      <c r="F31" s="80"/>
      <c r="G31" s="80"/>
      <c r="H31" s="80"/>
      <c r="I31" s="80"/>
      <c r="J31" s="80"/>
    </row>
    <row r="32" customFormat="false" ht="12.75" hidden="false" customHeight="false" outlineLevel="0" collapsed="false">
      <c r="A32" s="175" t="s">
        <v>26</v>
      </c>
      <c r="B32" s="176" t="n">
        <v>1728</v>
      </c>
      <c r="C32" s="176" t="n">
        <v>114156966.08</v>
      </c>
      <c r="D32" s="80" t="s">
        <v>97</v>
      </c>
      <c r="E32" s="80"/>
      <c r="F32" s="80"/>
      <c r="G32" s="80"/>
      <c r="H32" s="80"/>
      <c r="I32" s="80"/>
      <c r="J32" s="80"/>
    </row>
    <row r="33" customFormat="false" ht="12.75" hidden="false" customHeight="false" outlineLevel="0" collapsed="false">
      <c r="A33" s="175" t="s">
        <v>28</v>
      </c>
      <c r="B33" s="176" t="n">
        <v>15</v>
      </c>
      <c r="C33" s="176" t="n">
        <v>925498</v>
      </c>
      <c r="D33" s="80" t="s">
        <v>100</v>
      </c>
      <c r="E33" s="80"/>
      <c r="F33" s="80"/>
      <c r="G33" s="80"/>
      <c r="H33" s="80"/>
      <c r="I33" s="80"/>
      <c r="J33" s="80"/>
    </row>
    <row r="34" customFormat="false" ht="12.75" hidden="false" customHeight="false" outlineLevel="0" collapsed="false">
      <c r="A34" s="175" t="s">
        <v>177</v>
      </c>
      <c r="B34" s="176" t="n">
        <v>11</v>
      </c>
      <c r="C34" s="176" t="n">
        <v>4804000</v>
      </c>
      <c r="D34" s="80" t="s">
        <v>100</v>
      </c>
      <c r="E34" s="80"/>
      <c r="F34" s="80"/>
      <c r="G34" s="80"/>
      <c r="H34" s="80"/>
      <c r="I34" s="80"/>
      <c r="J34" s="80"/>
    </row>
    <row r="35" customFormat="false" ht="12.75" hidden="false" customHeight="false" outlineLevel="0" collapsed="false">
      <c r="A35" s="175" t="s">
        <v>31</v>
      </c>
      <c r="B35" s="176" t="n">
        <v>8</v>
      </c>
      <c r="C35" s="176" t="n">
        <v>27600</v>
      </c>
      <c r="D35" s="80" t="s">
        <v>103</v>
      </c>
      <c r="E35" s="80"/>
      <c r="F35" s="80"/>
      <c r="G35" s="80"/>
      <c r="H35" s="80"/>
      <c r="I35" s="80"/>
      <c r="J35" s="80"/>
    </row>
    <row r="36" customFormat="false" ht="12.75" hidden="false" customHeight="false" outlineLevel="0" collapsed="false">
      <c r="A36" s="175" t="s">
        <v>23</v>
      </c>
      <c r="B36" s="176" t="n">
        <v>477</v>
      </c>
      <c r="C36" s="176" t="n">
        <v>0</v>
      </c>
      <c r="D36" s="80" t="s">
        <v>105</v>
      </c>
      <c r="E36" s="80"/>
      <c r="F36" s="80"/>
      <c r="G36" s="80"/>
      <c r="H36" s="80"/>
      <c r="I36" s="80"/>
      <c r="J36" s="80"/>
    </row>
    <row r="37" customFormat="false" ht="12.75" hidden="false" customHeight="false" outlineLevel="0" collapsed="false">
      <c r="A37" s="175" t="s">
        <v>33</v>
      </c>
      <c r="B37" s="176" t="n">
        <v>5</v>
      </c>
      <c r="C37" s="176" t="n">
        <v>25000</v>
      </c>
      <c r="D37" s="80" t="s">
        <v>107</v>
      </c>
      <c r="E37" s="80"/>
      <c r="F37" s="80"/>
      <c r="G37" s="80"/>
      <c r="H37" s="80"/>
      <c r="I37" s="80"/>
      <c r="J37" s="80"/>
    </row>
    <row r="38" customFormat="false" ht="12.75" hidden="false" customHeight="false" outlineLevel="0" collapsed="false">
      <c r="A38" s="84" t="s">
        <v>39</v>
      </c>
      <c r="B38" s="177"/>
      <c r="C38" s="176"/>
      <c r="D38" s="80"/>
      <c r="E38" s="80"/>
      <c r="F38" s="80"/>
      <c r="G38" s="80"/>
      <c r="H38" s="80"/>
      <c r="I38" s="80"/>
      <c r="J38" s="80"/>
    </row>
    <row r="39" customFormat="false" ht="12.75" hidden="false" customHeight="false" outlineLevel="0" collapsed="false">
      <c r="A39" s="175" t="s">
        <v>181</v>
      </c>
      <c r="B39" s="186" t="n">
        <v>59</v>
      </c>
      <c r="C39" s="186" t="n">
        <v>123064.14</v>
      </c>
      <c r="D39" s="80" t="s">
        <v>100</v>
      </c>
      <c r="E39" s="80"/>
      <c r="F39" s="80"/>
      <c r="G39" s="80"/>
      <c r="H39" s="80"/>
      <c r="I39" s="80"/>
      <c r="J39" s="80"/>
    </row>
    <row r="40" customFormat="false" ht="12.75" hidden="false" customHeight="false" outlineLevel="0" collapsed="false">
      <c r="A40" s="175" t="s">
        <v>40</v>
      </c>
      <c r="B40" s="176" t="n">
        <v>35</v>
      </c>
      <c r="C40" s="176" t="n">
        <v>4537</v>
      </c>
      <c r="D40" s="80" t="s">
        <v>100</v>
      </c>
      <c r="E40" s="80"/>
      <c r="F40" s="80"/>
      <c r="G40" s="80"/>
      <c r="H40" s="80"/>
      <c r="I40" s="80"/>
      <c r="J40" s="80"/>
    </row>
    <row r="41" customFormat="false" ht="12.75" hidden="false" customHeight="false" outlineLevel="0" collapsed="false">
      <c r="A41" s="175"/>
      <c r="B41" s="176"/>
      <c r="C41" s="176"/>
      <c r="D41" s="80"/>
      <c r="E41" s="80"/>
      <c r="F41" s="80"/>
      <c r="G41" s="80"/>
      <c r="H41" s="80"/>
      <c r="I41" s="80"/>
      <c r="J41" s="80"/>
    </row>
    <row r="42" customFormat="false" ht="12.75" hidden="false" customHeight="false" outlineLevel="0" collapsed="false">
      <c r="B42" s="176"/>
      <c r="C42" s="176" t="n">
        <v>26520</v>
      </c>
      <c r="D42" s="81" t="s">
        <v>190</v>
      </c>
      <c r="E42" s="80"/>
      <c r="F42" s="80"/>
      <c r="G42" s="80"/>
      <c r="H42" s="80"/>
      <c r="I42" s="80"/>
      <c r="J42" s="80"/>
    </row>
    <row r="43" customFormat="false" ht="12.75" hidden="false" customHeight="false" outlineLevel="0" collapsed="false">
      <c r="B43" s="176"/>
      <c r="C43" s="176"/>
      <c r="D43" s="80" t="s">
        <v>191</v>
      </c>
      <c r="E43" s="80"/>
      <c r="F43" s="80"/>
      <c r="G43" s="80"/>
      <c r="H43" s="80"/>
      <c r="I43" s="80"/>
      <c r="J43" s="80"/>
    </row>
    <row r="44" customFormat="false" ht="23.25" hidden="false" customHeight="false" outlineLevel="0" collapsed="false">
      <c r="A44" s="169" t="s">
        <v>182</v>
      </c>
      <c r="B44" s="180"/>
      <c r="C44" s="180"/>
    </row>
    <row r="45" customFormat="false" ht="12.75" hidden="false" customHeight="false" outlineLevel="0" collapsed="false">
      <c r="B45" s="170" t="s">
        <v>189</v>
      </c>
      <c r="C45" s="170"/>
      <c r="D45" s="171" t="s">
        <v>174</v>
      </c>
    </row>
    <row r="46" customFormat="false" ht="12.75" hidden="false" customHeight="false" outlineLevel="0" collapsed="false">
      <c r="A46" s="172" t="s">
        <v>175</v>
      </c>
      <c r="B46" s="75" t="s">
        <v>1</v>
      </c>
      <c r="C46" s="75" t="s">
        <v>176</v>
      </c>
      <c r="D46" s="173" t="s">
        <v>127</v>
      </c>
    </row>
    <row r="48" customFormat="false" ht="12.75" hidden="false" customHeight="false" outlineLevel="0" collapsed="false">
      <c r="A48" s="84" t="s">
        <v>39</v>
      </c>
      <c r="B48" s="35"/>
      <c r="C48" s="35"/>
    </row>
    <row r="49" customFormat="false" ht="12.75" hidden="false" customHeight="false" outlineLevel="0" collapsed="false">
      <c r="A49" s="175" t="s">
        <v>37</v>
      </c>
      <c r="B49" s="35" t="n">
        <v>3</v>
      </c>
      <c r="C49" s="35" t="n">
        <v>282000</v>
      </c>
      <c r="D49" s="180" t="s">
        <v>183</v>
      </c>
      <c r="E49" s="180"/>
    </row>
    <row r="50" customFormat="false" ht="12.75" hidden="false" customHeight="false" outlineLevel="0" collapsed="false">
      <c r="A50" s="175" t="s">
        <v>32</v>
      </c>
      <c r="B50" s="35"/>
      <c r="C50" s="35"/>
      <c r="D50" s="180"/>
      <c r="E50" s="180"/>
    </row>
    <row r="51" customFormat="false" ht="12.75" hidden="false" customHeight="false" outlineLevel="0" collapsed="false">
      <c r="A51" s="175" t="s">
        <v>163</v>
      </c>
      <c r="B51" s="35" t="n">
        <v>2</v>
      </c>
      <c r="C51" s="35" t="n">
        <v>6660</v>
      </c>
      <c r="D51" s="180" t="s">
        <v>184</v>
      </c>
      <c r="E51" s="180"/>
    </row>
    <row r="52" customFormat="false" ht="12.75" hidden="false" customHeight="false" outlineLevel="0" collapsed="false">
      <c r="B52" s="180"/>
      <c r="C52" s="180"/>
      <c r="D52" s="180"/>
      <c r="E52" s="180"/>
    </row>
    <row r="53" customFormat="false" ht="12.75" hidden="false" customHeight="false" outlineLevel="0" collapsed="false">
      <c r="A53" s="90" t="s">
        <v>185</v>
      </c>
      <c r="B53" s="183" t="n">
        <v>1</v>
      </c>
      <c r="C53" s="183"/>
      <c r="D53" s="180"/>
      <c r="E53" s="180"/>
    </row>
    <row r="54" customFormat="false" ht="12.75" hidden="false" customHeight="false" outlineLevel="0" collapsed="false">
      <c r="B54" s="180"/>
      <c r="C54" s="180"/>
      <c r="D54" s="180"/>
      <c r="E54" s="180"/>
    </row>
    <row r="55" customFormat="false" ht="12.75" hidden="false" customHeight="false" outlineLevel="0" collapsed="false">
      <c r="A55" s="87" t="s">
        <v>186</v>
      </c>
      <c r="B55" s="180"/>
      <c r="C55" s="184" t="n">
        <v>282</v>
      </c>
      <c r="D55" s="180"/>
      <c r="E55" s="180"/>
    </row>
    <row r="56" customFormat="false" ht="12.75" hidden="false" customHeight="false" outlineLevel="0" collapsed="false">
      <c r="B56" s="180"/>
      <c r="C56" s="180"/>
      <c r="D56" s="180"/>
      <c r="E56" s="180"/>
    </row>
    <row r="57" customFormat="false" ht="12.75" hidden="false" customHeight="false" outlineLevel="0" collapsed="false">
      <c r="B57" s="180"/>
      <c r="C57" s="180"/>
      <c r="D57" s="180"/>
      <c r="E57" s="180"/>
    </row>
    <row r="58" customFormat="false" ht="12.75" hidden="false" customHeight="false" outlineLevel="0" collapsed="false">
      <c r="A58" s="84" t="s">
        <v>187</v>
      </c>
      <c r="B58" s="183"/>
      <c r="C58" s="185" t="n">
        <v>134543.14</v>
      </c>
      <c r="D58" s="183"/>
      <c r="E58" s="183"/>
      <c r="F58" s="90"/>
    </row>
    <row r="59" customFormat="false" ht="12.75" hidden="false" customHeight="false" outlineLevel="0" collapsed="false">
      <c r="B59" s="180"/>
      <c r="C59" s="180"/>
      <c r="D59" s="180"/>
    </row>
    <row r="60" customFormat="false" ht="12.75" hidden="false" customHeight="false" outlineLevel="0" collapsed="false">
      <c r="B60" s="180"/>
      <c r="C60" s="180"/>
      <c r="D60" s="180"/>
    </row>
    <row r="61" customFormat="false" ht="12.75" hidden="false" customHeight="false" outlineLevel="0" collapsed="false">
      <c r="B61" s="180"/>
      <c r="C61" s="180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jreimer</cp:lastModifiedBy>
  <cp:lastPrinted>2001-05-31T19:31:04Z</cp:lastPrinted>
  <dcterms:modified xsi:type="dcterms:W3CDTF">2001-05-31T19:33:16Z</dcterms:modified>
  <cp:revision>0</cp:revision>
  <dc:subject/>
  <dc:title/>
</cp:coreProperties>
</file>