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 Report" sheetId="1" state="visible" r:id="rId3"/>
    <sheet name="Data" sheetId="2" state="hidden" r:id="rId4"/>
    <sheet name="EIM New Deals" sheetId="3" state="hidden" r:id="rId5"/>
    <sheet name="WE 2-22 EOL Data" sheetId="4" state="hidden" r:id="rId6"/>
    <sheet name="WE 2-28 EOL Data" sheetId="5" state="hidden" r:id="rId7"/>
    <sheet name="WE 3-7 EOL Data" sheetId="6" state="hidden" r:id="rId8"/>
    <sheet name="WE 2-15 EOL Data" sheetId="7" state="hidden" r:id="rId9"/>
    <sheet name="WE 2-8 EOL Data" sheetId="8" state="hidden" r:id="rId10"/>
    <sheet name="WE 3-14 EOL Data" sheetId="9" state="hidden" r:id="rId11"/>
    <sheet name="WE 3-21 EOL Data" sheetId="10" state="hidden" r:id="rId12"/>
    <sheet name="WE 3-28 EOL Data" sheetId="11" state="hidden" r:id="rId13"/>
    <sheet name="WE 4-4 EOL Data" sheetId="12" state="hidden" r:id="rId14"/>
    <sheet name="WE 2-1 EOL Data" sheetId="13" state="hidden" r:id="rId15"/>
    <sheet name="template from individuals" sheetId="14" state="hidden" r:id="rId16"/>
    <sheet name="template from eol" sheetId="15" state="hidden" r:id="rId17"/>
    <sheet name="Data People" sheetId="16" state="hidden" r:id="rId18"/>
  </sheets>
  <externalReferences>
    <externalReference r:id="rId19"/>
    <externalReference r:id="rId20"/>
    <externalReference r:id="rId21"/>
  </externalReferences>
  <definedNames>
    <definedName function="false" hidden="false" localSheetId="1" name="_xlnm.Print_Area" vbProcedure="false">Data!$E$10:$V$79</definedName>
    <definedName function="false" hidden="false" localSheetId="2" name="_xlnm.Print_Area" vbProcedure="false">'EIM New Deals'!$T$1:$AA$33</definedName>
    <definedName function="false" hidden="false" localSheetId="2" name="_xlnm.Print_Titles" vbProcedure="false">'EIM New Deals'!$A:$A</definedName>
    <definedName function="false" hidden="false" localSheetId="13" name="_xlnm.Print_Area" vbProcedure="false">'template from individuals'!$A$1:$I$33</definedName>
    <definedName function="false" hidden="false" localSheetId="0" name="_xlnm.Print_Area" vbProcedure="false">'Weekly Report'!$A$1:$W$87</definedName>
    <definedName function="false" hidden="false" name="DATARANGE" vbProcedure="false">[3]DATA!$A$3:$Y$93</definedName>
    <definedName function="false" hidden="false" name="DATE" vbProcedure="false">[3]DATA!$C$1</definedName>
    <definedName function="false" hidden="false" name="SUMM_ALLOC" vbProcedure="false">[3]ALLOCATION!$A$6:$C$48</definedName>
    <definedName function="false" hidden="false" localSheetId="1" name="Excel_BuiltIn__FilterDatabase" vbProcedure="false">Data!$A$87:$G$111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<sst xmlns="http://schemas.openxmlformats.org/spreadsheetml/2006/main" count="1475" uniqueCount="208">
  <si>
    <t xml:space="preserve">Principal Projects / Deals:</t>
  </si>
  <si>
    <t xml:space="preserve">New Deals</t>
  </si>
  <si>
    <t xml:space="preserve">Physical Volume of New Deals</t>
  </si>
  <si>
    <t xml:space="preserve">Operational Risk:</t>
  </si>
  <si>
    <t xml:space="preserve">3/1-3/7</t>
  </si>
  <si>
    <t xml:space="preserve">3/8-3/14</t>
  </si>
  <si>
    <t xml:space="preserve">3/15-3/21</t>
  </si>
  <si>
    <t xml:space="preserve">3/22-3/28</t>
  </si>
  <si>
    <t xml:space="preserve">3/29-4/4</t>
  </si>
  <si>
    <t xml:space="preserve">Total</t>
  </si>
  <si>
    <t xml:space="preserve">-  HPL Divestiture - completed work on cash account amendment </t>
  </si>
  <si>
    <t xml:space="preserve">EA</t>
  </si>
  <si>
    <r>
      <rPr>
        <b val="true"/>
        <sz val="12"/>
        <rFont val="Arial"/>
        <family val="2"/>
      </rPr>
      <t xml:space="preserve"> EA </t>
    </r>
    <r>
      <rPr>
        <b val="true"/>
        <sz val="10"/>
        <rFont val="Arial"/>
        <family val="2"/>
      </rPr>
      <t xml:space="preserve">(in millions)</t>
    </r>
  </si>
  <si>
    <t xml:space="preserve">  and continued work on transition protocol.</t>
  </si>
  <si>
    <t xml:space="preserve">Gas</t>
  </si>
  <si>
    <r>
      <rPr>
        <sz val="12"/>
        <rFont val="Arial"/>
        <family val="2"/>
      </rPr>
      <t xml:space="preserve">Gas</t>
    </r>
    <r>
      <rPr>
        <sz val="10"/>
        <rFont val="Arial"/>
        <family val="2"/>
      </rPr>
      <t xml:space="preserve"> (MMBTU)</t>
    </r>
  </si>
  <si>
    <t xml:space="preserve">-  Quarter end DPR / MPR.</t>
  </si>
  <si>
    <t xml:space="preserve">Power</t>
  </si>
  <si>
    <r>
      <rPr>
        <sz val="12"/>
        <rFont val="Arial"/>
        <family val="2"/>
      </rPr>
      <t xml:space="preserve">Power</t>
    </r>
    <r>
      <rPr>
        <sz val="10"/>
        <rFont val="Arial"/>
        <family val="2"/>
      </rPr>
      <t xml:space="preserve"> (MHtz)</t>
    </r>
  </si>
  <si>
    <t xml:space="preserve">-  Entelligence analysis ongoing.</t>
  </si>
  <si>
    <t xml:space="preserve">% of EA from EOL</t>
  </si>
  <si>
    <r>
      <rPr>
        <b val="true"/>
        <sz val="12"/>
        <rFont val="Arial"/>
        <family val="2"/>
      </rPr>
      <t xml:space="preserve"> EGM </t>
    </r>
    <r>
      <rPr>
        <b val="true"/>
        <sz val="10"/>
        <rFont val="Arial"/>
        <family val="2"/>
      </rPr>
      <t xml:space="preserve">(in thousands)</t>
    </r>
  </si>
  <si>
    <t xml:space="preserve">-  Denver, Calgary Doorstep Reviews completed.</t>
  </si>
  <si>
    <t xml:space="preserve">EGM</t>
  </si>
  <si>
    <r>
      <rPr>
        <sz val="12"/>
        <rFont val="Arial"/>
        <family val="2"/>
      </rPr>
      <t xml:space="preserve">Liquids </t>
    </r>
    <r>
      <rPr>
        <sz val="10"/>
        <rFont val="Arial"/>
        <family val="2"/>
      </rPr>
      <t xml:space="preserve">(BBL)</t>
    </r>
  </si>
  <si>
    <t xml:space="preserve">IR/FX</t>
  </si>
  <si>
    <r>
      <rPr>
        <sz val="12"/>
        <rFont val="Arial"/>
        <family val="2"/>
      </rPr>
      <t xml:space="preserve">Coal</t>
    </r>
    <r>
      <rPr>
        <sz val="10"/>
        <rFont val="Arial"/>
        <family val="2"/>
      </rPr>
      <t xml:space="preserve"> (Tonne)</t>
    </r>
  </si>
  <si>
    <t xml:space="preserve">Liquids</t>
  </si>
  <si>
    <r>
      <rPr>
        <sz val="12"/>
        <rFont val="Arial"/>
        <family val="2"/>
      </rPr>
      <t xml:space="preserve">Emissions </t>
    </r>
    <r>
      <rPr>
        <sz val="10"/>
        <rFont val="Arial"/>
        <family val="2"/>
      </rPr>
      <t xml:space="preserve">(Contracts)</t>
    </r>
  </si>
  <si>
    <t xml:space="preserve">Coal</t>
  </si>
  <si>
    <r>
      <rPr>
        <b val="true"/>
        <sz val="12"/>
        <rFont val="Arial"/>
        <family val="2"/>
      </rPr>
      <t xml:space="preserve">EIM Total* </t>
    </r>
    <r>
      <rPr>
        <b val="true"/>
        <sz val="10"/>
        <rFont val="Arial"/>
        <family val="2"/>
      </rPr>
      <t xml:space="preserve">(Tonne)</t>
    </r>
  </si>
  <si>
    <t xml:space="preserve">Commercialization of Services:</t>
  </si>
  <si>
    <t xml:space="preserve">Weather</t>
  </si>
  <si>
    <t xml:space="preserve">Newsprint</t>
  </si>
  <si>
    <t xml:space="preserve">-  Origination presentation being drafted.</t>
  </si>
  <si>
    <t xml:space="preserve">Emissions</t>
  </si>
  <si>
    <t xml:space="preserve">Pulp</t>
  </si>
  <si>
    <t xml:space="preserve">-  Continuing work on pricing desk, revenue model, quantification</t>
  </si>
  <si>
    <t xml:space="preserve">% of EGM from EOL</t>
  </si>
  <si>
    <t xml:space="preserve">Lumber</t>
  </si>
  <si>
    <t xml:space="preserve">  of start up costs, marketing tools / plan / staff.</t>
  </si>
  <si>
    <t xml:space="preserve">EIM</t>
  </si>
  <si>
    <t xml:space="preserve">Steel</t>
  </si>
  <si>
    <t xml:space="preserve">-  Meeting on Service Risks for SLA.</t>
  </si>
  <si>
    <t xml:space="preserve">* Breakout of EIM volumes not available at this time</t>
  </si>
  <si>
    <t xml:space="preserve">New Counterparties</t>
  </si>
  <si>
    <t xml:space="preserve">E-Commerce</t>
  </si>
  <si>
    <t xml:space="preserve">% of EIM from EOL</t>
  </si>
  <si>
    <t xml:space="preserve">Non E-Commerce</t>
  </si>
  <si>
    <t xml:space="preserve">Contracts</t>
  </si>
  <si>
    <t xml:space="preserve">Physical Gas</t>
  </si>
  <si>
    <t xml:space="preserve">Gas On-System</t>
  </si>
  <si>
    <t xml:space="preserve">Gas Off-System</t>
  </si>
  <si>
    <t xml:space="preserve">Financial Gas</t>
  </si>
  <si>
    <t xml:space="preserve">Buy</t>
  </si>
  <si>
    <t xml:space="preserve">Physical Power</t>
  </si>
  <si>
    <t xml:space="preserve">Sell</t>
  </si>
  <si>
    <t xml:space="preserve">Financial Power</t>
  </si>
  <si>
    <t xml:space="preserve">Transport</t>
  </si>
  <si>
    <t xml:space="preserve">Physical Lumber</t>
  </si>
  <si>
    <t xml:space="preserve">Storage</t>
  </si>
  <si>
    <t xml:space="preserve">Financial Lumber</t>
  </si>
  <si>
    <t xml:space="preserve">Physical Newsprint</t>
  </si>
  <si>
    <t xml:space="preserve">Financial Newsprint</t>
  </si>
  <si>
    <t xml:space="preserve">Financial Liquids</t>
  </si>
  <si>
    <t xml:space="preserve">12/29 - 1/4</t>
  </si>
  <si>
    <t xml:space="preserve">1/5 - 1/11</t>
  </si>
  <si>
    <t xml:space="preserve">1/12 - 1/18</t>
  </si>
  <si>
    <t xml:space="preserve">1/19 - 1/25</t>
  </si>
  <si>
    <t xml:space="preserve">1/26 - 2/1</t>
  </si>
  <si>
    <t xml:space="preserve">2/2 - 2/8</t>
  </si>
  <si>
    <t xml:space="preserve">2/9 - 2/15</t>
  </si>
  <si>
    <t xml:space="preserve">2/16 - 2/22</t>
  </si>
  <si>
    <t xml:space="preserve">2/23 - 2/28</t>
  </si>
  <si>
    <t xml:space="preserve">3/1 - 3/7</t>
  </si>
  <si>
    <t xml:space="preserve">3/8 - 3/14</t>
  </si>
  <si>
    <t xml:space="preserve">3/15 - 3/21</t>
  </si>
  <si>
    <t xml:space="preserve">3/22 - 3/28</t>
  </si>
  <si>
    <t xml:space="preserve">3/29 - 4/4</t>
  </si>
  <si>
    <t xml:space="preserve">4/5 - 4/11</t>
  </si>
  <si>
    <t xml:space="preserve">Gas </t>
  </si>
  <si>
    <t xml:space="preserve">MMBTU</t>
  </si>
  <si>
    <t xml:space="preserve">Non EOL</t>
  </si>
  <si>
    <t xml:space="preserve">EOL</t>
  </si>
  <si>
    <t xml:space="preserve">Power </t>
  </si>
  <si>
    <t xml:space="preserve">MHtz</t>
  </si>
  <si>
    <t xml:space="preserve">% From EOL</t>
  </si>
  <si>
    <t xml:space="preserve">Total Non EOL</t>
  </si>
  <si>
    <t xml:space="preserve">Total EOL</t>
  </si>
  <si>
    <t xml:space="preserve">Physical Pulp</t>
  </si>
  <si>
    <t xml:space="preserve">Financial Pulp</t>
  </si>
  <si>
    <t xml:space="preserve">IR/FX </t>
  </si>
  <si>
    <t xml:space="preserve">BBL</t>
  </si>
  <si>
    <t xml:space="preserve">Physical Steel</t>
  </si>
  <si>
    <t xml:space="preserve">Liquids </t>
  </si>
  <si>
    <t xml:space="preserve">TONNE</t>
  </si>
  <si>
    <t xml:space="preserve">Financial Steel</t>
  </si>
  <si>
    <t xml:space="preserve">Coal </t>
  </si>
  <si>
    <t xml:space="preserve">HDD/CDD</t>
  </si>
  <si>
    <t xml:space="preserve">Weather </t>
  </si>
  <si>
    <t xml:space="preserve">USD</t>
  </si>
  <si>
    <t xml:space="preserve">Physical Liquids</t>
  </si>
  <si>
    <t xml:space="preserve">CONTRACTS</t>
  </si>
  <si>
    <t xml:space="preserve">Newsprint </t>
  </si>
  <si>
    <t xml:space="preserve">M&amp;A</t>
  </si>
  <si>
    <t xml:space="preserve">Legal</t>
  </si>
  <si>
    <t xml:space="preserve">Lease</t>
  </si>
  <si>
    <t xml:space="preserve">Auction</t>
  </si>
  <si>
    <t xml:space="preserve">Volumes</t>
  </si>
  <si>
    <t xml:space="preserve">Others</t>
  </si>
  <si>
    <t xml:space="preserve">Gas (MMBTU)</t>
  </si>
  <si>
    <t xml:space="preserve">Power (MHtz)</t>
  </si>
  <si>
    <t xml:space="preserve">Total EIM (Tonne)</t>
  </si>
  <si>
    <t xml:space="preserve">Liquids (BBL)</t>
  </si>
  <si>
    <t xml:space="preserve">Coal (Tonne)</t>
  </si>
  <si>
    <t xml:space="preserve">Emissions (Contracts)</t>
  </si>
  <si>
    <t xml:space="preserve">Weather (HDD/CDD)</t>
  </si>
  <si>
    <t xml:space="preserve">IR/FX (USD)</t>
  </si>
  <si>
    <t xml:space="preserve">ENA</t>
  </si>
  <si>
    <t xml:space="preserve">Date</t>
  </si>
  <si>
    <t xml:space="preserve">Unit Type</t>
  </si>
  <si>
    <t xml:space="preserve">Commodity</t>
  </si>
  <si>
    <t xml:space="preserve">Units</t>
  </si>
  <si>
    <t xml:space="preserve">Wk 1</t>
  </si>
  <si>
    <t xml:space="preserve">Loads</t>
  </si>
  <si>
    <t xml:space="preserve">Bails</t>
  </si>
  <si>
    <t xml:space="preserve">Bars</t>
  </si>
  <si>
    <t xml:space="preserve">Buckets</t>
  </si>
  <si>
    <t xml:space="preserve">Tons</t>
  </si>
  <si>
    <t xml:space="preserve">Liquid</t>
  </si>
  <si>
    <t xml:space="preserve">Lumps</t>
  </si>
  <si>
    <t xml:space="preserve">Wk 2</t>
  </si>
  <si>
    <t xml:space="preserve">Wk 3</t>
  </si>
  <si>
    <t xml:space="preserve">New Deals for</t>
  </si>
  <si>
    <t xml:space="preserve">JANUARY</t>
  </si>
  <si>
    <t xml:space="preserve">FEBRUARY</t>
  </si>
  <si>
    <t xml:space="preserve">MARCH</t>
  </si>
  <si>
    <t xml:space="preserve">APRIL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</si>
  <si>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</si>
  <si>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</si>
  <si>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</si>
  <si>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</si>
  <si>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Week Ending 1</t>
  </si>
  <si>
    <t xml:space="preserve">Week Ending 8</t>
  </si>
  <si>
    <t xml:space="preserve">Week Ending 16</t>
  </si>
  <si>
    <t xml:space="preserve">Week Ending 22</t>
  </si>
  <si>
    <t xml:space="preserve">Week Ending 28</t>
  </si>
  <si>
    <t xml:space="preserve">Week Ending 7</t>
  </si>
  <si>
    <t xml:space="preserve">Week Ending 14</t>
  </si>
  <si>
    <t xml:space="preserve">Week Ending 21</t>
  </si>
  <si>
    <t xml:space="preserve">Non-EOL</t>
  </si>
  <si>
    <t xml:space="preserve">Financial</t>
  </si>
  <si>
    <t xml:space="preserve">Gas (Calgary)</t>
  </si>
  <si>
    <t xml:space="preserve">Gas (Houston)</t>
  </si>
  <si>
    <t xml:space="preserve">Power (Houston)</t>
  </si>
  <si>
    <t xml:space="preserve">Power (Calgary)</t>
  </si>
  <si>
    <t xml:space="preserve">Pulp (recycled paper)</t>
  </si>
  <si>
    <t xml:space="preserve">Physical</t>
  </si>
  <si>
    <t xml:space="preserve">Week ending 2/22</t>
  </si>
  <si>
    <t xml:space="preserve">Volumetric</t>
  </si>
  <si>
    <t xml:space="preserve">New Deals for:</t>
  </si>
  <si>
    <t xml:space="preserve">Volume</t>
  </si>
  <si>
    <t xml:space="preserve">Coal International</t>
  </si>
  <si>
    <t xml:space="preserve">Pulp &amp; Paper</t>
  </si>
  <si>
    <t xml:space="preserve">Number of new EOL Counterparties</t>
  </si>
  <si>
    <t xml:space="preserve">Clickpaper</t>
  </si>
  <si>
    <t xml:space="preserve">Board Feet</t>
  </si>
  <si>
    <t xml:space="preserve">Metric Tonnes</t>
  </si>
  <si>
    <t xml:space="preserve">Number of new CP Counterparties</t>
  </si>
  <si>
    <t xml:space="preserve">Lumber Converted</t>
  </si>
  <si>
    <t xml:space="preserve">EIM TOTAL</t>
  </si>
  <si>
    <t xml:space="preserve">Week ending 2/28</t>
  </si>
  <si>
    <t xml:space="preserve">Week ending 3/07</t>
  </si>
  <si>
    <t xml:space="preserve">Week ending 2/15</t>
  </si>
  <si>
    <t xml:space="preserve">Week ending 2/8</t>
  </si>
  <si>
    <t xml:space="preserve">Week ending 3/14</t>
  </si>
  <si>
    <t xml:space="preserve">Week ending 3/21</t>
  </si>
  <si>
    <t xml:space="preserve">Week ending 3/28</t>
  </si>
  <si>
    <t xml:space="preserve">Week ending 04/04</t>
  </si>
  <si>
    <t xml:space="preserve">Week ending 2/1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</si>
  <si>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</si>
  <si>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</si>
  <si>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</si>
  <si>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</si>
  <si>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Total Manual</t>
  </si>
  <si>
    <t xml:space="preserve">EOL Manual compare</t>
  </si>
  <si>
    <t xml:space="preserve">Week ending 4th</t>
  </si>
  <si>
    <t xml:space="preserve">Week ending 11th</t>
  </si>
  <si>
    <t xml:space="preserve">Week ending 18</t>
  </si>
  <si>
    <t xml:space="preserve">Week ending 25</t>
  </si>
  <si>
    <t xml:space="preserve">Non-EOL New Deals</t>
  </si>
  <si>
    <t xml:space="preserve">EOL New Deals</t>
  </si>
  <si>
    <t xml:space="preserve">Volume Moved</t>
  </si>
  <si>
    <t xml:space="preserve">New Contracts</t>
  </si>
  <si>
    <t xml:space="preserve">Laurel Adams</t>
  </si>
  <si>
    <t xml:space="preserve">Torrey Moorer</t>
  </si>
  <si>
    <t xml:space="preserve">Brian Gillis</t>
  </si>
  <si>
    <t xml:space="preserve">Kevin Heal</t>
  </si>
  <si>
    <t xml:space="preserve">Joe Hunter</t>
  </si>
  <si>
    <t xml:space="preserve">Pulp and Paper</t>
  </si>
  <si>
    <t xml:space="preserve">Mike Perun</t>
  </si>
  <si>
    <t xml:space="preserve">OPM</t>
  </si>
  <si>
    <t xml:space="preserve">Diane Cook</t>
  </si>
  <si>
    <t xml:space="preserve">Leslie Reeves</t>
  </si>
  <si>
    <t xml:space="preserve">?</t>
  </si>
  <si>
    <t xml:space="preserve">Global</t>
  </si>
  <si>
    <t xml:space="preserve">Mary Gosnell</t>
  </si>
  <si>
    <t xml:space="preserve">Linda Bryan, Cheryl Dudley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</si>
</sst>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_(* #,##0_);_(* \(#,##0\);_(* \-_);_(@_)"/>
    <numFmt numFmtId="169" formatCode="#,##0"/>
    <numFmt numFmtId="170" formatCode="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3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 val="true"/>
      <sz val="14"/>
      <name val="Arial"/>
      <family val="2"/>
    </font>
    <font>
      <b val="true"/>
      <sz val="10.75"/>
      <name val="Arial"/>
      <family val="2"/>
    </font>
    <font>
      <sz val="10.75"/>
      <color rgb="FF000000"/>
      <name val="Arial"/>
      <family val="2"/>
    </font>
    <font>
      <sz val="9.75"/>
      <color rgb="FF000000"/>
      <name val="Arial"/>
      <family val="2"/>
    </font>
    <font>
      <sz val="10.5"/>
      <color rgb="FF000000"/>
      <name val="Arial"/>
      <family val="2"/>
    </font>
    <font>
      <sz val="9.5"/>
      <color rgb="FF000000"/>
      <name val="Arial"/>
      <family val="2"/>
    </font>
    <font>
      <b val="true"/>
      <sz val="11"/>
      <name val="Arial"/>
      <family val="2"/>
    </font>
    <font>
      <sz val="10.25"/>
      <color rgb="FF000000"/>
      <name val="Arial"/>
      <family val="2"/>
    </font>
    <font>
      <sz val="9.25"/>
      <color rgb="FF000000"/>
      <name val="Arial"/>
      <family val="2"/>
    </font>
    <font>
      <b val="true"/>
      <u val="single"/>
      <sz val="18"/>
      <name val="Arial"/>
      <family val="2"/>
    </font>
    <font>
      <sz val="10"/>
      <color rgb="FFFF0000"/>
      <name val="Arial"/>
      <family val="2"/>
    </font>
    <font>
      <b val="true"/>
      <sz val="11.2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left" vertical="bottom" textRotation="0" wrapText="false" indent="4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4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6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8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6" fontId="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2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4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2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4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5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9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EGM</a:t>
            </a:r>
            <a:r>
              <a:rPr b="1" sz="1200" strike="noStrike" u="none">
                <a:uFillTx/>
                <a:latin typeface="Arial"/>
              </a:rPr>
              <a:t> 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237906423473434"/>
          <c:y val="0.13460624306766"/>
          <c:w val="0.95400475812847"/>
          <c:h val="0.8112026620186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Data!$E$23</c:f>
              <c:strCache>
                <c:ptCount val="1"/>
                <c:pt idx="0">
                  <c:v>IR/FX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Data!$O$22:$S$22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Data!$O$23:$S$23</c:f>
              <c:numCache>
                <c:formatCode>#,##0</c:formatCode>
                <c:ptCount val="5"/>
                <c:pt idx="0">
                  <c:v>174</c:v>
                </c:pt>
                <c:pt idx="1">
                  <c:v>596</c:v>
                </c:pt>
                <c:pt idx="2">
                  <c:v>306</c:v>
                </c:pt>
                <c:pt idx="3">
                  <c:v>552</c:v>
                </c:pt>
                <c:pt idx="4">
                  <c:v>537</c:v>
                </c:pt>
              </c:numCache>
            </c:numRef>
          </c:val>
        </c:ser>
        <c:ser>
          <c:idx val="1"/>
          <c:order val="1"/>
          <c:tx>
            <c:strRef>
              <c:f>Data!$E$26</c:f>
              <c:strCache>
                <c:ptCount val="1"/>
                <c:pt idx="0">
                  <c:v>Liquids 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2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Data!$O$22:$S$22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Data!$O$26:$S$26</c:f>
              <c:numCache>
                <c:formatCode>#,##0</c:formatCode>
                <c:ptCount val="5"/>
                <c:pt idx="0">
                  <c:v>3101</c:v>
                </c:pt>
                <c:pt idx="1">
                  <c:v>3017</c:v>
                </c:pt>
                <c:pt idx="2">
                  <c:v>2897</c:v>
                </c:pt>
                <c:pt idx="3">
                  <c:v>2820</c:v>
                </c:pt>
                <c:pt idx="4">
                  <c:v>2992</c:v>
                </c:pt>
              </c:numCache>
            </c:numRef>
          </c:val>
        </c:ser>
        <c:ser>
          <c:idx val="2"/>
          <c:order val="2"/>
          <c:tx>
            <c:strRef>
              <c:f>Data!$E$29</c:f>
              <c:strCache>
                <c:ptCount val="1"/>
                <c:pt idx="0">
                  <c:v>Coal 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Data!$O$22:$S$22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Data!$O$29:$S$29</c:f>
              <c:numCache>
                <c:formatCode>#,##0</c:formatCode>
                <c:ptCount val="5"/>
                <c:pt idx="0">
                  <c:v>36</c:v>
                </c:pt>
                <c:pt idx="1">
                  <c:v>20</c:v>
                </c:pt>
                <c:pt idx="2">
                  <c:v>33</c:v>
                </c:pt>
                <c:pt idx="3">
                  <c:v>25</c:v>
                </c:pt>
                <c:pt idx="4">
                  <c:v>20</c:v>
                </c:pt>
              </c:numCache>
            </c:numRef>
          </c:val>
        </c:ser>
        <c:ser>
          <c:idx val="3"/>
          <c:order val="3"/>
          <c:tx>
            <c:strRef>
              <c:f>Data!$E$32</c:f>
              <c:strCache>
                <c:ptCount val="1"/>
                <c:pt idx="0">
                  <c:v>Weather 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Data!$O$22:$S$22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Data!$O$32:$S$32</c:f>
              <c:numCache>
                <c:formatCode>#,##0</c:formatCode>
                <c:ptCount val="5"/>
                <c:pt idx="0">
                  <c:v>22</c:v>
                </c:pt>
                <c:pt idx="1">
                  <c:v>11</c:v>
                </c:pt>
                <c:pt idx="2">
                  <c:v>17</c:v>
                </c:pt>
                <c:pt idx="3">
                  <c:v>7</c:v>
                </c:pt>
                <c:pt idx="4">
                  <c:v>10</c:v>
                </c:pt>
              </c:numCache>
            </c:numRef>
          </c:val>
        </c:ser>
        <c:ser>
          <c:idx val="4"/>
          <c:order val="4"/>
          <c:tx>
            <c:strRef>
              <c:f>Data!$E$35</c:f>
              <c:strCache>
                <c:ptCount val="1"/>
                <c:pt idx="0">
                  <c:v>Emissions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Data!$O$22:$S$22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Data!$O$35:$S$35</c:f>
              <c:numCache>
                <c:formatCode>#,##0</c:formatCode>
                <c:ptCount val="5"/>
                <c:pt idx="0">
                  <c:v>3</c:v>
                </c:pt>
                <c:pt idx="1">
                  <c:v>16</c:v>
                </c:pt>
                <c:pt idx="2">
                  <c:v>16</c:v>
                </c:pt>
                <c:pt idx="3">
                  <c:v>23</c:v>
                </c:pt>
                <c:pt idx="4">
                  <c:v>17</c:v>
                </c:pt>
              </c:numCache>
            </c:numRef>
          </c:val>
        </c:ser>
        <c:gapWidth val="150"/>
        <c:shape val="box"/>
        <c:axId val="45296217"/>
        <c:axId val="93309741"/>
        <c:axId val="0"/>
      </c:bar3DChart>
      <c:catAx>
        <c:axId val="452962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309741"/>
        <c:crossesAt val="0"/>
        <c:auto val="1"/>
        <c:lblAlgn val="ctr"/>
        <c:lblOffset val="100"/>
        <c:noMultiLvlLbl val="0"/>
      </c:catAx>
      <c:valAx>
        <c:axId val="933097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96217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101867204959988"/>
          <c:y val="0.928062113769609"/>
          <c:w val="0.796049311513229"/>
          <c:h val="0.05030898431310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EA</a:t>
            </a:r>
            <a:r>
              <a:rPr b="1" sz="1075" strike="noStrike" u="none">
                <a:uFillTx/>
                <a:latin typeface="Arial"/>
              </a:rPr>
              <a:t> 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77103995466138"/>
          <c:y val="0.12398985897639"/>
          <c:w val="0.972371776707283"/>
          <c:h val="0.83829820947551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Data!$E$12</c:f>
              <c:strCache>
                <c:ptCount val="1"/>
                <c:pt idx="0">
                  <c:v>Gas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0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Data!$O$11:$S$11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Data!$O$12:$S$12</c:f>
              <c:numCache>
                <c:formatCode>#,##0</c:formatCode>
                <c:ptCount val="5"/>
                <c:pt idx="0">
                  <c:v>17309</c:v>
                </c:pt>
                <c:pt idx="1">
                  <c:v>17857</c:v>
                </c:pt>
                <c:pt idx="2">
                  <c:v>16695</c:v>
                </c:pt>
                <c:pt idx="3">
                  <c:v>20584</c:v>
                </c:pt>
                <c:pt idx="4">
                  <c:v>20385</c:v>
                </c:pt>
              </c:numCache>
            </c:numRef>
          </c:val>
        </c:ser>
        <c:ser>
          <c:idx val="1"/>
          <c:order val="1"/>
          <c:tx>
            <c:strRef>
              <c:f>Data!$E$15</c:f>
              <c:strCache>
                <c:ptCount val="1"/>
                <c:pt idx="0">
                  <c:v>Power 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Data!$O$11:$S$11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Data!$O$15:$S$15</c:f>
              <c:numCache>
                <c:formatCode>#,##0</c:formatCode>
                <c:ptCount val="5"/>
                <c:pt idx="0">
                  <c:v>4415</c:v>
                </c:pt>
                <c:pt idx="1">
                  <c:v>4929</c:v>
                </c:pt>
                <c:pt idx="2">
                  <c:v>4773</c:v>
                </c:pt>
                <c:pt idx="3">
                  <c:v>4796</c:v>
                </c:pt>
                <c:pt idx="4">
                  <c:v>5262</c:v>
                </c:pt>
              </c:numCache>
            </c:numRef>
          </c:val>
        </c:ser>
        <c:gapWidth val="150"/>
        <c:shape val="box"/>
        <c:axId val="49230487"/>
        <c:axId val="34680190"/>
        <c:axId val="0"/>
      </c:bar3DChart>
      <c:catAx>
        <c:axId val="49230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80190"/>
        <c:crossesAt val="0"/>
        <c:auto val="1"/>
        <c:lblAlgn val="ctr"/>
        <c:lblOffset val="100"/>
        <c:noMultiLvlLbl val="0"/>
      </c:catAx>
      <c:valAx>
        <c:axId val="346801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30487"/>
        <c:crossesAt val="1"/>
        <c:crossBetween val="midCat"/>
        <c:majorUnit val="4000"/>
      </c:valAx>
    </c:plotArea>
    <c:legend>
      <c:legendPos val="r"/>
      <c:layout>
        <c:manualLayout>
          <c:xMode val="edge"/>
          <c:yMode val="edge"/>
          <c:x val="0.375602153584585"/>
          <c:y val="0.933607986056093"/>
          <c:w val="0.232431283649759"/>
          <c:h val="0.04753604816986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EIM</a:t>
            </a:r>
            <a:r>
              <a:rPr b="1" sz="1200" strike="noStrike" u="none">
                <a:uFillTx/>
                <a:latin typeface="Arial"/>
              </a:rPr>
              <a:t> New Deal Trend</a:t>
            </a:r>
          </a:p>
        </c:rich>
      </c:tx>
      <c:layout>
        <c:manualLayout>
          <c:xMode val="edge"/>
          <c:yMode val="edge"/>
          <c:x val="0.352264659946046"/>
          <c:y val="0.0358872568479555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77481186994179"/>
          <c:y val="0.136006351726876"/>
          <c:w val="0.974797671446827"/>
          <c:h val="0.8226280269948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Data!$E$43</c:f>
              <c:strCache>
                <c:ptCount val="1"/>
                <c:pt idx="0">
                  <c:v>Newsprint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Data!$O$42:$S$42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Data!$O$43:$S$43</c:f>
              <c:numCache>
                <c:formatCode>#,##0</c:formatCode>
                <c:ptCount val="5"/>
                <c:pt idx="0">
                  <c:v>20</c:v>
                </c:pt>
                <c:pt idx="1">
                  <c:v>46</c:v>
                </c:pt>
                <c:pt idx="2">
                  <c:v>25</c:v>
                </c:pt>
                <c:pt idx="3">
                  <c:v>19</c:v>
                </c:pt>
                <c:pt idx="4">
                  <c:v>25</c:v>
                </c:pt>
              </c:numCache>
            </c:numRef>
          </c:val>
        </c:ser>
        <c:ser>
          <c:idx val="1"/>
          <c:order val="1"/>
          <c:tx>
            <c:strRef>
              <c:f>Data!$E$46</c:f>
              <c:strCache>
                <c:ptCount val="1"/>
                <c:pt idx="0">
                  <c:v>Pulp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Data!$O$42:$S$42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Data!$O$46:$S$46</c:f>
              <c:numCache>
                <c:formatCode>#,##0</c:formatCode>
                <c:ptCount val="5"/>
                <c:pt idx="0">
                  <c:v>32</c:v>
                </c:pt>
                <c:pt idx="1">
                  <c:v>26</c:v>
                </c:pt>
                <c:pt idx="2">
                  <c:v>40</c:v>
                </c:pt>
                <c:pt idx="3">
                  <c:v>32</c:v>
                </c:pt>
                <c:pt idx="4">
                  <c:v>30</c:v>
                </c:pt>
              </c:numCache>
            </c:numRef>
          </c:val>
        </c:ser>
        <c:ser>
          <c:idx val="2"/>
          <c:order val="2"/>
          <c:tx>
            <c:strRef>
              <c:f>Data!$E$49</c:f>
              <c:strCache>
                <c:ptCount val="1"/>
                <c:pt idx="0">
                  <c:v>Lumber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Data!$O$42:$S$42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Data!$O$49:$S$49</c:f>
              <c:numCache>
                <c:formatCode>#,##0</c:formatCode>
                <c:ptCount val="5"/>
                <c:pt idx="0">
                  <c:v>84</c:v>
                </c:pt>
                <c:pt idx="1">
                  <c:v>80</c:v>
                </c:pt>
                <c:pt idx="2">
                  <c:v>94</c:v>
                </c:pt>
                <c:pt idx="3">
                  <c:v>123</c:v>
                </c:pt>
                <c:pt idx="4">
                  <c:v>145</c:v>
                </c:pt>
              </c:numCache>
            </c:numRef>
          </c:val>
        </c:ser>
        <c:ser>
          <c:idx val="3"/>
          <c:order val="3"/>
          <c:tx>
            <c:strRef>
              <c:f>Data!$E$52</c:f>
              <c:strCache>
                <c:ptCount val="1"/>
                <c:pt idx="0">
                  <c:v>Steel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" sourceLinked="1"/>
            <c:dLbl>
              <c:idx val="0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Data!$O$42:$S$42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Data!$O$52:$S$52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</c:ser>
        <c:gapWidth val="150"/>
        <c:shape val="box"/>
        <c:axId val="56855318"/>
        <c:axId val="89304080"/>
        <c:axId val="0"/>
      </c:bar3DChart>
      <c:catAx>
        <c:axId val="568553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04080"/>
        <c:crossesAt val="0"/>
        <c:auto val="1"/>
        <c:lblAlgn val="ctr"/>
        <c:lblOffset val="100"/>
        <c:noMultiLvlLbl val="0"/>
      </c:catAx>
      <c:valAx>
        <c:axId val="893040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55318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244427090728383"/>
          <c:y val="0.934021437078206"/>
          <c:w val="0.538477921340338"/>
          <c:h val="0.04763795156808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EA</a:t>
            </a:r>
            <a:r>
              <a:rPr b="1" sz="1075" strike="noStrike" u="none">
                <a:uFillTx/>
                <a:latin typeface="Arial"/>
              </a:rPr>
              <a:t> Volume Trend (in millions)</a:t>
            </a:r>
          </a:p>
        </c:rich>
      </c:tx>
      <c:layout>
        <c:manualLayout>
          <c:xMode val="edge"/>
          <c:yMode val="edge"/>
          <c:x val="0.311541737649063"/>
          <c:y val="0.0279670416732689"/>
        </c:manualLayout>
      </c:layout>
      <c:overlay val="0"/>
      <c:spPr>
        <a:noFill/>
        <a:ln w="0">
          <a:noFill/>
        </a:ln>
      </c:spPr>
    </c:title>
    <c:autoTitleDeleted val="0"/>
    <c:view3D>
      <c:rotX val="10"/>
      <c:rotY val="12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84554230550823"/>
          <c:y val="0.0915861194739344"/>
          <c:w val="0.981544576944918"/>
          <c:h val="0.87719854222785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Data!$E$62</c:f>
              <c:strCache>
                <c:ptCount val="1"/>
                <c:pt idx="0">
                  <c:v>Gas (MMBTU)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Data!$O$61:$S$61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Data!$O$62:$S$62</c:f>
              <c:numCache>
                <c:formatCode>#,##0</c:formatCode>
                <c:ptCount val="5"/>
                <c:pt idx="0">
                  <c:v>4310.06590286</c:v>
                </c:pt>
                <c:pt idx="1">
                  <c:v>3630.70079056</c:v>
                </c:pt>
                <c:pt idx="2">
                  <c:v>3471.97347516</c:v>
                </c:pt>
                <c:pt idx="3">
                  <c:v>4935.35787992</c:v>
                </c:pt>
                <c:pt idx="4">
                  <c:v>4600.91699527</c:v>
                </c:pt>
              </c:numCache>
            </c:numRef>
          </c:val>
        </c:ser>
        <c:gapWidth val="150"/>
        <c:shape val="box"/>
        <c:axId val="69806816"/>
        <c:axId val="16420440"/>
        <c:axId val="0"/>
      </c:bar3DChart>
      <c:catAx>
        <c:axId val="698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420440"/>
        <c:crossesAt val="0"/>
        <c:auto val="1"/>
        <c:lblAlgn val="ctr"/>
        <c:lblOffset val="100"/>
        <c:noMultiLvlLbl val="0"/>
      </c:catAx>
      <c:valAx>
        <c:axId val="164204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06816"/>
        <c:crossesAt val="1"/>
        <c:crossBetween val="midCat"/>
        <c:majorUnit val="1000"/>
        <c:minorUnit val="1000"/>
      </c:valAx>
    </c:plotArea>
    <c:legend>
      <c:legendPos val="r"/>
      <c:layout>
        <c:manualLayout>
          <c:xMode val="edge"/>
          <c:yMode val="edge"/>
          <c:x val="0.267532651902328"/>
          <c:y val="0.936697829187134"/>
          <c:w val="0.543370244179444"/>
          <c:h val="0.04468388527967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EGM</a:t>
            </a:r>
            <a:r>
              <a:rPr b="1" sz="1100" strike="noStrike" u="none">
                <a:uFillTx/>
                <a:latin typeface="Arial"/>
              </a:rPr>
              <a:t> Volume Trend (in thousands)</a:t>
            </a:r>
          </a:p>
        </c:rich>
      </c:tx>
      <c:layout>
        <c:manualLayout>
          <c:xMode val="edge"/>
          <c:yMode val="edge"/>
          <c:x val="0.230002866972477"/>
          <c:y val="0.0493807557954906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79185779816514"/>
          <c:y val="0.114163226421086"/>
          <c:w val="0.981149655963303"/>
          <c:h val="0.85606541759288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Data!$E$71</c:f>
              <c:strCache>
                <c:ptCount val="1"/>
                <c:pt idx="0">
                  <c:v>Liquids (BBL)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Data!$O$70:$S$70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Data!$O$71:$S$71</c:f>
              <c:numCache>
                <c:formatCode>#,##0</c:formatCode>
                <c:ptCount val="5"/>
                <c:pt idx="0">
                  <c:v>163597.30816</c:v>
                </c:pt>
                <c:pt idx="1">
                  <c:v>183852.27507</c:v>
                </c:pt>
                <c:pt idx="2">
                  <c:v>210839.72177</c:v>
                </c:pt>
                <c:pt idx="3">
                  <c:v>193742.82989</c:v>
                </c:pt>
                <c:pt idx="4">
                  <c:v>195484.8911</c:v>
                </c:pt>
              </c:numCache>
            </c:numRef>
          </c:val>
        </c:ser>
        <c:ser>
          <c:idx val="1"/>
          <c:order val="1"/>
          <c:tx>
            <c:strRef>
              <c:f>Data!$E$72</c:f>
              <c:strCache>
                <c:ptCount val="1"/>
                <c:pt idx="0">
                  <c:v>Coal (Tonne)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Data!$O$70:$S$70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Data!$O$72:$S$72</c:f>
              <c:numCache>
                <c:formatCode>#,##0</c:formatCode>
                <c:ptCount val="5"/>
                <c:pt idx="0">
                  <c:v>2748.70002</c:v>
                </c:pt>
                <c:pt idx="1">
                  <c:v>1955.00008</c:v>
                </c:pt>
                <c:pt idx="2">
                  <c:v>1257.95</c:v>
                </c:pt>
                <c:pt idx="3">
                  <c:v>3280.003</c:v>
                </c:pt>
                <c:pt idx="4">
                  <c:v>1233</c:v>
                </c:pt>
              </c:numCache>
            </c:numRef>
          </c:val>
        </c:ser>
        <c:ser>
          <c:idx val="2"/>
          <c:order val="2"/>
          <c:tx>
            <c:strRef>
              <c:f>Data!$E$73</c:f>
              <c:strCache>
                <c:ptCount val="1"/>
                <c:pt idx="0">
                  <c:v>Emissions (Contracts)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Data!$O$70:$S$70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Data!$O$73:$S$73</c:f>
              <c:numCache>
                <c:formatCode>#,##0</c:formatCode>
                <c:ptCount val="5"/>
                <c:pt idx="0">
                  <c:v>5.2</c:v>
                </c:pt>
                <c:pt idx="1">
                  <c:v>32.85</c:v>
                </c:pt>
                <c:pt idx="2">
                  <c:v>72.05</c:v>
                </c:pt>
                <c:pt idx="3">
                  <c:v>101.95</c:v>
                </c:pt>
                <c:pt idx="4">
                  <c:v>179</c:v>
                </c:pt>
              </c:numCache>
            </c:numRef>
          </c:val>
        </c:ser>
        <c:gapWidth val="150"/>
        <c:shape val="box"/>
        <c:axId val="79592994"/>
        <c:axId val="81302810"/>
        <c:axId val="0"/>
      </c:bar3DChart>
      <c:catAx>
        <c:axId val="795929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302810"/>
        <c:crossesAt val="0"/>
        <c:auto val="1"/>
        <c:lblAlgn val="ctr"/>
        <c:lblOffset val="100"/>
        <c:noMultiLvlLbl val="0"/>
      </c:catAx>
      <c:valAx>
        <c:axId val="813028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592994"/>
        <c:crossesAt val="1"/>
        <c:crossBetween val="midCat"/>
        <c:majorUnit val="30000"/>
        <c:minorUnit val="422.535211267606"/>
      </c:valAx>
    </c:plotArea>
    <c:legend>
      <c:legendPos val="r"/>
      <c:layout>
        <c:manualLayout>
          <c:xMode val="edge"/>
          <c:yMode val="edge"/>
          <c:x val="0.0928899082568807"/>
          <c:y val="0.921562400762147"/>
          <c:w val="0.834432339449541"/>
          <c:h val="0.04477611940298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EIM</a:t>
            </a:r>
            <a:r>
              <a:rPr b="1" sz="1075" strike="noStrike" u="none">
                <a:uFillTx/>
                <a:latin typeface="Arial"/>
              </a:rPr>
              <a:t> Volume Trend</a:t>
            </a:r>
          </a:p>
        </c:rich>
      </c:tx>
      <c:layout>
        <c:manualLayout>
          <c:xMode val="edge"/>
          <c:yMode val="edge"/>
          <c:x val="0.352193667471248"/>
          <c:y val="0.052000635122261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77481186994179"/>
          <c:y val="0.11368688472531"/>
          <c:w val="0.982251881300582"/>
          <c:h val="0.85169895204826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Data!$E$65</c:f>
              <c:strCache>
                <c:ptCount val="1"/>
                <c:pt idx="0">
                  <c:v>Total EIM (Tonne)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#,##0" sourceLinked="1"/>
            <c:dLbl>
              <c:idx val="0"/>
              <c:numFmt formatCode="#,##0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#,##0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#,##0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#,##0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#,##0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Data!$O$64:$S$64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Data!$O$65:$S$65</c:f>
              <c:numCache>
                <c:formatCode>0</c:formatCode>
                <c:ptCount val="5"/>
                <c:pt idx="0">
                  <c:v>120983.16</c:v>
                </c:pt>
                <c:pt idx="1">
                  <c:v>92583.55</c:v>
                </c:pt>
                <c:pt idx="2">
                  <c:v>275762.31</c:v>
                </c:pt>
                <c:pt idx="3">
                  <c:v>169228.08</c:v>
                </c:pt>
                <c:pt idx="4">
                  <c:v>203727</c:v>
                </c:pt>
              </c:numCache>
            </c:numRef>
          </c:val>
        </c:ser>
        <c:gapWidth val="150"/>
        <c:shape val="box"/>
        <c:axId val="8268959"/>
        <c:axId val="54327055"/>
        <c:axId val="0"/>
      </c:bar3DChart>
      <c:catAx>
        <c:axId val="82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27055"/>
        <c:crossesAt val="0"/>
        <c:auto val="1"/>
        <c:lblAlgn val="ctr"/>
        <c:lblOffset val="100"/>
        <c:noMultiLvlLbl val="0"/>
      </c:catAx>
      <c:valAx>
        <c:axId val="543270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68959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394860144824649"/>
          <c:y val="0.939107653223246"/>
          <c:w val="0.335581428368593"/>
          <c:h val="0.04477611940298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EA</a:t>
            </a:r>
            <a:r>
              <a:rPr b="1" sz="1100" strike="noStrike" u="none">
                <a:uFillTx/>
                <a:latin typeface="Arial"/>
              </a:rPr>
              <a:t> Volume Trend (in millions)</a:t>
            </a:r>
          </a:p>
        </c:rich>
      </c:tx>
      <c:layout>
        <c:manualLayout>
          <c:xMode val="edge"/>
          <c:yMode val="edge"/>
          <c:x val="0.304676048079742"/>
          <c:y val="0.0280269948392219"/>
        </c:manualLayout>
      </c:layout>
      <c:overlay val="0"/>
      <c:spPr>
        <a:noFill/>
        <a:ln w="0">
          <a:noFill/>
        </a:ln>
      </c:spPr>
    </c:title>
    <c:autoTitleDeleted val="0"/>
    <c:view3D>
      <c:rotX val="10"/>
      <c:rotY val="12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90559953092935"/>
          <c:y val="0.0978959904724097"/>
          <c:w val="0.980944004690707"/>
          <c:h val="0.87066296149265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Data!$E$63</c:f>
              <c:strCache>
                <c:ptCount val="1"/>
                <c:pt idx="0">
                  <c:v>Power (MHtz)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Data!$O$61:$S$61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Data!$O$63:$S$63</c:f>
              <c:numCache>
                <c:formatCode>#,##0</c:formatCode>
                <c:ptCount val="5"/>
                <c:pt idx="0">
                  <c:v>49.60126031</c:v>
                </c:pt>
                <c:pt idx="1">
                  <c:v>52.89541797</c:v>
                </c:pt>
                <c:pt idx="2">
                  <c:v>49.57737548</c:v>
                </c:pt>
                <c:pt idx="3">
                  <c:v>47.20059154</c:v>
                </c:pt>
                <c:pt idx="4">
                  <c:v>51.5222653</c:v>
                </c:pt>
              </c:numCache>
            </c:numRef>
          </c:val>
        </c:ser>
        <c:gapWidth val="150"/>
        <c:shape val="box"/>
        <c:axId val="44754363"/>
        <c:axId val="67575009"/>
        <c:axId val="0"/>
      </c:bar3DChart>
      <c:catAx>
        <c:axId val="447543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575009"/>
        <c:crossesAt val="0"/>
        <c:auto val="1"/>
        <c:lblAlgn val="ctr"/>
        <c:lblOffset val="100"/>
        <c:noMultiLvlLbl val="0"/>
      </c:catAx>
      <c:valAx>
        <c:axId val="67575009"/>
        <c:scaling>
          <c:orientation val="minMax"/>
          <c:max val="1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754363"/>
        <c:crossesAt val="1"/>
        <c:crossBetween val="midCat"/>
        <c:majorUnit val="10"/>
        <c:minorUnit val="1"/>
      </c:valAx>
    </c:plotArea>
    <c:legend>
      <c:legendPos val="r"/>
      <c:layout>
        <c:manualLayout>
          <c:xMode val="edge"/>
          <c:yMode val="edge"/>
          <c:x val="0.253371445323952"/>
          <c:y val="0.937197300516078"/>
          <c:w val="0.56105247727939"/>
          <c:h val="0.04477967447399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EOL</a:t>
            </a:r>
            <a:r>
              <a:rPr b="1" sz="1200" strike="noStrike" u="none">
                <a:uFillTx/>
                <a:latin typeface="Arial"/>
              </a:rPr>
              <a:t> New Deal Trend</a:t>
            </a:r>
          </a:p>
        </c:rich>
      </c:tx>
      <c:layout>
        <c:manualLayout>
          <c:xMode val="edge"/>
          <c:yMode val="edge"/>
          <c:x val="0.344961809635723"/>
          <c:y val="0.0358185404339251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83607520564042"/>
          <c:y val="0.135226824457594"/>
          <c:w val="0.973487074030552"/>
          <c:h val="0.82366863905325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Data!$E$19</c:f>
              <c:strCache>
                <c:ptCount val="1"/>
                <c:pt idx="0">
                  <c:v>EA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Data!$O$42:$S$42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Data!$O$21:$S$21</c:f>
              <c:numCache>
                <c:formatCode>_(* #,##0_);_(* \(#,##0\);_(* \-??_);_(@_)</c:formatCode>
                <c:ptCount val="5"/>
                <c:pt idx="0">
                  <c:v>16422</c:v>
                </c:pt>
                <c:pt idx="1">
                  <c:v>17689</c:v>
                </c:pt>
                <c:pt idx="2">
                  <c:v>16389</c:v>
                </c:pt>
                <c:pt idx="3">
                  <c:v>18961</c:v>
                </c:pt>
                <c:pt idx="4">
                  <c:v>19646</c:v>
                </c:pt>
              </c:numCache>
            </c:numRef>
          </c:val>
        </c:ser>
        <c:ser>
          <c:idx val="1"/>
          <c:order val="1"/>
          <c:tx>
            <c:strRef>
              <c:f>Data!$E$39</c:f>
              <c:strCache>
                <c:ptCount val="1"/>
                <c:pt idx="0">
                  <c:v>EGM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Data!$O$42:$S$42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Data!$O$41:$S$41</c:f>
              <c:numCache>
                <c:formatCode>_(* #,##0_);_(* \(#,##0\);_(* \-??_);_(@_)</c:formatCode>
                <c:ptCount val="5"/>
                <c:pt idx="0">
                  <c:v>1359</c:v>
                </c:pt>
                <c:pt idx="1">
                  <c:v>1340</c:v>
                </c:pt>
                <c:pt idx="2">
                  <c:v>1322</c:v>
                </c:pt>
                <c:pt idx="3">
                  <c:v>1091</c:v>
                </c:pt>
                <c:pt idx="4">
                  <c:v>1142</c:v>
                </c:pt>
              </c:numCache>
            </c:numRef>
          </c:val>
        </c:ser>
        <c:ser>
          <c:idx val="2"/>
          <c:order val="2"/>
          <c:tx>
            <c:strRef>
              <c:f>Data!$E$56</c:f>
              <c:strCache>
                <c:ptCount val="1"/>
                <c:pt idx="0">
                  <c:v>EIM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Data!$O$42:$S$42</c:f>
              <c:strCache>
                <c:ptCount val="5"/>
                <c:pt idx="0">
                  <c:v>3/1 - 3/7</c:v>
                </c:pt>
                <c:pt idx="1">
                  <c:v>3/8 - 3/14</c:v>
                </c:pt>
                <c:pt idx="2">
                  <c:v>3/15 - 3/21</c:v>
                </c:pt>
                <c:pt idx="3">
                  <c:v>3/22 - 3/28</c:v>
                </c:pt>
                <c:pt idx="4">
                  <c:v>3/29 - 4/4</c:v>
                </c:pt>
              </c:strCache>
            </c:strRef>
          </c:cat>
          <c:val>
            <c:numRef>
              <c:f>Data!$O$58:$S$58</c:f>
              <c:numCache>
                <c:formatCode>_(* #,##0_);_(* \(#,##0\);_(* \-??_);_(@_)</c:formatCode>
                <c:ptCount val="5"/>
                <c:pt idx="0">
                  <c:v>11</c:v>
                </c:pt>
                <c:pt idx="1">
                  <c:v>18</c:v>
                </c:pt>
                <c:pt idx="2">
                  <c:v>8</c:v>
                </c:pt>
                <c:pt idx="3">
                  <c:v>21</c:v>
                </c:pt>
                <c:pt idx="4">
                  <c:v>7</c:v>
                </c:pt>
              </c:numCache>
            </c:numRef>
          </c:val>
        </c:ser>
        <c:gapWidth val="150"/>
        <c:shape val="box"/>
        <c:axId val="17811354"/>
        <c:axId val="8147627"/>
        <c:axId val="0"/>
      </c:bar3DChart>
      <c:catAx>
        <c:axId val="178113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47627"/>
        <c:crossesAt val="0"/>
        <c:auto val="1"/>
        <c:lblAlgn val="ctr"/>
        <c:lblOffset val="100"/>
        <c:noMultiLvlLbl val="0"/>
      </c:catAx>
      <c:valAx>
        <c:axId val="81476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811354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226938895417156"/>
          <c:y val="0.935147928994083"/>
          <c:w val="0.557065217391304"/>
          <c:h val="0.04733727810650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New Contracts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tx>
            <c:strRef>
              <c:f>Data!$E$3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Data!$F$3:$H$3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strRef>
              <c:f>Data!$E$4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Data!$F$4:$H$4</c:f>
              <c:numCache>
                <c:formatCode>General</c:formatCode>
                <c:ptCount val="0"/>
              </c:numCache>
            </c:numRef>
          </c:val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Data!$F$5:$H$5</c:f>
              <c:numCache>
                <c:formatCode>General</c:formatCode>
                <c:ptCount val="0"/>
              </c:numCache>
            </c:numRef>
          </c:val>
        </c:ser>
        <c:ser>
          <c:idx val="3"/>
          <c:order val="3"/>
          <c:tx>
            <c:strRef>
              <c:f>Data!$E$6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Data!$F$6:$H$6</c:f>
              <c:numCache>
                <c:formatCode>General</c:formatCode>
                <c:ptCount val="0"/>
              </c:numCache>
            </c:numRef>
          </c:val>
        </c:ser>
        <c:gapWidth val="150"/>
        <c:shape val="box"/>
        <c:axId val="99210106"/>
        <c:axId val="78938284"/>
        <c:axId val="0"/>
      </c:bar3DChart>
      <c:catAx>
        <c:axId val="992101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38284"/>
        <c:crossesAt val="0"/>
        <c:auto val="1"/>
        <c:lblAlgn val="ctr"/>
        <c:lblOffset val="100"/>
        <c:noMultiLvlLbl val="0"/>
      </c:catAx>
      <c:valAx>
        <c:axId val="789382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210106"/>
        <c:crossesAt val="1"/>
        <c:crossBetween val="midCat"/>
      </c:valAx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image" Target="../media/image1.png"/><Relationship Id="rId8" Type="http://schemas.openxmlformats.org/officeDocument/2006/relationships/chart" Target="../charts/chart7.xml"/><Relationship Id="rId9" Type="http://schemas.openxmlformats.org/officeDocument/2006/relationships/chart" Target="../charts/chart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291600</xdr:colOff>
      <xdr:row>30</xdr:row>
      <xdr:rowOff>0</xdr:rowOff>
    </xdr:from>
    <xdr:to>
      <xdr:col>16</xdr:col>
      <xdr:colOff>1863720</xdr:colOff>
      <xdr:row>58</xdr:row>
      <xdr:rowOff>9360</xdr:rowOff>
    </xdr:to>
    <xdr:graphicFrame>
      <xdr:nvGraphicFramePr>
        <xdr:cNvPr id="0" name="Chart 1"/>
        <xdr:cNvGraphicFramePr/>
      </xdr:nvGraphicFramePr>
      <xdr:xfrm>
        <a:off x="10141560" y="5848200"/>
        <a:ext cx="4993200" cy="4543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30</xdr:row>
      <xdr:rowOff>0</xdr:rowOff>
    </xdr:from>
    <xdr:to>
      <xdr:col>5</xdr:col>
      <xdr:colOff>594360</xdr:colOff>
      <xdr:row>58</xdr:row>
      <xdr:rowOff>9360</xdr:rowOff>
    </xdr:to>
    <xdr:graphicFrame>
      <xdr:nvGraphicFramePr>
        <xdr:cNvPr id="1" name="Chart 2"/>
        <xdr:cNvGraphicFramePr/>
      </xdr:nvGraphicFramePr>
      <xdr:xfrm>
        <a:off x="0" y="5848200"/>
        <a:ext cx="5081400" cy="4543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69840</xdr:colOff>
      <xdr:row>30</xdr:row>
      <xdr:rowOff>9720</xdr:rowOff>
    </xdr:from>
    <xdr:to>
      <xdr:col>23</xdr:col>
      <xdr:colOff>20520</xdr:colOff>
      <xdr:row>58</xdr:row>
      <xdr:rowOff>9360</xdr:rowOff>
    </xdr:to>
    <xdr:graphicFrame>
      <xdr:nvGraphicFramePr>
        <xdr:cNvPr id="2" name="Chart 3"/>
        <xdr:cNvGraphicFramePr/>
      </xdr:nvGraphicFramePr>
      <xdr:xfrm>
        <a:off x="15222960" y="5857920"/>
        <a:ext cx="5070600" cy="45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10080</xdr:colOff>
      <xdr:row>59</xdr:row>
      <xdr:rowOff>0</xdr:rowOff>
    </xdr:from>
    <xdr:to>
      <xdr:col>5</xdr:col>
      <xdr:colOff>594360</xdr:colOff>
      <xdr:row>87</xdr:row>
      <xdr:rowOff>9360</xdr:rowOff>
    </xdr:to>
    <xdr:graphicFrame>
      <xdr:nvGraphicFramePr>
        <xdr:cNvPr id="3" name="Chart 5"/>
        <xdr:cNvGraphicFramePr/>
      </xdr:nvGraphicFramePr>
      <xdr:xfrm>
        <a:off x="10080" y="10544040"/>
        <a:ext cx="5071320" cy="4543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281520</xdr:colOff>
      <xdr:row>59</xdr:row>
      <xdr:rowOff>0</xdr:rowOff>
    </xdr:from>
    <xdr:to>
      <xdr:col>17</xdr:col>
      <xdr:colOff>720</xdr:colOff>
      <xdr:row>86</xdr:row>
      <xdr:rowOff>162000</xdr:rowOff>
    </xdr:to>
    <xdr:graphicFrame>
      <xdr:nvGraphicFramePr>
        <xdr:cNvPr id="4" name="Chart 6"/>
        <xdr:cNvGraphicFramePr/>
      </xdr:nvGraphicFramePr>
      <xdr:xfrm>
        <a:off x="10131480" y="10544040"/>
        <a:ext cx="5022360" cy="4534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17</xdr:col>
      <xdr:colOff>69840</xdr:colOff>
      <xdr:row>59</xdr:row>
      <xdr:rowOff>0</xdr:rowOff>
    </xdr:from>
    <xdr:to>
      <xdr:col>23</xdr:col>
      <xdr:colOff>20520</xdr:colOff>
      <xdr:row>86</xdr:row>
      <xdr:rowOff>162000</xdr:rowOff>
    </xdr:to>
    <xdr:graphicFrame>
      <xdr:nvGraphicFramePr>
        <xdr:cNvPr id="5" name="Chart 7"/>
        <xdr:cNvGraphicFramePr/>
      </xdr:nvGraphicFramePr>
      <xdr:xfrm>
        <a:off x="15222960" y="10544040"/>
        <a:ext cx="5070600" cy="4534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21</xdr:col>
      <xdr:colOff>734400</xdr:colOff>
      <xdr:row>0</xdr:row>
      <xdr:rowOff>66240</xdr:rowOff>
    </xdr:from>
    <xdr:to>
      <xdr:col>22</xdr:col>
      <xdr:colOff>735120</xdr:colOff>
      <xdr:row>5</xdr:row>
      <xdr:rowOff>75960</xdr:rowOff>
    </xdr:to>
    <xdr:pic>
      <xdr:nvPicPr>
        <xdr:cNvPr id="6" name="Picture 10" descr=""/>
        <xdr:cNvPicPr/>
      </xdr:nvPicPr>
      <xdr:blipFill>
        <a:blip r:embed="rId7"/>
        <a:stretch/>
      </xdr:blipFill>
      <xdr:spPr>
        <a:xfrm>
          <a:off x="19378080" y="66240"/>
          <a:ext cx="815400" cy="819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653760</xdr:colOff>
      <xdr:row>59</xdr:row>
      <xdr:rowOff>9720</xdr:rowOff>
    </xdr:from>
    <xdr:to>
      <xdr:col>11</xdr:col>
      <xdr:colOff>202320</xdr:colOff>
      <xdr:row>87</xdr:row>
      <xdr:rowOff>9360</xdr:rowOff>
    </xdr:to>
    <xdr:graphicFrame>
      <xdr:nvGraphicFramePr>
        <xdr:cNvPr id="7" name="Chart 12"/>
        <xdr:cNvGraphicFramePr/>
      </xdr:nvGraphicFramePr>
      <xdr:xfrm>
        <a:off x="5140800" y="10553760"/>
        <a:ext cx="4911480" cy="45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673920</xdr:colOff>
      <xdr:row>30</xdr:row>
      <xdr:rowOff>0</xdr:rowOff>
    </xdr:from>
    <xdr:to>
      <xdr:col>11</xdr:col>
      <xdr:colOff>212400</xdr:colOff>
      <xdr:row>58</xdr:row>
      <xdr:rowOff>28440</xdr:rowOff>
    </xdr:to>
    <xdr:graphicFrame>
      <xdr:nvGraphicFramePr>
        <xdr:cNvPr id="8" name="Chart 13"/>
        <xdr:cNvGraphicFramePr/>
      </xdr:nvGraphicFramePr>
      <xdr:xfrm>
        <a:off x="5160960" y="5848200"/>
        <a:ext cx="4901400" cy="456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50040</xdr:colOff>
      <xdr:row>42</xdr:row>
      <xdr:rowOff>19080</xdr:rowOff>
    </xdr:from>
    <xdr:to>
      <xdr:col>4</xdr:col>
      <xdr:colOff>253800</xdr:colOff>
      <xdr:row>57</xdr:row>
      <xdr:rowOff>142920</xdr:rowOff>
    </xdr:to>
    <xdr:graphicFrame>
      <xdr:nvGraphicFramePr>
        <xdr:cNvPr id="9" name="Chart 1"/>
        <xdr:cNvGraphicFramePr/>
      </xdr:nvGraphicFramePr>
      <xdr:xfrm>
        <a:off x="50040" y="6800760"/>
        <a:ext cx="57992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10080</xdr:colOff>
      <xdr:row>41</xdr:row>
      <xdr:rowOff>152280</xdr:rowOff>
    </xdr:from>
    <xdr:to>
      <xdr:col>17</xdr:col>
      <xdr:colOff>250200</xdr:colOff>
      <xdr:row>57</xdr:row>
      <xdr:rowOff>38160</xdr:rowOff>
    </xdr:to>
    <xdr:sp>
      <xdr:nvSpPr>
        <xdr:cNvPr id="10" name="Text 2"/>
        <xdr:cNvSpPr/>
      </xdr:nvSpPr>
      <xdr:spPr>
        <a:xfrm>
          <a:off x="10092600" y="6772320"/>
          <a:ext cx="5983560" cy="2476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New Counterparty Setup: 20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OL/EOL%20REPORTING%20DATABASE/ARCHIVE/EOL%20WEEKLY%20SUMMARY%2002-26-01%20ACCESS%2523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siness%20Mgmt/Reports/WeeklyReports/Week%20Ending%2002-15-01/Shari%20Mao%20Template%2002-15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siness%20Mgmt/Reports/WeeklyReports/Week%20Ending%202-8-01/EOL%20Dat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by DAY"/>
      <sheetName val="PRODUCTS OFFERED"/>
      <sheetName val="WEBSITE TRAFFIC"/>
      <sheetName val="DATA"/>
      <sheetName val="EOLvsNON SUMMARY"/>
      <sheetName val="ALLOCATION"/>
      <sheetName val="TRANSACTION SUMMARY (HILO) "/>
      <sheetName val="AVERAGED SUMMARY"/>
      <sheetName val="ENTITY SUMMARY"/>
      <sheetName val="European Report"/>
      <sheetName val="LTD"/>
      <sheetName val="YTD"/>
      <sheetName val="MTD"/>
      <sheetName val="WTD"/>
      <sheetName val="BRAINWAV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Thrusday 02-15-01"/>
      <sheetName val="Thursday 02-08-01"/>
    </sheetNames>
    <sheetDataSet>
      <sheetData sheetId="0"/>
      <sheetData sheetId="1">
        <row r="9">
          <cell r="S9">
            <v>83402</v>
          </cell>
          <cell r="T9">
            <v>17969</v>
          </cell>
        </row>
        <row r="10">
          <cell r="S10">
            <v>6424</v>
          </cell>
          <cell r="T10">
            <v>2734</v>
          </cell>
        </row>
        <row r="17">
          <cell r="S17">
            <v>9532</v>
          </cell>
          <cell r="T17">
            <v>8764</v>
          </cell>
        </row>
        <row r="18">
          <cell r="S18">
            <v>2569</v>
          </cell>
          <cell r="T18">
            <v>6736</v>
          </cell>
        </row>
        <row r="30">
          <cell r="S30">
            <v>9302</v>
          </cell>
          <cell r="T30">
            <v>9643</v>
          </cell>
        </row>
        <row r="31">
          <cell r="S31">
            <v>592</v>
          </cell>
          <cell r="T31">
            <v>569</v>
          </cell>
        </row>
        <row r="33">
          <cell r="S33">
            <v>45</v>
          </cell>
          <cell r="T33">
            <v>251</v>
          </cell>
        </row>
        <row r="34">
          <cell r="S34">
            <v>119</v>
          </cell>
          <cell r="T34">
            <v>169</v>
          </cell>
        </row>
        <row r="35">
          <cell r="S35">
            <v>50</v>
          </cell>
          <cell r="T35">
            <v>150</v>
          </cell>
        </row>
        <row r="37">
          <cell r="S37">
            <v>50</v>
          </cell>
          <cell r="T37">
            <v>48</v>
          </cell>
        </row>
        <row r="38">
          <cell r="S38">
            <v>0</v>
          </cell>
          <cell r="T38">
            <v>307</v>
          </cell>
        </row>
        <row r="39">
          <cell r="S39">
            <v>87</v>
          </cell>
          <cell r="T39">
            <v>108</v>
          </cell>
        </row>
        <row r="44">
          <cell r="S44">
            <v>0</v>
          </cell>
          <cell r="T44">
            <v>12</v>
          </cell>
        </row>
        <row r="48">
          <cell r="S48">
            <v>0</v>
          </cell>
          <cell r="T48">
            <v>913</v>
          </cell>
        </row>
        <row r="67">
          <cell r="S67">
            <v>10201591262.13</v>
          </cell>
          <cell r="T67">
            <v>11742300329.38</v>
          </cell>
        </row>
        <row r="68">
          <cell r="S68">
            <v>316839394.34</v>
          </cell>
          <cell r="T68">
            <v>745667324.91</v>
          </cell>
        </row>
        <row r="75">
          <cell r="S75">
            <v>104211335</v>
          </cell>
          <cell r="T75">
            <v>115985235.54</v>
          </cell>
        </row>
        <row r="76">
          <cell r="S76">
            <v>10366850</v>
          </cell>
          <cell r="T76">
            <v>91276496.68</v>
          </cell>
        </row>
        <row r="88">
          <cell r="S88">
            <v>236106500.01</v>
          </cell>
          <cell r="T88">
            <v>745504869.8</v>
          </cell>
        </row>
        <row r="89">
          <cell r="S89">
            <v>10023357.14</v>
          </cell>
          <cell r="T89">
            <v>17702903.51</v>
          </cell>
        </row>
        <row r="91">
          <cell r="S91">
            <v>919595</v>
          </cell>
          <cell r="T91">
            <v>9306959.13</v>
          </cell>
        </row>
        <row r="92">
          <cell r="S92">
            <v>3542250</v>
          </cell>
          <cell r="T92">
            <v>17309786.05</v>
          </cell>
        </row>
        <row r="93">
          <cell r="S93">
            <v>2130000</v>
          </cell>
          <cell r="T93">
            <v>8315506.02</v>
          </cell>
        </row>
        <row r="95">
          <cell r="S95">
            <v>115000</v>
          </cell>
          <cell r="T95">
            <v>223120</v>
          </cell>
        </row>
        <row r="96">
          <cell r="S96">
            <v>0</v>
          </cell>
        </row>
        <row r="97">
          <cell r="S97">
            <v>29800</v>
          </cell>
          <cell r="T97">
            <v>603600</v>
          </cell>
        </row>
        <row r="102">
          <cell r="S102">
            <v>0</v>
          </cell>
          <cell r="T102">
            <v>261270.5</v>
          </cell>
        </row>
        <row r="105">
          <cell r="S105">
            <v>0</v>
          </cell>
        </row>
        <row r="106">
          <cell r="T106">
            <v>42371500</v>
          </cell>
        </row>
      </sheetData>
      <sheetData sheetId="2">
        <row r="9">
          <cell r="S9">
            <v>70009</v>
          </cell>
          <cell r="T9">
            <v>15569</v>
          </cell>
        </row>
        <row r="10">
          <cell r="S10">
            <v>5394</v>
          </cell>
          <cell r="T10">
            <v>2334</v>
          </cell>
        </row>
        <row r="17">
          <cell r="S17">
            <v>7746</v>
          </cell>
          <cell r="T17">
            <v>7538</v>
          </cell>
        </row>
        <row r="18">
          <cell r="S18">
            <v>2160</v>
          </cell>
          <cell r="T18">
            <v>5570</v>
          </cell>
        </row>
        <row r="30">
          <cell r="S30">
            <v>7808</v>
          </cell>
          <cell r="T30">
            <v>7976</v>
          </cell>
        </row>
        <row r="31">
          <cell r="S31">
            <v>527</v>
          </cell>
          <cell r="T31">
            <v>486</v>
          </cell>
        </row>
        <row r="33">
          <cell r="S33">
            <v>37</v>
          </cell>
          <cell r="T33">
            <v>215</v>
          </cell>
        </row>
        <row r="34">
          <cell r="S34">
            <v>116</v>
          </cell>
          <cell r="T34">
            <v>156</v>
          </cell>
        </row>
        <row r="35">
          <cell r="S35">
            <v>31</v>
          </cell>
          <cell r="T35">
            <v>127</v>
          </cell>
        </row>
        <row r="37">
          <cell r="S37">
            <v>42</v>
          </cell>
          <cell r="T37">
            <v>36</v>
          </cell>
        </row>
        <row r="38">
          <cell r="S38">
            <v>0</v>
          </cell>
          <cell r="T38">
            <v>259</v>
          </cell>
        </row>
        <row r="39">
          <cell r="S39">
            <v>77</v>
          </cell>
          <cell r="T39">
            <v>79</v>
          </cell>
        </row>
        <row r="43">
          <cell r="T43">
            <v>11</v>
          </cell>
        </row>
        <row r="44">
          <cell r="S44">
            <v>0</v>
          </cell>
        </row>
        <row r="47">
          <cell r="S47">
            <v>0</v>
          </cell>
          <cell r="T47">
            <v>791</v>
          </cell>
        </row>
        <row r="67">
          <cell r="S67">
            <v>8707714620.13</v>
          </cell>
          <cell r="T67">
            <v>9164680375.35</v>
          </cell>
        </row>
        <row r="68">
          <cell r="S68">
            <v>262901764.08</v>
          </cell>
          <cell r="T68">
            <v>620363548.99</v>
          </cell>
        </row>
        <row r="75">
          <cell r="S75">
            <v>86028175</v>
          </cell>
          <cell r="T75">
            <v>102747061.14</v>
          </cell>
        </row>
        <row r="76">
          <cell r="S76">
            <v>9434650</v>
          </cell>
          <cell r="T76">
            <v>74538711.89</v>
          </cell>
        </row>
        <row r="88">
          <cell r="S88">
            <v>197118500</v>
          </cell>
          <cell r="T88">
            <v>614443125.85</v>
          </cell>
        </row>
        <row r="89">
          <cell r="S89">
            <v>8783357.14</v>
          </cell>
          <cell r="T89">
            <v>15023094</v>
          </cell>
        </row>
        <row r="91">
          <cell r="S91">
            <v>837595</v>
          </cell>
          <cell r="T91">
            <v>8564238.13</v>
          </cell>
        </row>
        <row r="92">
          <cell r="S92">
            <v>3459500</v>
          </cell>
          <cell r="T92">
            <v>15482086.09</v>
          </cell>
        </row>
        <row r="93">
          <cell r="S93">
            <v>1305000</v>
          </cell>
          <cell r="T93">
            <v>7013006.02</v>
          </cell>
        </row>
        <row r="95">
          <cell r="S95">
            <v>105000</v>
          </cell>
          <cell r="T95">
            <v>193120</v>
          </cell>
        </row>
        <row r="96">
          <cell r="S96">
            <v>0</v>
          </cell>
        </row>
        <row r="97">
          <cell r="S97">
            <v>26800</v>
          </cell>
          <cell r="T97">
            <v>463600</v>
          </cell>
        </row>
        <row r="101">
          <cell r="S101">
            <v>0</v>
          </cell>
          <cell r="T101">
            <v>260000</v>
          </cell>
        </row>
        <row r="105">
          <cell r="S105">
            <v>0</v>
          </cell>
          <cell r="T105">
            <v>37396500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Thrusday 02-08-01"/>
      <sheetName val="Thursday 02-01-01"/>
    </sheetNames>
    <sheetDataSet>
      <sheetData sheetId="0"/>
      <sheetData sheetId="1">
        <row r="9">
          <cell r="S9">
            <v>70009</v>
          </cell>
          <cell r="T9">
            <v>15569</v>
          </cell>
        </row>
        <row r="10">
          <cell r="S10">
            <v>5394</v>
          </cell>
          <cell r="T10">
            <v>2334</v>
          </cell>
        </row>
        <row r="17">
          <cell r="S17">
            <v>7746</v>
          </cell>
          <cell r="T17">
            <v>7538</v>
          </cell>
        </row>
        <row r="18">
          <cell r="S18">
            <v>2160</v>
          </cell>
          <cell r="T18">
            <v>5570</v>
          </cell>
        </row>
        <row r="30">
          <cell r="S30">
            <v>7808</v>
          </cell>
          <cell r="T30">
            <v>7976</v>
          </cell>
        </row>
        <row r="31">
          <cell r="S31">
            <v>527</v>
          </cell>
          <cell r="T31">
            <v>486</v>
          </cell>
        </row>
        <row r="33">
          <cell r="S33">
            <v>37</v>
          </cell>
          <cell r="T33">
            <v>215</v>
          </cell>
        </row>
        <row r="34">
          <cell r="S34">
            <v>116</v>
          </cell>
          <cell r="T34">
            <v>156</v>
          </cell>
        </row>
        <row r="35">
          <cell r="S35">
            <v>31</v>
          </cell>
          <cell r="T35">
            <v>127</v>
          </cell>
        </row>
        <row r="37">
          <cell r="S37">
            <v>42</v>
          </cell>
          <cell r="T37">
            <v>36</v>
          </cell>
        </row>
        <row r="38">
          <cell r="S38">
            <v>0</v>
          </cell>
          <cell r="T38">
            <v>259</v>
          </cell>
        </row>
        <row r="39">
          <cell r="S39">
            <v>77</v>
          </cell>
          <cell r="T39">
            <v>79</v>
          </cell>
        </row>
        <row r="43">
          <cell r="S43">
            <v>0</v>
          </cell>
          <cell r="T43">
            <v>11</v>
          </cell>
        </row>
        <row r="47">
          <cell r="S47">
            <v>0</v>
          </cell>
          <cell r="T47">
            <v>791</v>
          </cell>
        </row>
        <row r="67">
          <cell r="S67">
            <v>8707714620.13</v>
          </cell>
          <cell r="T67">
            <v>9164680375.35</v>
          </cell>
        </row>
        <row r="68">
          <cell r="S68">
            <v>262901764.08</v>
          </cell>
          <cell r="T68">
            <v>620363548.99</v>
          </cell>
        </row>
        <row r="75">
          <cell r="S75">
            <v>86028175</v>
          </cell>
          <cell r="T75">
            <v>102747061.14</v>
          </cell>
        </row>
        <row r="76">
          <cell r="S76">
            <v>9434650</v>
          </cell>
          <cell r="T76">
            <v>74538711.89</v>
          </cell>
        </row>
        <row r="88">
          <cell r="S88">
            <v>197118500</v>
          </cell>
          <cell r="T88">
            <v>614443125.85</v>
          </cell>
        </row>
        <row r="89">
          <cell r="S89">
            <v>8783357.14</v>
          </cell>
          <cell r="T89">
            <v>15023094</v>
          </cell>
        </row>
        <row r="91">
          <cell r="S91">
            <v>837595</v>
          </cell>
          <cell r="T91">
            <v>8564238.13</v>
          </cell>
        </row>
        <row r="92">
          <cell r="S92">
            <v>3459500</v>
          </cell>
          <cell r="T92">
            <v>15482086.09</v>
          </cell>
        </row>
        <row r="93">
          <cell r="S93">
            <v>1305000</v>
          </cell>
          <cell r="T93">
            <v>7013006.02</v>
          </cell>
        </row>
        <row r="95">
          <cell r="S95">
            <v>105000</v>
          </cell>
          <cell r="T95">
            <v>193120</v>
          </cell>
        </row>
        <row r="96">
          <cell r="S96">
            <v>0</v>
          </cell>
          <cell r="T96">
            <v>430703.55</v>
          </cell>
        </row>
        <row r="97">
          <cell r="S97">
            <v>26800</v>
          </cell>
          <cell r="T97">
            <v>463600</v>
          </cell>
        </row>
        <row r="101">
          <cell r="S101">
            <v>0</v>
          </cell>
          <cell r="T101">
            <v>260000</v>
          </cell>
        </row>
        <row r="105">
          <cell r="S105">
            <v>0</v>
          </cell>
          <cell r="T105">
            <v>37396500</v>
          </cell>
        </row>
      </sheetData>
      <sheetData sheetId="2">
        <row r="9">
          <cell r="S9">
            <v>55132</v>
          </cell>
          <cell r="T9">
            <v>13338</v>
          </cell>
        </row>
        <row r="10">
          <cell r="S10">
            <v>4311</v>
          </cell>
          <cell r="T10">
            <v>2004</v>
          </cell>
        </row>
        <row r="17">
          <cell r="S17">
            <v>5867</v>
          </cell>
          <cell r="T17">
            <v>6170</v>
          </cell>
        </row>
        <row r="18">
          <cell r="S18">
            <v>1788</v>
          </cell>
          <cell r="T18">
            <v>4558</v>
          </cell>
        </row>
        <row r="30">
          <cell r="S30">
            <v>6109</v>
          </cell>
          <cell r="T30">
            <v>6483</v>
          </cell>
        </row>
        <row r="31">
          <cell r="S31">
            <v>469</v>
          </cell>
          <cell r="T31">
            <v>397</v>
          </cell>
        </row>
        <row r="33">
          <cell r="S33">
            <v>36</v>
          </cell>
          <cell r="T33">
            <v>180</v>
          </cell>
        </row>
        <row r="34">
          <cell r="S34">
            <v>110</v>
          </cell>
          <cell r="T34">
            <v>133</v>
          </cell>
        </row>
        <row r="35">
          <cell r="S35">
            <v>29</v>
          </cell>
          <cell r="T35">
            <v>106</v>
          </cell>
        </row>
        <row r="37">
          <cell r="S37">
            <v>26</v>
          </cell>
          <cell r="T37">
            <v>19</v>
          </cell>
        </row>
        <row r="38">
          <cell r="S38">
            <v>0</v>
          </cell>
          <cell r="T38">
            <v>196</v>
          </cell>
        </row>
        <row r="39">
          <cell r="S39">
            <v>64</v>
          </cell>
          <cell r="T39">
            <v>68</v>
          </cell>
        </row>
        <row r="43">
          <cell r="S43">
            <v>0</v>
          </cell>
          <cell r="T43">
            <v>1</v>
          </cell>
        </row>
        <row r="47">
          <cell r="S47">
            <v>0</v>
          </cell>
          <cell r="T47">
            <v>638</v>
          </cell>
        </row>
        <row r="67">
          <cell r="S67">
            <v>6859320070</v>
          </cell>
          <cell r="T67">
            <v>7577517319.63</v>
          </cell>
        </row>
        <row r="68">
          <cell r="S68">
            <v>194044763.99</v>
          </cell>
          <cell r="T68">
            <v>538599790.29</v>
          </cell>
        </row>
        <row r="75">
          <cell r="S75">
            <v>64951720</v>
          </cell>
          <cell r="T75">
            <v>85928764.24</v>
          </cell>
        </row>
        <row r="76">
          <cell r="S76">
            <v>6934050</v>
          </cell>
          <cell r="T76">
            <v>63534098.65</v>
          </cell>
        </row>
        <row r="88">
          <cell r="S88">
            <v>153422000</v>
          </cell>
          <cell r="T88">
            <v>510007316.69</v>
          </cell>
        </row>
        <row r="89">
          <cell r="S89">
            <v>7757000</v>
          </cell>
          <cell r="T89">
            <v>10867017</v>
          </cell>
        </row>
        <row r="91">
          <cell r="S91">
            <v>832595</v>
          </cell>
          <cell r="T91">
            <v>7486462.2</v>
          </cell>
        </row>
        <row r="92">
          <cell r="S92">
            <v>3234500</v>
          </cell>
          <cell r="T92">
            <v>11572096.09</v>
          </cell>
        </row>
        <row r="93">
          <cell r="S93">
            <v>1215000</v>
          </cell>
          <cell r="T93">
            <v>5575507.02</v>
          </cell>
        </row>
        <row r="95">
          <cell r="S95">
            <v>65000</v>
          </cell>
          <cell r="T95">
            <v>133020</v>
          </cell>
        </row>
        <row r="96">
          <cell r="S96">
            <v>0</v>
          </cell>
          <cell r="T96">
            <v>370786.65</v>
          </cell>
        </row>
        <row r="97">
          <cell r="S97">
            <v>20400</v>
          </cell>
          <cell r="T97">
            <v>366600</v>
          </cell>
        </row>
        <row r="101">
          <cell r="S101">
            <v>0</v>
          </cell>
          <cell r="T101">
            <v>240000</v>
          </cell>
        </row>
        <row r="105">
          <cell r="S105">
            <v>0</v>
          </cell>
          <cell r="T105">
            <v>28642250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W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2.7"/>
    <col collapsed="false" customWidth="true" hidden="false" outlineLevel="0" max="4" min="3" style="0" width="12.56"/>
    <col collapsed="false" customWidth="true" hidden="false" outlineLevel="0" max="6" min="5" style="0" width="12.7"/>
    <col collapsed="false" customWidth="true" hidden="false" outlineLevel="0" max="7" min="7" style="0" width="12.56"/>
    <col collapsed="false" customWidth="true" hidden="false" outlineLevel="0" max="8" min="8" style="0" width="2.13"/>
    <col collapsed="false" customWidth="true" hidden="false" outlineLevel="0" max="9" min="9" style="0" width="24.13"/>
    <col collapsed="false" customWidth="true" hidden="false" outlineLevel="0" max="13" min="10" style="0" width="12.28"/>
    <col collapsed="false" customWidth="true" hidden="false" outlineLevel="0" max="14" min="14" style="0" width="11.42"/>
    <col collapsed="false" customWidth="true" hidden="false" outlineLevel="0" max="15" min="15" style="0" width="10.28"/>
    <col collapsed="false" customWidth="true" hidden="false" outlineLevel="0" max="16" min="16" style="0" width="2.28"/>
    <col collapsed="false" customWidth="true" hidden="false" outlineLevel="0" max="17" min="17" style="0" width="26.7"/>
    <col collapsed="false" customWidth="true" hidden="false" outlineLevel="0" max="20" min="18" style="0" width="12.42"/>
    <col collapsed="false" customWidth="true" hidden="false" outlineLevel="0" max="21" min="21" style="0" width="12.28"/>
    <col collapsed="false" customWidth="true" hidden="false" outlineLevel="0" max="23" min="22" style="0" width="11.56"/>
  </cols>
  <sheetData>
    <row r="7" customFormat="false" ht="12.75" hidden="false" customHeight="false" outlineLevel="0" collapsed="false">
      <c r="A7" s="1"/>
      <c r="B7" s="2"/>
      <c r="C7" s="2"/>
      <c r="D7" s="2"/>
      <c r="E7" s="2"/>
      <c r="F7" s="2"/>
      <c r="G7" s="3"/>
      <c r="I7" s="1"/>
      <c r="J7" s="2"/>
      <c r="K7" s="2"/>
      <c r="L7" s="2"/>
      <c r="M7" s="2"/>
      <c r="N7" s="2"/>
      <c r="O7" s="3"/>
      <c r="Q7" s="1"/>
      <c r="R7" s="2"/>
      <c r="S7" s="2"/>
      <c r="T7" s="2"/>
      <c r="U7" s="2"/>
      <c r="V7" s="2"/>
      <c r="W7" s="3"/>
    </row>
    <row r="8" customFormat="false" ht="15.75" hidden="false" customHeight="false" outlineLevel="0" collapsed="false">
      <c r="A8" s="4" t="s">
        <v>0</v>
      </c>
      <c r="B8" s="5"/>
      <c r="C8" s="5"/>
      <c r="D8" s="5"/>
      <c r="E8" s="5"/>
      <c r="F8" s="5"/>
      <c r="G8" s="6"/>
      <c r="H8" s="7"/>
      <c r="I8" s="8"/>
      <c r="J8" s="9" t="s">
        <v>1</v>
      </c>
      <c r="K8" s="9"/>
      <c r="L8" s="9"/>
      <c r="M8" s="9"/>
      <c r="N8" s="9"/>
      <c r="O8" s="9"/>
      <c r="P8" s="10"/>
      <c r="Q8" s="8"/>
      <c r="R8" s="9" t="s">
        <v>2</v>
      </c>
      <c r="S8" s="9"/>
      <c r="T8" s="9"/>
      <c r="U8" s="9"/>
      <c r="V8" s="9"/>
      <c r="W8" s="9"/>
    </row>
    <row r="9" customFormat="false" ht="15.75" hidden="false" customHeight="false" outlineLevel="0" collapsed="false">
      <c r="A9" s="8"/>
      <c r="B9" s="5"/>
      <c r="C9" s="5"/>
      <c r="D9" s="5"/>
      <c r="E9" s="5"/>
      <c r="F9" s="5"/>
      <c r="G9" s="6"/>
      <c r="H9" s="7"/>
      <c r="I9" s="8"/>
      <c r="J9" s="11"/>
      <c r="K9" s="11"/>
      <c r="L9" s="11"/>
      <c r="M9" s="11"/>
      <c r="N9" s="11"/>
      <c r="O9" s="9"/>
      <c r="P9" s="10"/>
      <c r="Q9" s="8"/>
      <c r="R9" s="11"/>
      <c r="S9" s="11"/>
      <c r="T9" s="11"/>
      <c r="U9" s="11"/>
      <c r="V9" s="11"/>
      <c r="W9" s="9"/>
    </row>
    <row r="10" customFormat="false" ht="16.5" hidden="false" customHeight="false" outlineLevel="0" collapsed="false">
      <c r="A10" s="12" t="s">
        <v>3</v>
      </c>
      <c r="B10" s="13"/>
      <c r="C10" s="13"/>
      <c r="D10" s="13"/>
      <c r="E10" s="14"/>
      <c r="F10" s="14"/>
      <c r="G10" s="15"/>
      <c r="H10" s="16"/>
      <c r="I10" s="17"/>
      <c r="J10" s="18" t="s">
        <v>4</v>
      </c>
      <c r="K10" s="18" t="s">
        <v>5</v>
      </c>
      <c r="L10" s="18" t="s">
        <v>6</v>
      </c>
      <c r="M10" s="18" t="s">
        <v>7</v>
      </c>
      <c r="N10" s="18" t="s">
        <v>8</v>
      </c>
      <c r="O10" s="19" t="s">
        <v>9</v>
      </c>
      <c r="P10" s="20"/>
      <c r="Q10" s="17"/>
      <c r="R10" s="18" t="s">
        <v>4</v>
      </c>
      <c r="S10" s="18" t="s">
        <v>5</v>
      </c>
      <c r="T10" s="18" t="s">
        <v>6</v>
      </c>
      <c r="U10" s="18" t="s">
        <v>7</v>
      </c>
      <c r="V10" s="18" t="s">
        <v>8</v>
      </c>
      <c r="W10" s="19" t="s">
        <v>9</v>
      </c>
    </row>
    <row r="11" customFormat="false" ht="16.5" hidden="false" customHeight="false" outlineLevel="0" collapsed="false">
      <c r="A11" s="21" t="s">
        <v>10</v>
      </c>
      <c r="B11" s="22"/>
      <c r="C11" s="22"/>
      <c r="D11" s="22"/>
      <c r="E11" s="5"/>
      <c r="F11" s="5"/>
      <c r="G11" s="6"/>
      <c r="H11" s="10"/>
      <c r="I11" s="23" t="s">
        <v>11</v>
      </c>
      <c r="O11" s="6"/>
      <c r="P11" s="10"/>
      <c r="Q11" s="24" t="s">
        <v>12</v>
      </c>
      <c r="W11" s="6"/>
    </row>
    <row r="12" customFormat="false" ht="16.5" hidden="false" customHeight="false" outlineLevel="0" collapsed="false">
      <c r="A12" s="25" t="s">
        <v>13</v>
      </c>
      <c r="B12" s="26"/>
      <c r="C12" s="26"/>
      <c r="D12" s="26"/>
      <c r="E12" s="27"/>
      <c r="F12" s="27"/>
      <c r="G12" s="28"/>
      <c r="H12" s="27"/>
      <c r="I12" s="29" t="s">
        <v>14</v>
      </c>
      <c r="J12" s="26" t="n">
        <f aca="false">Data!O12</f>
        <v>17309</v>
      </c>
      <c r="K12" s="26" t="n">
        <f aca="false">Data!P12</f>
        <v>17857</v>
      </c>
      <c r="L12" s="26" t="n">
        <f aca="false">Data!Q12</f>
        <v>16695</v>
      </c>
      <c r="M12" s="26" t="n">
        <f aca="false">Data!R12</f>
        <v>20584</v>
      </c>
      <c r="N12" s="26" t="n">
        <f aca="false">Data!S12</f>
        <v>20385</v>
      </c>
      <c r="O12" s="30" t="n">
        <f aca="false">SUM(J12:N12)</f>
        <v>92830</v>
      </c>
      <c r="P12" s="27"/>
      <c r="Q12" s="29" t="s">
        <v>15</v>
      </c>
      <c r="R12" s="31" t="n">
        <f aca="false">Data!O62</f>
        <v>4310.06590286</v>
      </c>
      <c r="S12" s="31" t="n">
        <f aca="false">Data!P62</f>
        <v>3630.70079056</v>
      </c>
      <c r="T12" s="31" t="n">
        <f aca="false">Data!Q62</f>
        <v>3471.97347516</v>
      </c>
      <c r="U12" s="31" t="n">
        <f aca="false">Data!R62</f>
        <v>4935.35787992</v>
      </c>
      <c r="V12" s="31" t="n">
        <f aca="false">Data!S62</f>
        <v>4600.91699527</v>
      </c>
      <c r="W12" s="30" t="n">
        <f aca="false">SUM(R12:V12)</f>
        <v>20949.01504377</v>
      </c>
    </row>
    <row r="13" customFormat="false" ht="16.5" hidden="false" customHeight="false" outlineLevel="0" collapsed="false">
      <c r="A13" s="21" t="s">
        <v>16</v>
      </c>
      <c r="B13" s="26"/>
      <c r="C13" s="26"/>
      <c r="D13" s="26"/>
      <c r="E13" s="27"/>
      <c r="F13" s="27"/>
      <c r="G13" s="28"/>
      <c r="H13" s="27"/>
      <c r="I13" s="29" t="s">
        <v>17</v>
      </c>
      <c r="J13" s="26" t="n">
        <f aca="false">Data!O15</f>
        <v>4415</v>
      </c>
      <c r="K13" s="26" t="n">
        <f aca="false">Data!P15</f>
        <v>4929</v>
      </c>
      <c r="L13" s="26" t="n">
        <f aca="false">Data!Q15</f>
        <v>4773</v>
      </c>
      <c r="M13" s="26" t="n">
        <f aca="false">Data!R15</f>
        <v>4796</v>
      </c>
      <c r="N13" s="26" t="n">
        <f aca="false">Data!S15</f>
        <v>5262</v>
      </c>
      <c r="O13" s="30" t="n">
        <f aca="false">SUM(J13:N13)</f>
        <v>24175</v>
      </c>
      <c r="P13" s="27"/>
      <c r="Q13" s="29" t="s">
        <v>18</v>
      </c>
      <c r="R13" s="31" t="n">
        <f aca="false">Data!O63</f>
        <v>49.60126031</v>
      </c>
      <c r="S13" s="31" t="n">
        <f aca="false">Data!P63</f>
        <v>52.89541797</v>
      </c>
      <c r="T13" s="31" t="n">
        <f aca="false">Data!Q63</f>
        <v>49.57737548</v>
      </c>
      <c r="U13" s="31" t="n">
        <f aca="false">Data!R63</f>
        <v>47.20059154</v>
      </c>
      <c r="V13" s="31" t="n">
        <f aca="false">Data!S63</f>
        <v>51.5222653</v>
      </c>
      <c r="W13" s="30" t="n">
        <f aca="false">SUM(R13:V13)</f>
        <v>250.7969106</v>
      </c>
    </row>
    <row r="14" customFormat="false" ht="16.5" hidden="false" customHeight="false" outlineLevel="0" collapsed="false">
      <c r="A14" s="21" t="s">
        <v>19</v>
      </c>
      <c r="B14" s="26"/>
      <c r="C14" s="13"/>
      <c r="D14" s="26"/>
      <c r="E14" s="27"/>
      <c r="F14" s="27"/>
      <c r="G14" s="28"/>
      <c r="H14" s="32"/>
      <c r="I14" s="29" t="s">
        <v>20</v>
      </c>
      <c r="J14" s="33" t="n">
        <f aca="false">+Data!O18</f>
        <v>0.755938132940527</v>
      </c>
      <c r="K14" s="33" t="n">
        <f aca="false">+Data!P18</f>
        <v>0.776310014921443</v>
      </c>
      <c r="L14" s="33" t="n">
        <f aca="false">+Data!Q18</f>
        <v>0.763415315818893</v>
      </c>
      <c r="M14" s="33" t="n">
        <f aca="false">+Data!R18</f>
        <v>0.747084318360914</v>
      </c>
      <c r="N14" s="33" t="n">
        <f aca="false">+Data!S18</f>
        <v>0.766015518384216</v>
      </c>
      <c r="O14" s="34"/>
      <c r="P14" s="27"/>
      <c r="Q14" s="24" t="s">
        <v>21</v>
      </c>
      <c r="R14" s="35"/>
      <c r="S14" s="35"/>
      <c r="T14" s="35"/>
      <c r="U14" s="35"/>
      <c r="V14" s="35"/>
      <c r="W14" s="30"/>
    </row>
    <row r="15" customFormat="false" ht="16.5" hidden="false" customHeight="false" outlineLevel="0" collapsed="false">
      <c r="A15" s="21" t="s">
        <v>22</v>
      </c>
      <c r="B15" s="26"/>
      <c r="C15" s="22"/>
      <c r="D15" s="26"/>
      <c r="E15" s="27"/>
      <c r="F15" s="27"/>
      <c r="G15" s="28"/>
      <c r="H15" s="27"/>
      <c r="I15" s="36" t="s">
        <v>23</v>
      </c>
      <c r="J15" s="35"/>
      <c r="K15" s="35"/>
      <c r="L15" s="35"/>
      <c r="M15" s="35"/>
      <c r="N15" s="35"/>
      <c r="O15" s="30"/>
      <c r="P15" s="27"/>
      <c r="Q15" s="29" t="s">
        <v>24</v>
      </c>
      <c r="R15" s="31" t="n">
        <f aca="false">+Data!O71</f>
        <v>163597.30816</v>
      </c>
      <c r="S15" s="31" t="n">
        <f aca="false">+Data!P71</f>
        <v>183852.27507</v>
      </c>
      <c r="T15" s="31" t="n">
        <f aca="false">+Data!Q71</f>
        <v>210839.72177</v>
      </c>
      <c r="U15" s="31" t="n">
        <f aca="false">+Data!R71</f>
        <v>193742.82989</v>
      </c>
      <c r="V15" s="31" t="n">
        <f aca="false">+Data!S71</f>
        <v>195484.8911</v>
      </c>
      <c r="W15" s="30" t="n">
        <f aca="false">SUM(R15:V15)</f>
        <v>947517.02599</v>
      </c>
    </row>
    <row r="16" customFormat="false" ht="16.5" hidden="false" customHeight="false" outlineLevel="0" collapsed="false">
      <c r="A16" s="25"/>
      <c r="B16" s="26"/>
      <c r="C16" s="26"/>
      <c r="D16" s="26"/>
      <c r="E16" s="27"/>
      <c r="F16" s="27"/>
      <c r="G16" s="28"/>
      <c r="H16" s="27"/>
      <c r="I16" s="29" t="s">
        <v>25</v>
      </c>
      <c r="J16" s="26" t="n">
        <f aca="false">Data!O23</f>
        <v>174</v>
      </c>
      <c r="K16" s="26" t="n">
        <f aca="false">Data!P23</f>
        <v>596</v>
      </c>
      <c r="L16" s="26" t="n">
        <f aca="false">Data!Q23</f>
        <v>306</v>
      </c>
      <c r="M16" s="26" t="n">
        <f aca="false">Data!R23</f>
        <v>552</v>
      </c>
      <c r="N16" s="26" t="n">
        <f aca="false">Data!S23</f>
        <v>537</v>
      </c>
      <c r="O16" s="30" t="n">
        <f aca="false">SUM(J16:N16)</f>
        <v>2165</v>
      </c>
      <c r="P16" s="27"/>
      <c r="Q16" s="29" t="s">
        <v>26</v>
      </c>
      <c r="R16" s="31" t="n">
        <f aca="false">+Data!O72</f>
        <v>2748.70002</v>
      </c>
      <c r="S16" s="31" t="n">
        <f aca="false">+Data!P72</f>
        <v>1955.00008</v>
      </c>
      <c r="T16" s="31" t="n">
        <f aca="false">+Data!Q72</f>
        <v>1257.95</v>
      </c>
      <c r="U16" s="31" t="n">
        <f aca="false">+Data!R72</f>
        <v>3280.003</v>
      </c>
      <c r="V16" s="31" t="n">
        <f aca="false">+Data!S72</f>
        <v>1233</v>
      </c>
      <c r="W16" s="30" t="n">
        <f aca="false">SUM(R16:V16)</f>
        <v>10474.6531</v>
      </c>
    </row>
    <row r="17" customFormat="false" ht="16.5" hidden="false" customHeight="false" outlineLevel="0" collapsed="false">
      <c r="A17" s="21"/>
      <c r="B17" s="26"/>
      <c r="C17" s="26"/>
      <c r="D17" s="26"/>
      <c r="E17" s="27"/>
      <c r="F17" s="27"/>
      <c r="G17" s="28"/>
      <c r="H17" s="27"/>
      <c r="I17" s="29" t="s">
        <v>27</v>
      </c>
      <c r="J17" s="26" t="n">
        <f aca="false">Data!O26</f>
        <v>3101</v>
      </c>
      <c r="K17" s="26" t="n">
        <f aca="false">Data!P26</f>
        <v>3017</v>
      </c>
      <c r="L17" s="26" t="n">
        <f aca="false">Data!Q26</f>
        <v>2897</v>
      </c>
      <c r="M17" s="26" t="n">
        <f aca="false">Data!R26</f>
        <v>2820</v>
      </c>
      <c r="N17" s="26" t="n">
        <f aca="false">Data!S26</f>
        <v>2992</v>
      </c>
      <c r="O17" s="30" t="n">
        <f aca="false">SUM(J17:N17)</f>
        <v>14827</v>
      </c>
      <c r="P17" s="27"/>
      <c r="Q17" s="29" t="s">
        <v>28</v>
      </c>
      <c r="R17" s="31" t="n">
        <f aca="false">+Data!O73</f>
        <v>5.2</v>
      </c>
      <c r="S17" s="31" t="n">
        <f aca="false">+Data!P73</f>
        <v>32.85</v>
      </c>
      <c r="T17" s="31" t="n">
        <f aca="false">+Data!Q73</f>
        <v>72.05</v>
      </c>
      <c r="U17" s="31" t="n">
        <f aca="false">+Data!R73</f>
        <v>101.95</v>
      </c>
      <c r="V17" s="31" t="n">
        <f aca="false">+Data!S73</f>
        <v>179</v>
      </c>
      <c r="W17" s="30" t="n">
        <f aca="false">SUM(R17:V17)</f>
        <v>391.05</v>
      </c>
    </row>
    <row r="18" customFormat="false" ht="16.5" hidden="false" customHeight="false" outlineLevel="0" collapsed="false">
      <c r="A18" s="37"/>
      <c r="B18" s="26"/>
      <c r="C18" s="26"/>
      <c r="D18" s="26"/>
      <c r="E18" s="27"/>
      <c r="F18" s="27"/>
      <c r="G18" s="28"/>
      <c r="H18" s="27"/>
      <c r="I18" s="29" t="s">
        <v>29</v>
      </c>
      <c r="J18" s="26" t="n">
        <f aca="false">Data!O29</f>
        <v>36</v>
      </c>
      <c r="K18" s="26" t="n">
        <f aca="false">Data!P29</f>
        <v>20</v>
      </c>
      <c r="L18" s="26" t="n">
        <f aca="false">Data!Q29</f>
        <v>33</v>
      </c>
      <c r="M18" s="26" t="n">
        <f aca="false">Data!R29</f>
        <v>25</v>
      </c>
      <c r="N18" s="26" t="n">
        <f aca="false">Data!S29</f>
        <v>20</v>
      </c>
      <c r="O18" s="30" t="n">
        <f aca="false">SUM(J18:N18)</f>
        <v>134</v>
      </c>
      <c r="P18" s="27"/>
      <c r="Q18" s="38" t="s">
        <v>30</v>
      </c>
      <c r="R18" s="26" t="n">
        <f aca="false">Data!O65</f>
        <v>120983.16</v>
      </c>
      <c r="S18" s="26" t="n">
        <f aca="false">Data!P65</f>
        <v>92583.55</v>
      </c>
      <c r="T18" s="26" t="n">
        <f aca="false">Data!Q65</f>
        <v>275762.31</v>
      </c>
      <c r="U18" s="26" t="n">
        <f aca="false">Data!R65</f>
        <v>169228.08</v>
      </c>
      <c r="V18" s="26" t="n">
        <f aca="false">Data!S65</f>
        <v>203727</v>
      </c>
      <c r="W18" s="30" t="n">
        <f aca="false">SUM(R18:V18)</f>
        <v>862284.1</v>
      </c>
    </row>
    <row r="19" customFormat="false" ht="16.5" hidden="false" customHeight="false" outlineLevel="0" collapsed="false">
      <c r="A19" s="37" t="s">
        <v>31</v>
      </c>
      <c r="B19" s="13"/>
      <c r="C19" s="26"/>
      <c r="D19" s="26"/>
      <c r="E19" s="27"/>
      <c r="F19" s="27"/>
      <c r="G19" s="28"/>
      <c r="H19" s="27"/>
      <c r="I19" s="29" t="s">
        <v>32</v>
      </c>
      <c r="J19" s="26" t="n">
        <f aca="false">Data!O32</f>
        <v>22</v>
      </c>
      <c r="K19" s="26" t="n">
        <f aca="false">Data!P32</f>
        <v>11</v>
      </c>
      <c r="L19" s="26" t="n">
        <f aca="false">Data!Q32</f>
        <v>17</v>
      </c>
      <c r="M19" s="26" t="n">
        <f aca="false">Data!R32</f>
        <v>7</v>
      </c>
      <c r="N19" s="26" t="n">
        <f aca="false">Data!S32</f>
        <v>10</v>
      </c>
      <c r="O19" s="30" t="n">
        <f aca="false">SUM(J19:N19)</f>
        <v>67</v>
      </c>
      <c r="P19" s="27"/>
      <c r="Q19" s="29" t="s">
        <v>33</v>
      </c>
      <c r="R19" s="31" t="n">
        <f aca="false">Data!N66</f>
        <v>0</v>
      </c>
      <c r="S19" s="31" t="n">
        <f aca="false">Data!O66</f>
        <v>0</v>
      </c>
      <c r="T19" s="31" t="n">
        <f aca="false">Data!P66</f>
        <v>0</v>
      </c>
      <c r="U19" s="31" t="n">
        <f aca="false">Data!Q66</f>
        <v>0</v>
      </c>
      <c r="V19" s="31" t="n">
        <f aca="false">Data!R66</f>
        <v>0</v>
      </c>
      <c r="W19" s="30" t="n">
        <f aca="false">SUM(R19:V19)</f>
        <v>0</v>
      </c>
    </row>
    <row r="20" customFormat="false" ht="16.5" hidden="false" customHeight="false" outlineLevel="0" collapsed="false">
      <c r="A20" s="21" t="s">
        <v>34</v>
      </c>
      <c r="B20" s="22"/>
      <c r="C20" s="26"/>
      <c r="D20" s="26"/>
      <c r="E20" s="27"/>
      <c r="F20" s="27"/>
      <c r="G20" s="28"/>
      <c r="H20" s="27"/>
      <c r="I20" s="29" t="s">
        <v>35</v>
      </c>
      <c r="J20" s="26" t="n">
        <f aca="false">Data!O35</f>
        <v>3</v>
      </c>
      <c r="K20" s="26" t="n">
        <f aca="false">Data!P35</f>
        <v>16</v>
      </c>
      <c r="L20" s="26" t="n">
        <f aca="false">Data!Q35</f>
        <v>16</v>
      </c>
      <c r="M20" s="26" t="n">
        <f aca="false">Data!R35</f>
        <v>23</v>
      </c>
      <c r="N20" s="26" t="n">
        <f aca="false">Data!S35</f>
        <v>17</v>
      </c>
      <c r="O20" s="30" t="n">
        <f aca="false">SUM(J20:N20)</f>
        <v>75</v>
      </c>
      <c r="P20" s="27"/>
      <c r="Q20" s="29" t="s">
        <v>36</v>
      </c>
      <c r="R20" s="31" t="n">
        <f aca="false">Data!N67</f>
        <v>0</v>
      </c>
      <c r="S20" s="31" t="n">
        <f aca="false">Data!O67</f>
        <v>0</v>
      </c>
      <c r="T20" s="31" t="n">
        <f aca="false">Data!P67</f>
        <v>0</v>
      </c>
      <c r="U20" s="31" t="n">
        <f aca="false">Data!Q67</f>
        <v>0</v>
      </c>
      <c r="V20" s="31" t="n">
        <f aca="false">Data!R67</f>
        <v>0</v>
      </c>
      <c r="W20" s="30" t="n">
        <f aca="false">SUM(R20:V20)</f>
        <v>0</v>
      </c>
    </row>
    <row r="21" customFormat="false" ht="16.5" hidden="false" customHeight="false" outlineLevel="0" collapsed="false">
      <c r="A21" s="21" t="s">
        <v>37</v>
      </c>
      <c r="B21" s="26"/>
      <c r="C21" s="26"/>
      <c r="D21" s="26"/>
      <c r="E21" s="27"/>
      <c r="F21" s="27"/>
      <c r="G21" s="28"/>
      <c r="H21" s="27"/>
      <c r="I21" s="29" t="s">
        <v>38</v>
      </c>
      <c r="J21" s="33" t="n">
        <f aca="false">+Data!O38</f>
        <v>0.407374100719425</v>
      </c>
      <c r="K21" s="33" t="n">
        <f aca="false">+Data!P38</f>
        <v>0.366120218579235</v>
      </c>
      <c r="L21" s="33" t="n">
        <f aca="false">+Data!Q38</f>
        <v>0.404405016824717</v>
      </c>
      <c r="M21" s="33" t="n">
        <f aca="false">+Data!R38</f>
        <v>0.318354245695944</v>
      </c>
      <c r="N21" s="33" t="n">
        <f aca="false">+Data!S38</f>
        <v>0.319351230425056</v>
      </c>
      <c r="O21" s="30"/>
      <c r="P21" s="27"/>
      <c r="Q21" s="29" t="s">
        <v>39</v>
      </c>
      <c r="R21" s="31" t="n">
        <f aca="false">Data!N68</f>
        <v>0</v>
      </c>
      <c r="S21" s="31" t="n">
        <f aca="false">Data!O68</f>
        <v>0</v>
      </c>
      <c r="T21" s="31" t="n">
        <f aca="false">Data!P68</f>
        <v>0</v>
      </c>
      <c r="U21" s="31" t="n">
        <f aca="false">Data!Q68</f>
        <v>0</v>
      </c>
      <c r="V21" s="31" t="n">
        <f aca="false">Data!R68</f>
        <v>0</v>
      </c>
      <c r="W21" s="30" t="n">
        <f aca="false">SUM(R21:V21)</f>
        <v>0</v>
      </c>
    </row>
    <row r="22" customFormat="false" ht="16.5" hidden="false" customHeight="false" outlineLevel="0" collapsed="false">
      <c r="A22" s="25" t="s">
        <v>40</v>
      </c>
      <c r="B22" s="26"/>
      <c r="C22" s="26"/>
      <c r="D22" s="26"/>
      <c r="E22" s="27"/>
      <c r="F22" s="27"/>
      <c r="G22" s="28"/>
      <c r="H22" s="27"/>
      <c r="I22" s="36" t="s">
        <v>41</v>
      </c>
      <c r="J22" s="35"/>
      <c r="K22" s="35"/>
      <c r="L22" s="35"/>
      <c r="M22" s="35"/>
      <c r="N22" s="35"/>
      <c r="O22" s="30"/>
      <c r="P22" s="27"/>
      <c r="Q22" s="39" t="s">
        <v>42</v>
      </c>
      <c r="R22" s="40" t="n">
        <f aca="false">Data!N69</f>
        <v>0</v>
      </c>
      <c r="S22" s="40" t="n">
        <f aca="false">Data!O69</f>
        <v>0</v>
      </c>
      <c r="T22" s="40" t="n">
        <f aca="false">Data!P69</f>
        <v>0</v>
      </c>
      <c r="U22" s="40" t="n">
        <f aca="false">Data!Q69</f>
        <v>0</v>
      </c>
      <c r="V22" s="40" t="n">
        <f aca="false">Data!R69</f>
        <v>0</v>
      </c>
      <c r="W22" s="41" t="n">
        <f aca="false">SUM(R22:V22)</f>
        <v>0</v>
      </c>
    </row>
    <row r="23" customFormat="false" ht="16.5" hidden="false" customHeight="false" outlineLevel="0" collapsed="false">
      <c r="A23" s="21" t="s">
        <v>43</v>
      </c>
      <c r="B23" s="26"/>
      <c r="C23" s="26"/>
      <c r="D23" s="26"/>
      <c r="E23" s="27"/>
      <c r="F23" s="27"/>
      <c r="G23" s="28"/>
      <c r="H23" s="27"/>
      <c r="I23" s="29" t="s">
        <v>33</v>
      </c>
      <c r="J23" s="26" t="n">
        <f aca="false">Data!O43</f>
        <v>20</v>
      </c>
      <c r="K23" s="26" t="n">
        <f aca="false">Data!P43</f>
        <v>46</v>
      </c>
      <c r="L23" s="26" t="n">
        <f aca="false">Data!Q43</f>
        <v>25</v>
      </c>
      <c r="M23" s="26" t="n">
        <f aca="false">Data!R43</f>
        <v>19</v>
      </c>
      <c r="N23" s="26" t="n">
        <f aca="false">Data!S43</f>
        <v>25</v>
      </c>
      <c r="O23" s="30" t="n">
        <f aca="false">SUM(J23:N23)</f>
        <v>135</v>
      </c>
      <c r="P23" s="27"/>
      <c r="Q23" s="42" t="s">
        <v>44</v>
      </c>
      <c r="R23" s="27"/>
      <c r="S23" s="27"/>
      <c r="T23" s="27"/>
      <c r="U23" s="27"/>
      <c r="V23" s="27"/>
      <c r="W23" s="27"/>
    </row>
    <row r="24" customFormat="false" ht="16.5" hidden="false" customHeight="false" outlineLevel="0" collapsed="false">
      <c r="A24" s="37"/>
      <c r="B24" s="26"/>
      <c r="C24" s="27"/>
      <c r="D24" s="27"/>
      <c r="E24" s="27"/>
      <c r="F24" s="27"/>
      <c r="G24" s="28"/>
      <c r="H24" s="27"/>
      <c r="I24" s="29" t="s">
        <v>36</v>
      </c>
      <c r="J24" s="26" t="n">
        <f aca="false">Data!O46</f>
        <v>32</v>
      </c>
      <c r="K24" s="26" t="n">
        <f aca="false">Data!P46</f>
        <v>26</v>
      </c>
      <c r="L24" s="26" t="n">
        <f aca="false">Data!Q46</f>
        <v>40</v>
      </c>
      <c r="M24" s="26" t="n">
        <f aca="false">Data!R46</f>
        <v>32</v>
      </c>
      <c r="N24" s="26" t="n">
        <f aca="false">Data!S46</f>
        <v>30</v>
      </c>
      <c r="O24" s="30" t="n">
        <f aca="false">SUM(J24:N24)</f>
        <v>160</v>
      </c>
      <c r="P24" s="27"/>
      <c r="Q24" s="43"/>
      <c r="R24" s="44" t="s">
        <v>45</v>
      </c>
      <c r="S24" s="44"/>
      <c r="T24" s="44"/>
      <c r="U24" s="44"/>
      <c r="V24" s="44"/>
      <c r="W24" s="45"/>
    </row>
    <row r="25" customFormat="false" ht="16.5" hidden="false" customHeight="false" outlineLevel="0" collapsed="false">
      <c r="A25" s="12"/>
      <c r="B25" s="26"/>
      <c r="C25" s="5"/>
      <c r="D25" s="5"/>
      <c r="E25" s="5"/>
      <c r="F25" s="5"/>
      <c r="G25" s="6"/>
      <c r="H25" s="10"/>
      <c r="I25" s="29" t="s">
        <v>39</v>
      </c>
      <c r="J25" s="26" t="n">
        <f aca="false">Data!O49</f>
        <v>84</v>
      </c>
      <c r="K25" s="26" t="n">
        <f aca="false">Data!P49</f>
        <v>80</v>
      </c>
      <c r="L25" s="26" t="n">
        <f aca="false">Data!Q49</f>
        <v>94</v>
      </c>
      <c r="M25" s="26" t="n">
        <f aca="false">Data!R49</f>
        <v>123</v>
      </c>
      <c r="N25" s="26" t="n">
        <f aca="false">Data!S49</f>
        <v>145</v>
      </c>
      <c r="O25" s="30" t="n">
        <f aca="false">SUM(J25:N25)</f>
        <v>526</v>
      </c>
      <c r="P25" s="10"/>
      <c r="Q25" s="17"/>
      <c r="R25" s="18" t="s">
        <v>4</v>
      </c>
      <c r="S25" s="18" t="s">
        <v>5</v>
      </c>
      <c r="T25" s="18" t="s">
        <v>6</v>
      </c>
      <c r="U25" s="18" t="s">
        <v>7</v>
      </c>
      <c r="V25" s="18" t="s">
        <v>8</v>
      </c>
      <c r="W25" s="46"/>
    </row>
    <row r="26" customFormat="false" ht="16.5" hidden="false" customHeight="false" outlineLevel="0" collapsed="false">
      <c r="A26" s="47"/>
      <c r="B26" s="27"/>
      <c r="C26" s="5"/>
      <c r="D26" s="5"/>
      <c r="E26" s="5"/>
      <c r="F26" s="5"/>
      <c r="G26" s="6"/>
      <c r="H26" s="10"/>
      <c r="I26" s="29" t="s">
        <v>42</v>
      </c>
      <c r="J26" s="26" t="n">
        <f aca="false">Data!O52</f>
        <v>0</v>
      </c>
      <c r="K26" s="26" t="n">
        <f aca="false">Data!P52</f>
        <v>0</v>
      </c>
      <c r="L26" s="26" t="n">
        <f aca="false">Data!Q52</f>
        <v>2</v>
      </c>
      <c r="M26" s="26" t="n">
        <f aca="false">Data!R52</f>
        <v>7</v>
      </c>
      <c r="N26" s="26" t="n">
        <f aca="false">Data!S52</f>
        <v>1</v>
      </c>
      <c r="O26" s="30" t="n">
        <f aca="false">SUM(J26:N26)</f>
        <v>10</v>
      </c>
      <c r="P26" s="10"/>
      <c r="Q26" s="24" t="s">
        <v>46</v>
      </c>
      <c r="R26" s="5" t="n">
        <v>7</v>
      </c>
      <c r="S26" s="5" t="n">
        <v>4</v>
      </c>
      <c r="T26" s="5" t="n">
        <v>3</v>
      </c>
      <c r="U26" s="5" t="n">
        <v>5</v>
      </c>
      <c r="V26" s="5" t="n">
        <v>13</v>
      </c>
      <c r="W26" s="46"/>
    </row>
    <row r="27" customFormat="false" ht="15.75" hidden="false" customHeight="false" outlineLevel="0" collapsed="false">
      <c r="A27" s="48"/>
      <c r="B27" s="5"/>
      <c r="C27" s="5"/>
      <c r="D27" s="5"/>
      <c r="E27" s="5"/>
      <c r="F27" s="5"/>
      <c r="G27" s="6"/>
      <c r="H27" s="10"/>
      <c r="I27" s="29" t="s">
        <v>47</v>
      </c>
      <c r="J27" s="49" t="n">
        <f aca="false">+Data!O55</f>
        <v>0.0808823529411765</v>
      </c>
      <c r="K27" s="49" t="n">
        <f aca="false">+Data!P55</f>
        <v>0.118421052631579</v>
      </c>
      <c r="L27" s="49" t="n">
        <f aca="false">+Data!Q55</f>
        <v>0.0496894409937888</v>
      </c>
      <c r="M27" s="49" t="n">
        <f aca="false">+Data!R55</f>
        <v>0.116022099447514</v>
      </c>
      <c r="N27" s="49" t="n">
        <f aca="false">+Data!S55</f>
        <v>0.0348258706467662</v>
      </c>
      <c r="O27" s="50"/>
      <c r="P27" s="10"/>
      <c r="Q27" s="51"/>
      <c r="R27" s="5"/>
      <c r="S27" s="5"/>
      <c r="T27" s="5"/>
      <c r="U27" s="5"/>
      <c r="V27" s="5"/>
      <c r="W27" s="46"/>
    </row>
    <row r="28" customFormat="false" ht="15.75" hidden="false" customHeight="false" outlineLevel="0" collapsed="false">
      <c r="A28" s="48"/>
      <c r="B28" s="5"/>
      <c r="C28" s="5"/>
      <c r="D28" s="5"/>
      <c r="E28" s="5"/>
      <c r="F28" s="5"/>
      <c r="G28" s="6"/>
      <c r="H28" s="10"/>
      <c r="I28" s="52"/>
      <c r="J28" s="53"/>
      <c r="K28" s="53"/>
      <c r="L28" s="53"/>
      <c r="M28" s="53"/>
      <c r="N28" s="53"/>
      <c r="O28" s="50"/>
      <c r="P28" s="10"/>
      <c r="Q28" s="24" t="s">
        <v>48</v>
      </c>
      <c r="R28" s="5" t="n">
        <v>80</v>
      </c>
      <c r="S28" s="5" t="n">
        <v>228</v>
      </c>
      <c r="T28" s="5" t="n">
        <v>167</v>
      </c>
      <c r="U28" s="5" t="n">
        <v>316</v>
      </c>
      <c r="V28" s="5" t="n">
        <v>126</v>
      </c>
      <c r="W28" s="46"/>
    </row>
    <row r="29" customFormat="false" ht="15" hidden="false" customHeight="false" outlineLevel="0" collapsed="false">
      <c r="A29" s="54"/>
      <c r="B29" s="55"/>
      <c r="C29" s="55"/>
      <c r="D29" s="55"/>
      <c r="E29" s="55"/>
      <c r="F29" s="55"/>
      <c r="G29" s="56"/>
      <c r="H29" s="10"/>
      <c r="I29" s="57"/>
      <c r="J29" s="58"/>
      <c r="K29" s="58"/>
      <c r="L29" s="58"/>
      <c r="M29" s="58"/>
      <c r="N29" s="58"/>
      <c r="O29" s="59"/>
      <c r="P29" s="10"/>
      <c r="Q29" s="60"/>
      <c r="R29" s="61"/>
      <c r="S29" s="61"/>
      <c r="T29" s="55"/>
      <c r="U29" s="55"/>
      <c r="V29" s="55"/>
      <c r="W29" s="56"/>
    </row>
    <row r="30" customFormat="false" ht="12.75" hidden="false" customHeight="false" outlineLevel="0" collapsed="false">
      <c r="A30" s="62"/>
      <c r="B30" s="63"/>
      <c r="C30" s="63"/>
      <c r="D30" s="63"/>
      <c r="E30" s="63"/>
      <c r="F30" s="63"/>
      <c r="G30" s="63"/>
      <c r="I30" s="64"/>
      <c r="J30" s="64"/>
      <c r="K30" s="64"/>
      <c r="L30" s="63"/>
      <c r="M30" s="63"/>
      <c r="N30" s="63"/>
      <c r="O30" s="63"/>
      <c r="Q30" s="64"/>
      <c r="R30" s="64"/>
      <c r="S30" s="64"/>
      <c r="T30" s="63"/>
      <c r="U30" s="63"/>
      <c r="V30" s="63"/>
      <c r="W30" s="63"/>
    </row>
    <row r="31" customFormat="false" ht="12.75" hidden="false" customHeight="true" outlineLevel="0" collapsed="false">
      <c r="A31" s="65"/>
      <c r="J31" s="63"/>
      <c r="K31" s="63"/>
      <c r="L31" s="63"/>
      <c r="M31" s="63"/>
      <c r="N31" s="63"/>
      <c r="O31" s="63"/>
      <c r="P31" s="63"/>
      <c r="Q31" s="66"/>
      <c r="R31" s="66"/>
      <c r="S31" s="66"/>
      <c r="T31" s="66"/>
      <c r="U31" s="66"/>
      <c r="V31" s="66"/>
      <c r="W31" s="66"/>
    </row>
    <row r="32" customFormat="false" ht="12.75" hidden="false" customHeight="true" outlineLevel="0" collapsed="false">
      <c r="A32" s="67"/>
    </row>
    <row r="33" customFormat="false" ht="12.75" hidden="false" customHeight="true" outlineLevel="0" collapsed="false">
      <c r="A33" s="67"/>
    </row>
    <row r="34" customFormat="false" ht="12.75" hidden="false" customHeight="true" outlineLevel="0" collapsed="false">
      <c r="A34" s="64"/>
    </row>
    <row r="35" customFormat="false" ht="12.75" hidden="false" customHeight="true" outlineLevel="0" collapsed="false">
      <c r="A35" s="64"/>
    </row>
    <row r="36" customFormat="false" ht="12.75" hidden="false" customHeight="true" outlineLevel="0" collapsed="false">
      <c r="A36" s="64"/>
    </row>
    <row r="37" customFormat="false" ht="12.75" hidden="false" customHeight="true" outlineLevel="0" collapsed="false">
      <c r="A37" s="64"/>
    </row>
    <row r="38" customFormat="false" ht="12.75" hidden="false" customHeight="true" outlineLevel="0" collapsed="false">
      <c r="A38" s="64"/>
    </row>
    <row r="39" customFormat="false" ht="12.75" hidden="false" customHeight="true" outlineLevel="0" collapsed="false">
      <c r="A39" s="64"/>
    </row>
    <row r="40" customFormat="false" ht="12.75" hidden="false" customHeight="true" outlineLevel="0" collapsed="false">
      <c r="A40" s="64"/>
    </row>
    <row r="41" customFormat="false" ht="12.75" hidden="false" customHeight="true" outlineLevel="0" collapsed="false">
      <c r="A41" s="63"/>
    </row>
    <row r="42" customFormat="false" ht="12.75" hidden="false" customHeight="true" outlineLevel="0" collapsed="false">
      <c r="A42" s="63"/>
    </row>
    <row r="43" customFormat="false" ht="12.75" hidden="false" customHeight="true" outlineLevel="0" collapsed="false">
      <c r="A43" s="63"/>
    </row>
    <row r="44" customFormat="false" ht="12.75" hidden="false" customHeight="true" outlineLevel="0" collapsed="false">
      <c r="A44" s="63"/>
    </row>
    <row r="45" customFormat="false" ht="12.75" hidden="false" customHeight="true" outlineLevel="0" collapsed="false">
      <c r="A45" s="63"/>
    </row>
    <row r="46" customFormat="false" ht="12.75" hidden="false" customHeight="true" outlineLevel="0" collapsed="false">
      <c r="A46" s="35"/>
    </row>
    <row r="47" customFormat="false" ht="12.75" hidden="false" customHeight="true" outlineLevel="0" collapsed="false">
      <c r="A47" s="35"/>
    </row>
    <row r="48" customFormat="false" ht="12.75" hidden="false" customHeight="true" outlineLevel="0" collapsed="false">
      <c r="A48" s="68"/>
    </row>
    <row r="49" customFormat="false" ht="12.75" hidden="false" customHeight="true" outlineLevel="0" collapsed="false">
      <c r="A49" s="68"/>
    </row>
    <row r="50" customFormat="false" ht="12.75" hidden="false" customHeight="true" outlineLevel="0" collapsed="false">
      <c r="A50" s="68"/>
    </row>
    <row r="51" customFormat="false" ht="12.75" hidden="false" customHeight="true" outlineLevel="0" collapsed="false">
      <c r="A51" s="68"/>
    </row>
    <row r="52" customFormat="false" ht="12.75" hidden="false" customHeight="true" outlineLevel="0" collapsed="false">
      <c r="A52" s="68"/>
    </row>
    <row r="53" customFormat="false" ht="12.75" hidden="false" customHeight="true" outlineLevel="0" collapsed="false">
      <c r="A53" s="68"/>
    </row>
    <row r="54" customFormat="false" ht="12.75" hidden="false" customHeight="true" outlineLevel="0" collapsed="false">
      <c r="A54" s="68"/>
    </row>
    <row r="55" customFormat="false" ht="12.75" hidden="false" customHeight="true" outlineLevel="0" collapsed="false">
      <c r="A55" s="68"/>
    </row>
    <row r="56" customFormat="false" ht="12.75" hidden="false" customHeight="true" outlineLevel="0" collapsed="false">
      <c r="A56" s="68"/>
    </row>
    <row r="57" customFormat="false" ht="12.75" hidden="false" customHeight="true" outlineLevel="0" collapsed="false">
      <c r="A57" s="68"/>
    </row>
    <row r="58" customFormat="false" ht="12.75" hidden="false" customHeight="true" outlineLevel="0" collapsed="false">
      <c r="A58" s="68"/>
    </row>
    <row r="59" customFormat="false" ht="12.75" hidden="false" customHeight="true" outlineLevel="0" collapsed="false">
      <c r="A59" s="68"/>
    </row>
    <row r="60" customFormat="false" ht="12.75" hidden="false" customHeight="true" outlineLevel="0" collapsed="false">
      <c r="A60" s="68"/>
    </row>
    <row r="61" customFormat="false" ht="12.75" hidden="false" customHeight="true" outlineLevel="0" collapsed="false">
      <c r="A61" s="68"/>
    </row>
    <row r="62" customFormat="false" ht="12.75" hidden="false" customHeight="true" outlineLevel="0" collapsed="false">
      <c r="A62" s="68"/>
    </row>
    <row r="63" customFormat="false" ht="12.75" hidden="false" customHeight="true" outlineLevel="0" collapsed="false">
      <c r="A63" s="68"/>
    </row>
    <row r="64" customFormat="false" ht="12.75" hidden="false" customHeight="true" outlineLevel="0" collapsed="false">
      <c r="A64" s="68"/>
    </row>
    <row r="65" customFormat="false" ht="12.75" hidden="false" customHeight="true" outlineLevel="0" collapsed="false">
      <c r="A65" s="68"/>
    </row>
    <row r="66" customFormat="false" ht="12.75" hidden="false" customHeight="true" outlineLevel="0" collapsed="false">
      <c r="A66" s="68"/>
    </row>
    <row r="67" customFormat="false" ht="12.75" hidden="false" customHeight="true" outlineLevel="0" collapsed="false">
      <c r="A67" s="68"/>
    </row>
    <row r="68" customFormat="false" ht="12.75" hidden="false" customHeight="true" outlineLevel="0" collapsed="false">
      <c r="A68" s="69"/>
    </row>
    <row r="69" customFormat="false" ht="12.75" hidden="false" customHeight="true" outlineLevel="0" collapsed="false">
      <c r="A69" s="70"/>
    </row>
    <row r="70" customFormat="false" ht="12.75" hidden="false" customHeight="true" outlineLevel="0" collapsed="false">
      <c r="A70" s="67"/>
    </row>
    <row r="71" customFormat="false" ht="12.75" hidden="false" customHeight="true" outlineLevel="0" collapsed="false">
      <c r="A71" s="67"/>
    </row>
    <row r="72" customFormat="false" ht="12.75" hidden="false" customHeight="true" outlineLevel="0" collapsed="false">
      <c r="A72" s="67"/>
    </row>
    <row r="73" customFormat="false" ht="12.75" hidden="false" customHeight="true" outlineLevel="0" collapsed="false">
      <c r="A73" s="67"/>
    </row>
    <row r="74" customFormat="false" ht="12.75" hidden="false" customHeight="true" outlineLevel="0" collapsed="false">
      <c r="A74" s="67"/>
    </row>
    <row r="75" customFormat="false" ht="12.75" hidden="false" customHeight="true" outlineLevel="0" collapsed="false">
      <c r="A75" s="67"/>
    </row>
    <row r="76" customFormat="false" ht="12.75" hidden="false" customHeight="true" outlineLevel="0" collapsed="false">
      <c r="A76" s="64"/>
    </row>
    <row r="77" customFormat="false" ht="12.75" hidden="false" customHeight="true" outlineLevel="0" collapsed="false">
      <c r="A77" s="63"/>
    </row>
    <row r="78" customFormat="false" ht="12.75" hidden="false" customHeight="true" outlineLevel="0" collapsed="false">
      <c r="A78" s="35"/>
    </row>
    <row r="79" customFormat="false" ht="12.75" hidden="false" customHeight="true" outlineLevel="0" collapsed="false">
      <c r="A79" s="35"/>
    </row>
    <row r="80" customFormat="false" ht="12.75" hidden="false" customHeight="true" outlineLevel="0" collapsed="false">
      <c r="A80" s="68"/>
    </row>
    <row r="81" customFormat="false" ht="12.75" hidden="false" customHeight="true" outlineLevel="0" collapsed="false">
      <c r="A81" s="68"/>
    </row>
    <row r="82" customFormat="false" ht="12.75" hidden="false" customHeight="true" outlineLevel="0" collapsed="false">
      <c r="A82" s="68"/>
    </row>
    <row r="83" customFormat="false" ht="12.75" hidden="false" customHeight="true" outlineLevel="0" collapsed="false">
      <c r="A83" s="68"/>
    </row>
    <row r="84" customFormat="false" ht="12.75" hidden="false" customHeight="true" outlineLevel="0" collapsed="false">
      <c r="A84" s="68"/>
    </row>
    <row r="85" customFormat="false" ht="12.75" hidden="false" customHeight="true" outlineLevel="0" collapsed="false">
      <c r="A85" s="68"/>
    </row>
    <row r="86" customFormat="false" ht="12.75" hidden="false" customHeight="true" outlineLevel="0" collapsed="false">
      <c r="A86" s="68"/>
    </row>
    <row r="87" customFormat="false" ht="12.75" hidden="false" customHeight="true" outlineLevel="0" collapsed="false">
      <c r="A87" s="63"/>
    </row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</sheetData>
  <mergeCells count="3">
    <mergeCell ref="J8:O8"/>
    <mergeCell ref="R8:W8"/>
    <mergeCell ref="R24:V24"/>
  </mergeCells>
  <printOptions headings="false" gridLines="false" gridLinesSet="true" horizontalCentered="true" verticalCentered="true"/>
  <pageMargins left="0.170138888888889" right="0.159722222222222" top="0.5" bottom="0.3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&amp;L&amp;"Arial,Bold"&amp;18Global Risk Management Operations
Contact:    Sally Beck x35926&amp;C&amp;"Arial,Bold"&amp;18Weekly Report
Week of March 29 - April 4</oddHeader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0" activeCellId="0" sqref="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3" t="s">
        <v>83</v>
      </c>
    </row>
    <row r="2" customFormat="false" ht="12.75" hidden="false" customHeight="false" outlineLevel="0" collapsed="false">
      <c r="B2" s="144" t="s">
        <v>176</v>
      </c>
      <c r="C2" s="144"/>
      <c r="D2" s="145" t="s">
        <v>159</v>
      </c>
    </row>
    <row r="3" customFormat="false" ht="12.75" hidden="false" customHeight="false" outlineLevel="0" collapsed="false">
      <c r="A3" s="146" t="s">
        <v>160</v>
      </c>
      <c r="B3" s="69" t="s">
        <v>1</v>
      </c>
      <c r="C3" s="69" t="s">
        <v>161</v>
      </c>
      <c r="D3" s="147" t="s">
        <v>122</v>
      </c>
    </row>
    <row r="4" customFormat="false" ht="12.75" hidden="false" customHeight="false" outlineLevel="0" collapsed="false">
      <c r="A4" s="84"/>
      <c r="B4" s="84"/>
      <c r="C4" s="84"/>
    </row>
    <row r="5" customFormat="false" ht="12.75" hidden="false" customHeight="false" outlineLevel="0" collapsed="false">
      <c r="A5" s="78" t="s">
        <v>11</v>
      </c>
      <c r="B5" s="148"/>
      <c r="C5" s="148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9" t="s">
        <v>14</v>
      </c>
      <c r="B6" s="150" t="n">
        <v>14137</v>
      </c>
      <c r="C6" s="35" t="n">
        <v>1754284573.9</v>
      </c>
      <c r="D6" s="74" t="s">
        <v>81</v>
      </c>
      <c r="E6" s="86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9" t="s">
        <v>17</v>
      </c>
      <c r="B7" s="150" t="n">
        <v>2252</v>
      </c>
      <c r="C7" s="35" t="n">
        <v>18605150</v>
      </c>
      <c r="D7" s="74" t="s">
        <v>85</v>
      </c>
      <c r="E7" s="86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78" t="s">
        <v>23</v>
      </c>
      <c r="B8" s="151"/>
      <c r="C8" s="152"/>
      <c r="D8" s="74"/>
      <c r="E8" s="8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9" t="s">
        <v>27</v>
      </c>
      <c r="B9" s="150" t="n">
        <v>1314</v>
      </c>
      <c r="C9" s="79" t="n">
        <v>44978000.01</v>
      </c>
      <c r="D9" s="74" t="s">
        <v>92</v>
      </c>
      <c r="E9" s="8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9" t="s">
        <v>29</v>
      </c>
      <c r="B10" s="150" t="n">
        <v>1</v>
      </c>
      <c r="C10" s="79" t="n">
        <v>23250</v>
      </c>
      <c r="D10" s="74" t="s">
        <v>95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9" t="s">
        <v>162</v>
      </c>
      <c r="B11" s="150" t="n">
        <v>0</v>
      </c>
      <c r="C11" s="79" t="n">
        <v>0</v>
      </c>
      <c r="D11" s="74" t="s">
        <v>95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9" t="s">
        <v>32</v>
      </c>
      <c r="B12" s="150" t="n">
        <v>5</v>
      </c>
      <c r="C12" s="79" t="n">
        <v>1500</v>
      </c>
      <c r="D12" s="74" t="s">
        <v>98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25</v>
      </c>
      <c r="B13" s="150" t="n">
        <v>0</v>
      </c>
      <c r="C13" s="150" t="n">
        <v>0</v>
      </c>
      <c r="D13" s="74" t="s">
        <v>100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9" t="s">
        <v>35</v>
      </c>
      <c r="B14" s="150" t="n">
        <v>2</v>
      </c>
      <c r="C14" s="150" t="n">
        <v>5000</v>
      </c>
      <c r="D14" s="74" t="s">
        <v>102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78" t="s">
        <v>41</v>
      </c>
      <c r="B15" s="151"/>
      <c r="C15" s="152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9" t="s">
        <v>163</v>
      </c>
      <c r="B16" s="150" t="n">
        <v>0</v>
      </c>
      <c r="C16" s="150" t="n">
        <v>0</v>
      </c>
      <c r="D16" s="74" t="s">
        <v>95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9" t="s">
        <v>42</v>
      </c>
      <c r="B17" s="150" t="n">
        <v>0</v>
      </c>
      <c r="C17" s="150" t="n">
        <v>0</v>
      </c>
      <c r="D17" s="74" t="s">
        <v>95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150"/>
      <c r="C18" s="150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150"/>
      <c r="C19" s="150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4" t="s">
        <v>164</v>
      </c>
      <c r="B20" s="151" t="n">
        <v>2</v>
      </c>
      <c r="C20" s="151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150"/>
      <c r="C21" s="150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150"/>
      <c r="C22" s="150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150"/>
      <c r="C23" s="150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3" t="s">
        <v>150</v>
      </c>
      <c r="B24" s="154"/>
      <c r="C24" s="154"/>
    </row>
    <row r="25" customFormat="false" ht="12.75" hidden="false" customHeight="false" outlineLevel="0" collapsed="false">
      <c r="B25" s="155" t="s">
        <v>176</v>
      </c>
      <c r="C25" s="155"/>
      <c r="D25" s="145" t="s">
        <v>159</v>
      </c>
    </row>
    <row r="26" customFormat="false" ht="12.75" hidden="false" customHeight="false" outlineLevel="0" collapsed="false">
      <c r="A26" s="146" t="s">
        <v>160</v>
      </c>
      <c r="B26" s="156" t="s">
        <v>1</v>
      </c>
      <c r="C26" s="156" t="s">
        <v>161</v>
      </c>
      <c r="D26" s="147" t="s">
        <v>122</v>
      </c>
    </row>
    <row r="27" customFormat="false" ht="12.75" hidden="false" customHeight="false" outlineLevel="0" collapsed="false">
      <c r="A27" s="84"/>
      <c r="B27" s="157"/>
      <c r="C27" s="157"/>
    </row>
    <row r="28" customFormat="false" ht="12.75" hidden="false" customHeight="false" outlineLevel="0" collapsed="false">
      <c r="A28" s="78" t="s">
        <v>11</v>
      </c>
      <c r="B28" s="150"/>
      <c r="C28" s="150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9" t="s">
        <v>14</v>
      </c>
      <c r="B29" s="150" t="n">
        <v>2558</v>
      </c>
      <c r="C29" s="150" t="n">
        <v>1717688901.26</v>
      </c>
      <c r="D29" s="74" t="s">
        <v>81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9" t="s">
        <v>17</v>
      </c>
      <c r="B30" s="150" t="n">
        <v>2521</v>
      </c>
      <c r="C30" s="150" t="n">
        <v>30972225.48</v>
      </c>
      <c r="D30" s="74" t="s">
        <v>85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78" t="s">
        <v>23</v>
      </c>
      <c r="B31" s="151"/>
      <c r="C31" s="150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9" t="s">
        <v>27</v>
      </c>
      <c r="B32" s="150" t="n">
        <v>1583</v>
      </c>
      <c r="C32" s="150" t="n">
        <v>165861721.76</v>
      </c>
      <c r="D32" s="74" t="s">
        <v>92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9" t="s">
        <v>29</v>
      </c>
      <c r="B33" s="150" t="n">
        <v>27</v>
      </c>
      <c r="C33" s="150" t="n">
        <v>1028500</v>
      </c>
      <c r="D33" s="74" t="s">
        <v>95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9" t="s">
        <v>162</v>
      </c>
      <c r="B34" s="150" t="n">
        <v>5</v>
      </c>
      <c r="C34" s="150" t="n">
        <v>206200</v>
      </c>
      <c r="D34" s="74" t="s">
        <v>95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9" t="s">
        <v>32</v>
      </c>
      <c r="B35" s="150" t="n">
        <v>12</v>
      </c>
      <c r="C35" s="150" t="n">
        <v>52500</v>
      </c>
      <c r="D35" s="74" t="s">
        <v>98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9" t="s">
        <v>25</v>
      </c>
      <c r="B36" s="150" t="n">
        <v>306</v>
      </c>
      <c r="C36" s="150" t="n">
        <v>8685000</v>
      </c>
      <c r="D36" s="74" t="s">
        <v>100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9" t="s">
        <v>35</v>
      </c>
      <c r="B37" s="150" t="n">
        <v>14</v>
      </c>
      <c r="C37" s="150" t="n">
        <v>67050</v>
      </c>
      <c r="D37" s="74" t="s">
        <v>102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78" t="s">
        <v>41</v>
      </c>
      <c r="B38" s="151"/>
      <c r="C38" s="150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9" t="s">
        <v>163</v>
      </c>
      <c r="B39" s="150" t="n">
        <v>207</v>
      </c>
      <c r="C39" s="150" t="n">
        <v>268130.31</v>
      </c>
      <c r="D39" s="74" t="s">
        <v>95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9" t="s">
        <v>42</v>
      </c>
      <c r="B40" s="150" t="n">
        <v>14</v>
      </c>
      <c r="C40" s="150" t="n">
        <v>5600</v>
      </c>
      <c r="D40" s="74" t="s">
        <v>95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9"/>
      <c r="B41" s="150"/>
      <c r="C41" s="150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150"/>
      <c r="C42" s="150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150"/>
      <c r="C43" s="150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3" t="s">
        <v>165</v>
      </c>
      <c r="B44" s="154"/>
      <c r="C44" s="154"/>
    </row>
    <row r="45" customFormat="false" ht="12.75" hidden="false" customHeight="false" outlineLevel="0" collapsed="false">
      <c r="B45" s="144" t="s">
        <v>176</v>
      </c>
      <c r="C45" s="144"/>
      <c r="D45" s="145" t="s">
        <v>159</v>
      </c>
    </row>
    <row r="46" customFormat="false" ht="12.75" hidden="false" customHeight="false" outlineLevel="0" collapsed="false">
      <c r="A46" s="146" t="s">
        <v>160</v>
      </c>
      <c r="B46" s="69" t="s">
        <v>1</v>
      </c>
      <c r="C46" s="69" t="s">
        <v>161</v>
      </c>
      <c r="D46" s="147" t="s">
        <v>122</v>
      </c>
    </row>
    <row r="48" customFormat="false" ht="12.75" hidden="false" customHeight="false" outlineLevel="0" collapsed="false">
      <c r="A48" s="78" t="s">
        <v>41</v>
      </c>
      <c r="B48" s="35"/>
      <c r="C48" s="35"/>
    </row>
    <row r="49" customFormat="false" ht="12.75" hidden="false" customHeight="false" outlineLevel="0" collapsed="false">
      <c r="A49" s="149" t="s">
        <v>39</v>
      </c>
      <c r="B49" s="35" t="n">
        <v>5</v>
      </c>
      <c r="C49" s="35" t="n">
        <v>612000</v>
      </c>
      <c r="D49" s="0" t="s">
        <v>166</v>
      </c>
    </row>
    <row r="50" customFormat="false" ht="12.75" hidden="false" customHeight="false" outlineLevel="0" collapsed="false">
      <c r="A50" s="149" t="s">
        <v>33</v>
      </c>
      <c r="B50" s="35"/>
      <c r="C50" s="35"/>
    </row>
    <row r="51" customFormat="false" ht="12.75" hidden="false" customHeight="false" outlineLevel="0" collapsed="false">
      <c r="A51" s="149" t="s">
        <v>156</v>
      </c>
      <c r="B51" s="35" t="n">
        <v>3</v>
      </c>
      <c r="C51" s="35" t="n">
        <v>1420</v>
      </c>
      <c r="D51" s="0" t="s">
        <v>167</v>
      </c>
    </row>
    <row r="53" customFormat="false" ht="12.75" hidden="false" customHeight="false" outlineLevel="0" collapsed="false">
      <c r="A53" s="84" t="s">
        <v>168</v>
      </c>
      <c r="B53" s="84" t="n">
        <v>1</v>
      </c>
      <c r="C53" s="84"/>
    </row>
    <row r="55" customFormat="false" ht="12.75" hidden="false" customHeight="false" outlineLevel="0" collapsed="false">
      <c r="A55" s="81" t="s">
        <v>169</v>
      </c>
      <c r="C55" s="158" t="n">
        <v>612</v>
      </c>
    </row>
    <row r="58" customFormat="false" ht="12.75" hidden="false" customHeight="false" outlineLevel="0" collapsed="false">
      <c r="A58" s="78" t="s">
        <v>170</v>
      </c>
      <c r="B58" s="84"/>
      <c r="C58" s="159" t="n">
        <v>275762.31</v>
      </c>
      <c r="D58" s="84"/>
      <c r="E58" s="84"/>
      <c r="F58" s="84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0" activeCellId="0" sqref="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3" t="s">
        <v>83</v>
      </c>
    </row>
    <row r="2" customFormat="false" ht="12.75" hidden="false" customHeight="false" outlineLevel="0" collapsed="false">
      <c r="B2" s="144" t="s">
        <v>177</v>
      </c>
      <c r="C2" s="144"/>
      <c r="D2" s="145" t="s">
        <v>159</v>
      </c>
    </row>
    <row r="3" customFormat="false" ht="12.75" hidden="false" customHeight="false" outlineLevel="0" collapsed="false">
      <c r="A3" s="146" t="s">
        <v>160</v>
      </c>
      <c r="B3" s="69" t="s">
        <v>1</v>
      </c>
      <c r="C3" s="69" t="s">
        <v>161</v>
      </c>
      <c r="D3" s="147" t="s">
        <v>122</v>
      </c>
    </row>
    <row r="4" customFormat="false" ht="12.75" hidden="false" customHeight="false" outlineLevel="0" collapsed="false">
      <c r="A4" s="84"/>
      <c r="B4" s="84"/>
      <c r="C4" s="84"/>
    </row>
    <row r="5" customFormat="false" ht="12.75" hidden="false" customHeight="false" outlineLevel="0" collapsed="false">
      <c r="A5" s="78" t="s">
        <v>11</v>
      </c>
      <c r="B5" s="148"/>
      <c r="C5" s="148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9" t="s">
        <v>14</v>
      </c>
      <c r="B6" s="150" t="n">
        <v>16658</v>
      </c>
      <c r="C6" s="35" t="n">
        <v>2284624434.16</v>
      </c>
      <c r="D6" s="74" t="s">
        <v>81</v>
      </c>
      <c r="E6" s="86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9" t="s">
        <v>17</v>
      </c>
      <c r="B7" s="150" t="n">
        <v>2303</v>
      </c>
      <c r="C7" s="35" t="n">
        <v>19431220</v>
      </c>
      <c r="D7" s="74" t="s">
        <v>85</v>
      </c>
      <c r="E7" s="86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78" t="s">
        <v>23</v>
      </c>
      <c r="B8" s="151"/>
      <c r="C8" s="152"/>
      <c r="D8" s="74"/>
      <c r="E8" s="8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9" t="s">
        <v>27</v>
      </c>
      <c r="B9" s="150" t="n">
        <v>1074</v>
      </c>
      <c r="C9" s="79" t="n">
        <v>52381000.01</v>
      </c>
      <c r="D9" s="74" t="s">
        <v>92</v>
      </c>
      <c r="E9" s="8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9" t="s">
        <v>29</v>
      </c>
      <c r="B10" s="150" t="n">
        <v>0</v>
      </c>
      <c r="C10" s="79" t="n">
        <v>0</v>
      </c>
      <c r="D10" s="74" t="s">
        <v>95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9" t="s">
        <v>162</v>
      </c>
      <c r="B11" s="150" t="n">
        <v>1</v>
      </c>
      <c r="C11" s="79" t="n">
        <v>45000</v>
      </c>
      <c r="D11" s="74" t="s">
        <v>95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9" t="s">
        <v>32</v>
      </c>
      <c r="B12" s="150" t="n">
        <v>1</v>
      </c>
      <c r="C12" s="79" t="n">
        <v>300</v>
      </c>
      <c r="D12" s="74" t="s">
        <v>98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25</v>
      </c>
      <c r="B13" s="150" t="n">
        <v>0</v>
      </c>
      <c r="C13" s="150" t="n">
        <v>0</v>
      </c>
      <c r="D13" s="74" t="s">
        <v>100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9" t="s">
        <v>35</v>
      </c>
      <c r="B14" s="150" t="n">
        <v>8</v>
      </c>
      <c r="C14" s="150" t="n">
        <v>20000</v>
      </c>
      <c r="D14" s="74" t="s">
        <v>102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78" t="s">
        <v>41</v>
      </c>
      <c r="B15" s="151"/>
      <c r="C15" s="152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9" t="s">
        <v>163</v>
      </c>
      <c r="B16" s="150" t="n">
        <v>0</v>
      </c>
      <c r="C16" s="150" t="n">
        <v>0</v>
      </c>
      <c r="D16" s="74" t="s">
        <v>95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9" t="s">
        <v>42</v>
      </c>
      <c r="B17" s="150" t="n">
        <v>3</v>
      </c>
      <c r="C17" s="150" t="n">
        <v>3000</v>
      </c>
      <c r="D17" s="74" t="s">
        <v>95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150"/>
      <c r="C18" s="150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150"/>
      <c r="C19" s="150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4" t="s">
        <v>164</v>
      </c>
      <c r="B20" s="151" t="n">
        <v>4</v>
      </c>
      <c r="C20" s="151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150"/>
      <c r="C21" s="150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150"/>
      <c r="C22" s="150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150"/>
      <c r="C23" s="150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3" t="s">
        <v>150</v>
      </c>
      <c r="B24" s="154"/>
      <c r="C24" s="154"/>
    </row>
    <row r="25" customFormat="false" ht="12.75" hidden="false" customHeight="false" outlineLevel="0" collapsed="false">
      <c r="B25" s="155" t="s">
        <v>177</v>
      </c>
      <c r="C25" s="155"/>
      <c r="D25" s="145" t="s">
        <v>159</v>
      </c>
    </row>
    <row r="26" customFormat="false" ht="12.75" hidden="false" customHeight="false" outlineLevel="0" collapsed="false">
      <c r="A26" s="146" t="s">
        <v>160</v>
      </c>
      <c r="B26" s="156" t="s">
        <v>1</v>
      </c>
      <c r="C26" s="156" t="s">
        <v>161</v>
      </c>
      <c r="D26" s="147" t="s">
        <v>122</v>
      </c>
    </row>
    <row r="27" customFormat="false" ht="12.75" hidden="false" customHeight="false" outlineLevel="0" collapsed="false">
      <c r="A27" s="84"/>
      <c r="B27" s="157"/>
      <c r="C27" s="157"/>
    </row>
    <row r="28" customFormat="false" ht="12.75" hidden="false" customHeight="false" outlineLevel="0" collapsed="false">
      <c r="A28" s="78" t="s">
        <v>11</v>
      </c>
      <c r="B28" s="150"/>
      <c r="C28" s="150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9" t="s">
        <v>14</v>
      </c>
      <c r="B29" s="150" t="n">
        <v>3926</v>
      </c>
      <c r="C29" s="150" t="n">
        <v>2650733445.76</v>
      </c>
      <c r="D29" s="74" t="s">
        <v>81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9" t="s">
        <v>17</v>
      </c>
      <c r="B30" s="150" t="n">
        <v>2493</v>
      </c>
      <c r="C30" s="150" t="n">
        <v>27769371.54</v>
      </c>
      <c r="D30" s="74" t="s">
        <v>85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78" t="s">
        <v>23</v>
      </c>
      <c r="B31" s="151"/>
      <c r="C31" s="150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9" t="s">
        <v>27</v>
      </c>
      <c r="B32" s="150" t="n">
        <v>1746</v>
      </c>
      <c r="C32" s="150" t="n">
        <v>141361829.88</v>
      </c>
      <c r="D32" s="74" t="s">
        <v>92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9" t="s">
        <v>29</v>
      </c>
      <c r="B33" s="150" t="n">
        <v>14</v>
      </c>
      <c r="C33" s="150" t="n">
        <v>2047003</v>
      </c>
      <c r="D33" s="74" t="s">
        <v>95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9" t="s">
        <v>162</v>
      </c>
      <c r="B34" s="150" t="n">
        <v>10</v>
      </c>
      <c r="C34" s="150" t="n">
        <v>1188000</v>
      </c>
      <c r="D34" s="74" t="s">
        <v>95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9" t="s">
        <v>32</v>
      </c>
      <c r="B35" s="150" t="n">
        <v>6</v>
      </c>
      <c r="C35" s="150" t="n">
        <v>25500</v>
      </c>
      <c r="D35" s="74" t="s">
        <v>98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9" t="s">
        <v>25</v>
      </c>
      <c r="B36" s="150" t="n">
        <v>552</v>
      </c>
      <c r="C36" s="150" t="n">
        <v>0</v>
      </c>
      <c r="D36" s="74" t="s">
        <v>100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9" t="s">
        <v>35</v>
      </c>
      <c r="B37" s="150" t="n">
        <v>15</v>
      </c>
      <c r="C37" s="150" t="n">
        <v>81950</v>
      </c>
      <c r="D37" s="74" t="s">
        <v>102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78" t="s">
        <v>41</v>
      </c>
      <c r="B38" s="151"/>
      <c r="C38" s="150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9" t="s">
        <v>163</v>
      </c>
      <c r="B39" s="150" t="n">
        <v>81</v>
      </c>
      <c r="C39" s="150" t="n">
        <v>111616.08</v>
      </c>
      <c r="D39" s="74" t="s">
        <v>95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9" t="s">
        <v>42</v>
      </c>
      <c r="B40" s="150" t="n">
        <v>0</v>
      </c>
      <c r="C40" s="150" t="n">
        <v>0</v>
      </c>
      <c r="D40" s="74" t="s">
        <v>95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9"/>
      <c r="B41" s="150"/>
      <c r="C41" s="150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150"/>
      <c r="C42" s="150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150"/>
      <c r="C43" s="150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3" t="s">
        <v>165</v>
      </c>
      <c r="B44" s="154"/>
      <c r="C44" s="154"/>
    </row>
    <row r="45" customFormat="false" ht="12.75" hidden="false" customHeight="false" outlineLevel="0" collapsed="false">
      <c r="B45" s="144" t="s">
        <v>177</v>
      </c>
      <c r="C45" s="144"/>
      <c r="D45" s="145" t="s">
        <v>159</v>
      </c>
    </row>
    <row r="46" customFormat="false" ht="12.75" hidden="false" customHeight="false" outlineLevel="0" collapsed="false">
      <c r="A46" s="146" t="s">
        <v>160</v>
      </c>
      <c r="B46" s="69" t="s">
        <v>1</v>
      </c>
      <c r="C46" s="69" t="s">
        <v>161</v>
      </c>
      <c r="D46" s="147" t="s">
        <v>122</v>
      </c>
    </row>
    <row r="48" customFormat="false" ht="12.75" hidden="false" customHeight="false" outlineLevel="0" collapsed="false">
      <c r="A48" s="78" t="s">
        <v>41</v>
      </c>
      <c r="B48" s="35"/>
      <c r="C48" s="35"/>
    </row>
    <row r="49" customFormat="false" ht="12.75" hidden="false" customHeight="false" outlineLevel="0" collapsed="false">
      <c r="A49" s="149" t="s">
        <v>39</v>
      </c>
      <c r="B49" s="35" t="n">
        <v>9</v>
      </c>
      <c r="C49" s="35" t="n">
        <v>1112000</v>
      </c>
      <c r="D49" s="154" t="s">
        <v>166</v>
      </c>
      <c r="E49" s="154"/>
    </row>
    <row r="50" customFormat="false" ht="12.75" hidden="false" customHeight="false" outlineLevel="0" collapsed="false">
      <c r="A50" s="149" t="s">
        <v>33</v>
      </c>
      <c r="B50" s="35"/>
      <c r="C50" s="35"/>
      <c r="D50" s="154"/>
      <c r="E50" s="154"/>
    </row>
    <row r="51" customFormat="false" ht="12.75" hidden="false" customHeight="false" outlineLevel="0" collapsed="false">
      <c r="A51" s="149" t="s">
        <v>156</v>
      </c>
      <c r="B51" s="35" t="n">
        <v>12</v>
      </c>
      <c r="C51" s="35" t="n">
        <v>53500</v>
      </c>
      <c r="D51" s="154" t="s">
        <v>167</v>
      </c>
      <c r="E51" s="154"/>
    </row>
    <row r="52" customFormat="false" ht="12.75" hidden="false" customHeight="false" outlineLevel="0" collapsed="false">
      <c r="B52" s="154"/>
      <c r="C52" s="154"/>
      <c r="D52" s="154"/>
      <c r="E52" s="154"/>
    </row>
    <row r="53" customFormat="false" ht="12.75" hidden="false" customHeight="false" outlineLevel="0" collapsed="false">
      <c r="A53" s="84" t="s">
        <v>168</v>
      </c>
      <c r="B53" s="157" t="n">
        <v>1</v>
      </c>
      <c r="C53" s="157"/>
      <c r="D53" s="154"/>
      <c r="E53" s="154"/>
    </row>
    <row r="54" customFormat="false" ht="12.75" hidden="false" customHeight="false" outlineLevel="0" collapsed="false">
      <c r="B54" s="154"/>
      <c r="C54" s="154"/>
      <c r="D54" s="154"/>
      <c r="E54" s="154"/>
    </row>
    <row r="55" customFormat="false" ht="12.75" hidden="false" customHeight="false" outlineLevel="0" collapsed="false">
      <c r="A55" s="81" t="s">
        <v>169</v>
      </c>
      <c r="B55" s="154"/>
      <c r="C55" s="161" t="n">
        <v>1112</v>
      </c>
      <c r="D55" s="154"/>
      <c r="E55" s="154"/>
    </row>
    <row r="56" customFormat="false" ht="12.75" hidden="false" customHeight="false" outlineLevel="0" collapsed="false">
      <c r="B56" s="154"/>
      <c r="C56" s="154"/>
      <c r="D56" s="154"/>
      <c r="E56" s="154"/>
    </row>
    <row r="57" customFormat="false" ht="12.75" hidden="false" customHeight="false" outlineLevel="0" collapsed="false">
      <c r="B57" s="154"/>
      <c r="C57" s="154"/>
      <c r="D57" s="154"/>
      <c r="E57" s="154"/>
    </row>
    <row r="58" customFormat="false" ht="12.75" hidden="false" customHeight="false" outlineLevel="0" collapsed="false">
      <c r="A58" s="78" t="s">
        <v>170</v>
      </c>
      <c r="B58" s="157"/>
      <c r="C58" s="162" t="n">
        <v>169228.08</v>
      </c>
      <c r="D58" s="157"/>
      <c r="E58" s="157"/>
      <c r="F58" s="84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0" activeCellId="0" sqref="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3" t="s">
        <v>83</v>
      </c>
    </row>
    <row r="2" customFormat="false" ht="12.75" hidden="false" customHeight="false" outlineLevel="0" collapsed="false">
      <c r="B2" s="144" t="s">
        <v>178</v>
      </c>
      <c r="C2" s="144"/>
      <c r="D2" s="145" t="s">
        <v>159</v>
      </c>
    </row>
    <row r="3" customFormat="false" ht="12.75" hidden="false" customHeight="false" outlineLevel="0" collapsed="false">
      <c r="A3" s="146" t="s">
        <v>160</v>
      </c>
      <c r="B3" s="69" t="s">
        <v>1</v>
      </c>
      <c r="C3" s="69" t="s">
        <v>161</v>
      </c>
      <c r="D3" s="147" t="s">
        <v>122</v>
      </c>
    </row>
    <row r="4" customFormat="false" ht="12.75" hidden="false" customHeight="false" outlineLevel="0" collapsed="false">
      <c r="A4" s="84"/>
      <c r="B4" s="84"/>
      <c r="C4" s="84"/>
    </row>
    <row r="5" customFormat="false" ht="12.75" hidden="false" customHeight="false" outlineLevel="0" collapsed="false">
      <c r="A5" s="78" t="s">
        <v>11</v>
      </c>
      <c r="B5" s="148"/>
      <c r="C5" s="148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9" t="s">
        <v>14</v>
      </c>
      <c r="B6" s="150" t="n">
        <v>16972</v>
      </c>
      <c r="C6" s="35" t="n">
        <v>2417136104.16</v>
      </c>
      <c r="D6" s="74" t="s">
        <v>81</v>
      </c>
      <c r="E6" s="86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9" t="s">
        <v>17</v>
      </c>
      <c r="B7" s="150" t="n">
        <v>2674</v>
      </c>
      <c r="C7" s="35" t="n">
        <v>20730564</v>
      </c>
      <c r="D7" s="74" t="s">
        <v>85</v>
      </c>
      <c r="E7" s="86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78" t="s">
        <v>23</v>
      </c>
      <c r="B8" s="151"/>
      <c r="C8" s="152"/>
      <c r="D8" s="74"/>
      <c r="E8" s="8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9" t="s">
        <v>27</v>
      </c>
      <c r="B9" s="150" t="n">
        <v>1131</v>
      </c>
      <c r="C9" s="79" t="n">
        <v>54572000.01</v>
      </c>
      <c r="D9" s="74" t="s">
        <v>92</v>
      </c>
      <c r="E9" s="8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9" t="s">
        <v>29</v>
      </c>
      <c r="B10" s="150" t="n">
        <v>1</v>
      </c>
      <c r="C10" s="79" t="n">
        <v>23250</v>
      </c>
      <c r="D10" s="74" t="s">
        <v>95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9" t="s">
        <v>162</v>
      </c>
      <c r="B11" s="150" t="n">
        <v>2</v>
      </c>
      <c r="C11" s="79" t="n">
        <v>90000</v>
      </c>
      <c r="D11" s="74" t="s">
        <v>95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9" t="s">
        <v>32</v>
      </c>
      <c r="B12" s="150" t="n">
        <v>0</v>
      </c>
      <c r="C12" s="79" t="n">
        <v>0</v>
      </c>
      <c r="D12" s="74" t="s">
        <v>98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25</v>
      </c>
      <c r="B13" s="150" t="n">
        <v>0</v>
      </c>
      <c r="C13" s="150" t="n">
        <v>0</v>
      </c>
      <c r="D13" s="74" t="s">
        <v>100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9" t="s">
        <v>35</v>
      </c>
      <c r="B14" s="150" t="n">
        <v>8</v>
      </c>
      <c r="C14" s="150" t="n">
        <v>20000</v>
      </c>
      <c r="D14" s="74" t="s">
        <v>102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78" t="s">
        <v>41</v>
      </c>
      <c r="B15" s="151"/>
      <c r="C15" s="152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9" t="s">
        <v>163</v>
      </c>
      <c r="B16" s="150" t="n">
        <v>0</v>
      </c>
      <c r="C16" s="150" t="n">
        <v>0</v>
      </c>
      <c r="D16" s="74" t="s">
        <v>95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9" t="s">
        <v>42</v>
      </c>
      <c r="B17" s="150" t="n">
        <v>0</v>
      </c>
      <c r="C17" s="150" t="n">
        <v>0</v>
      </c>
      <c r="D17" s="74" t="s">
        <v>95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150"/>
      <c r="C18" s="150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150"/>
      <c r="C19" s="150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4" t="s">
        <v>164</v>
      </c>
      <c r="B20" s="151" t="n">
        <v>12</v>
      </c>
      <c r="C20" s="151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150"/>
      <c r="C21" s="150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150"/>
      <c r="C22" s="150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150"/>
      <c r="C23" s="150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3" t="s">
        <v>150</v>
      </c>
      <c r="B24" s="154"/>
      <c r="C24" s="154"/>
    </row>
    <row r="25" customFormat="false" ht="12.75" hidden="false" customHeight="false" outlineLevel="0" collapsed="false">
      <c r="B25" s="155" t="s">
        <v>178</v>
      </c>
      <c r="C25" s="155"/>
      <c r="D25" s="145" t="s">
        <v>159</v>
      </c>
    </row>
    <row r="26" customFormat="false" ht="12.75" hidden="false" customHeight="false" outlineLevel="0" collapsed="false">
      <c r="A26" s="146" t="s">
        <v>160</v>
      </c>
      <c r="B26" s="156" t="s">
        <v>1</v>
      </c>
      <c r="C26" s="156" t="s">
        <v>161</v>
      </c>
      <c r="D26" s="147" t="s">
        <v>122</v>
      </c>
    </row>
    <row r="27" customFormat="false" ht="12.75" hidden="false" customHeight="false" outlineLevel="0" collapsed="false">
      <c r="A27" s="84"/>
      <c r="B27" s="157"/>
      <c r="C27" s="157"/>
    </row>
    <row r="28" customFormat="false" ht="12.75" hidden="false" customHeight="false" outlineLevel="0" collapsed="false">
      <c r="A28" s="78" t="s">
        <v>11</v>
      </c>
      <c r="B28" s="150"/>
      <c r="C28" s="150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9" t="s">
        <v>14</v>
      </c>
      <c r="B29" s="150" t="n">
        <v>3413</v>
      </c>
      <c r="C29" s="150" t="n">
        <v>2183780891.11</v>
      </c>
      <c r="D29" s="74" t="s">
        <v>81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9" t="s">
        <v>17</v>
      </c>
      <c r="B30" s="150" t="n">
        <v>2588</v>
      </c>
      <c r="C30" s="150" t="n">
        <v>30791701.3</v>
      </c>
      <c r="D30" s="74" t="s">
        <v>85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78" t="s">
        <v>23</v>
      </c>
      <c r="B31" s="151"/>
      <c r="C31" s="150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9" t="s">
        <v>27</v>
      </c>
      <c r="B32" s="150" t="n">
        <v>1861</v>
      </c>
      <c r="C32" s="150" t="n">
        <v>140912891.09</v>
      </c>
      <c r="D32" s="74" t="s">
        <v>92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9" t="s">
        <v>29</v>
      </c>
      <c r="B33" s="150" t="n">
        <v>16</v>
      </c>
      <c r="C33" s="150" t="n">
        <v>1104750</v>
      </c>
      <c r="D33" s="74" t="s">
        <v>95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9" t="s">
        <v>162</v>
      </c>
      <c r="B34" s="150" t="n">
        <v>1</v>
      </c>
      <c r="C34" s="150" t="n">
        <v>15000</v>
      </c>
      <c r="D34" s="74" t="s">
        <v>95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9" t="s">
        <v>32</v>
      </c>
      <c r="B35" s="150" t="n">
        <v>10</v>
      </c>
      <c r="C35" s="150" t="n">
        <v>50000</v>
      </c>
      <c r="D35" s="74" t="s">
        <v>98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9" t="s">
        <v>25</v>
      </c>
      <c r="B36" s="150" t="n">
        <v>537</v>
      </c>
      <c r="C36" s="150" t="n">
        <v>0</v>
      </c>
      <c r="D36" s="74" t="s">
        <v>100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9" t="s">
        <v>35</v>
      </c>
      <c r="B37" s="150" t="n">
        <v>9</v>
      </c>
      <c r="C37" s="150" t="n">
        <v>159000</v>
      </c>
      <c r="D37" s="74" t="s">
        <v>102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78" t="s">
        <v>41</v>
      </c>
      <c r="B38" s="151"/>
      <c r="C38" s="150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9" t="s">
        <v>163</v>
      </c>
      <c r="B39" s="150" t="n">
        <v>387</v>
      </c>
      <c r="C39" s="150" t="n">
        <v>201955</v>
      </c>
      <c r="D39" s="74" t="s">
        <v>95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9" t="s">
        <v>42</v>
      </c>
      <c r="B40" s="150" t="n">
        <v>0</v>
      </c>
      <c r="C40" s="150" t="n">
        <v>0</v>
      </c>
      <c r="D40" s="74" t="s">
        <v>95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9"/>
      <c r="B41" s="150"/>
      <c r="C41" s="150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150"/>
      <c r="C42" s="150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150"/>
      <c r="C43" s="150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3" t="s">
        <v>165</v>
      </c>
      <c r="B44" s="154"/>
      <c r="C44" s="154"/>
    </row>
    <row r="45" customFormat="false" ht="12.75" hidden="false" customHeight="false" outlineLevel="0" collapsed="false">
      <c r="B45" s="144" t="s">
        <v>178</v>
      </c>
      <c r="C45" s="144"/>
      <c r="D45" s="145" t="s">
        <v>159</v>
      </c>
    </row>
    <row r="46" customFormat="false" ht="12.75" hidden="false" customHeight="false" outlineLevel="0" collapsed="false">
      <c r="A46" s="146" t="s">
        <v>160</v>
      </c>
      <c r="B46" s="69" t="s">
        <v>1</v>
      </c>
      <c r="C46" s="69" t="s">
        <v>161</v>
      </c>
      <c r="D46" s="147" t="s">
        <v>122</v>
      </c>
    </row>
    <row r="48" customFormat="false" ht="12.75" hidden="false" customHeight="false" outlineLevel="0" collapsed="false">
      <c r="A48" s="78" t="s">
        <v>41</v>
      </c>
      <c r="B48" s="35"/>
      <c r="C48" s="35"/>
    </row>
    <row r="49" customFormat="false" ht="12.75" hidden="false" customHeight="false" outlineLevel="0" collapsed="false">
      <c r="A49" s="149" t="s">
        <v>39</v>
      </c>
      <c r="B49" s="35" t="n">
        <v>3</v>
      </c>
      <c r="C49" s="35" t="n">
        <v>352000</v>
      </c>
      <c r="D49" s="154" t="s">
        <v>166</v>
      </c>
      <c r="E49" s="154"/>
    </row>
    <row r="50" customFormat="false" ht="12.75" hidden="false" customHeight="false" outlineLevel="0" collapsed="false">
      <c r="A50" s="149" t="s">
        <v>33</v>
      </c>
      <c r="B50" s="35"/>
      <c r="C50" s="35"/>
      <c r="D50" s="154"/>
      <c r="E50" s="154"/>
    </row>
    <row r="51" customFormat="false" ht="12.75" hidden="false" customHeight="false" outlineLevel="0" collapsed="false">
      <c r="A51" s="149" t="s">
        <v>156</v>
      </c>
      <c r="B51" s="35" t="n">
        <v>4</v>
      </c>
      <c r="C51" s="35" t="n">
        <v>1420</v>
      </c>
      <c r="D51" s="154" t="s">
        <v>167</v>
      </c>
      <c r="E51" s="154"/>
    </row>
    <row r="52" customFormat="false" ht="12.75" hidden="false" customHeight="false" outlineLevel="0" collapsed="false">
      <c r="B52" s="154"/>
      <c r="C52" s="154"/>
      <c r="D52" s="154"/>
      <c r="E52" s="154"/>
    </row>
    <row r="53" customFormat="false" ht="12.75" hidden="false" customHeight="false" outlineLevel="0" collapsed="false">
      <c r="A53" s="84" t="s">
        <v>168</v>
      </c>
      <c r="B53" s="157" t="n">
        <v>1</v>
      </c>
      <c r="C53" s="157"/>
      <c r="D53" s="154"/>
      <c r="E53" s="154"/>
    </row>
    <row r="54" customFormat="false" ht="12.75" hidden="false" customHeight="false" outlineLevel="0" collapsed="false">
      <c r="B54" s="154"/>
      <c r="C54" s="154"/>
      <c r="D54" s="154"/>
      <c r="E54" s="154"/>
    </row>
    <row r="55" customFormat="false" ht="12.75" hidden="false" customHeight="false" outlineLevel="0" collapsed="false">
      <c r="A55" s="81" t="s">
        <v>169</v>
      </c>
      <c r="B55" s="154"/>
      <c r="C55" s="161" t="n">
        <v>352</v>
      </c>
      <c r="D55" s="154"/>
      <c r="E55" s="154"/>
    </row>
    <row r="56" customFormat="false" ht="12.75" hidden="false" customHeight="false" outlineLevel="0" collapsed="false">
      <c r="B56" s="154"/>
      <c r="C56" s="154"/>
      <c r="D56" s="154"/>
      <c r="E56" s="154"/>
    </row>
    <row r="57" customFormat="false" ht="12.75" hidden="false" customHeight="false" outlineLevel="0" collapsed="false">
      <c r="B57" s="154"/>
      <c r="C57" s="154"/>
      <c r="D57" s="154"/>
      <c r="E57" s="154"/>
    </row>
    <row r="58" customFormat="false" ht="12.75" hidden="false" customHeight="false" outlineLevel="0" collapsed="false">
      <c r="A58" s="78" t="s">
        <v>170</v>
      </c>
      <c r="B58" s="157"/>
      <c r="C58" s="162" t="n">
        <v>203727</v>
      </c>
      <c r="D58" s="157"/>
      <c r="E58" s="157"/>
      <c r="F58" s="84"/>
    </row>
    <row r="59" customFormat="false" ht="12.75" hidden="false" customHeight="false" outlineLevel="0" collapsed="false">
      <c r="B59" s="154"/>
      <c r="C59" s="154"/>
      <c r="D59" s="154"/>
    </row>
    <row r="60" customFormat="false" ht="12.75" hidden="false" customHeight="false" outlineLevel="0" collapsed="false">
      <c r="B60" s="154"/>
      <c r="C60" s="154"/>
      <c r="D60" s="154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pane xSplit="1" ySplit="0" topLeftCell="B1" activePane="topRight" state="frozen"/>
      <selection pane="topLeft" activeCell="A33" activeCellId="0" sqref="A33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6" min="5" style="0" width="10.13"/>
  </cols>
  <sheetData>
    <row r="1" customFormat="false" ht="23.25" hidden="false" customHeight="false" outlineLevel="0" collapsed="false">
      <c r="A1" s="143" t="s">
        <v>83</v>
      </c>
    </row>
    <row r="2" customFormat="false" ht="12.75" hidden="false" customHeight="false" outlineLevel="0" collapsed="false">
      <c r="B2" s="144" t="s">
        <v>179</v>
      </c>
      <c r="C2" s="144"/>
      <c r="D2" s="145" t="s">
        <v>159</v>
      </c>
    </row>
    <row r="3" customFormat="false" ht="12.75" hidden="false" customHeight="false" outlineLevel="0" collapsed="false">
      <c r="A3" s="146" t="s">
        <v>160</v>
      </c>
      <c r="B3" s="69" t="s">
        <v>1</v>
      </c>
      <c r="C3" s="69" t="s">
        <v>161</v>
      </c>
      <c r="D3" s="147" t="s">
        <v>122</v>
      </c>
    </row>
    <row r="4" customFormat="false" ht="12.75" hidden="false" customHeight="false" outlineLevel="0" collapsed="false">
      <c r="A4" s="84"/>
      <c r="B4" s="84"/>
      <c r="C4" s="84"/>
    </row>
    <row r="5" customFormat="false" ht="12.75" hidden="false" customHeight="false" outlineLevel="0" collapsed="false">
      <c r="A5" s="78" t="s">
        <v>11</v>
      </c>
      <c r="B5" s="148"/>
      <c r="C5" s="148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9" t="s">
        <v>14</v>
      </c>
      <c r="B6" s="74" t="n">
        <f aca="false">55132+4311-40529-3176</f>
        <v>15738</v>
      </c>
      <c r="C6" s="35" t="n">
        <f aca="false">6859190070+194044764-4773993265-135849441</f>
        <v>2143392128</v>
      </c>
      <c r="D6" s="74" t="s">
        <v>81</v>
      </c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9" t="s">
        <v>17</v>
      </c>
      <c r="B7" s="74" t="n">
        <f aca="false">5867+1788-4158-1400</f>
        <v>2097</v>
      </c>
      <c r="C7" s="35" t="n">
        <f aca="false">64951720+6934050-47669640-5710650</f>
        <v>18505480</v>
      </c>
      <c r="D7" s="74" t="s">
        <v>85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78" t="s">
        <v>23</v>
      </c>
      <c r="B8" s="148"/>
      <c r="C8" s="152"/>
      <c r="D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9" t="s">
        <v>27</v>
      </c>
      <c r="B9" s="74" t="n">
        <f aca="false">6109+469+36-4592-397-33</f>
        <v>1592</v>
      </c>
      <c r="C9" s="79" t="n">
        <f aca="false">152947000+7757000+832595-114735000-6753000-804595</f>
        <v>39244000</v>
      </c>
      <c r="D9" s="74" t="s">
        <v>92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9" t="s">
        <v>29</v>
      </c>
      <c r="B10" s="74" t="n">
        <f aca="false">110-91</f>
        <v>19</v>
      </c>
      <c r="C10" s="79" t="n">
        <f aca="false">3234500-2686250</f>
        <v>548250</v>
      </c>
      <c r="D10" s="74" t="s">
        <v>95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9" t="s">
        <v>162</v>
      </c>
      <c r="B11" s="74" t="n">
        <f aca="false">29-24</f>
        <v>5</v>
      </c>
      <c r="C11" s="79" t="n">
        <f aca="false">1215000-1020000</f>
        <v>195000</v>
      </c>
      <c r="D11" s="74" t="s">
        <v>95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9" t="s">
        <v>32</v>
      </c>
      <c r="B12" s="74" t="n">
        <f aca="false">64-56</f>
        <v>8</v>
      </c>
      <c r="C12" s="79" t="n">
        <f aca="false">20400-17400</f>
        <v>3000</v>
      </c>
      <c r="D12" s="74" t="s">
        <v>98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49" t="s">
        <v>25</v>
      </c>
      <c r="B13" s="74" t="n">
        <v>0</v>
      </c>
      <c r="C13" s="79" t="n">
        <v>0</v>
      </c>
      <c r="D13" s="74" t="s">
        <v>100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9" t="s">
        <v>35</v>
      </c>
      <c r="B14" s="74" t="n">
        <f aca="false">26-18</f>
        <v>8</v>
      </c>
      <c r="C14" s="79" t="n">
        <f aca="false">65000-45000</f>
        <v>20000</v>
      </c>
      <c r="D14" s="74" t="s">
        <v>102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78" t="s">
        <v>41</v>
      </c>
      <c r="B15" s="148"/>
      <c r="C15" s="152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9" t="s">
        <v>163</v>
      </c>
      <c r="B16" s="74" t="n">
        <v>5</v>
      </c>
      <c r="C16" s="79" t="n">
        <v>286</v>
      </c>
      <c r="D16" s="74" t="s">
        <v>95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9" t="s">
        <v>42</v>
      </c>
      <c r="B17" s="74" t="n">
        <v>0</v>
      </c>
      <c r="C17" s="79" t="n">
        <v>0</v>
      </c>
      <c r="D17" s="74" t="s">
        <v>95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74"/>
      <c r="C18" s="74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74"/>
      <c r="C19" s="74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4" t="s">
        <v>164</v>
      </c>
      <c r="B20" s="148" t="n">
        <v>8</v>
      </c>
      <c r="C20" s="148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3" t="s">
        <v>150</v>
      </c>
    </row>
    <row r="25" customFormat="false" ht="12.75" hidden="false" customHeight="false" outlineLevel="0" collapsed="false">
      <c r="B25" s="144" t="s">
        <v>179</v>
      </c>
      <c r="C25" s="144"/>
      <c r="D25" s="145" t="s">
        <v>159</v>
      </c>
    </row>
    <row r="26" customFormat="false" ht="12.75" hidden="false" customHeight="false" outlineLevel="0" collapsed="false">
      <c r="A26" s="146" t="s">
        <v>160</v>
      </c>
      <c r="B26" s="69" t="s">
        <v>1</v>
      </c>
      <c r="C26" s="69" t="s">
        <v>161</v>
      </c>
      <c r="D26" s="147" t="s">
        <v>122</v>
      </c>
    </row>
    <row r="27" customFormat="false" ht="12.75" hidden="false" customHeight="false" outlineLevel="0" collapsed="false">
      <c r="A27" s="84"/>
      <c r="B27" s="84"/>
      <c r="C27" s="84"/>
    </row>
    <row r="28" customFormat="false" ht="12.75" hidden="false" customHeight="false" outlineLevel="0" collapsed="false">
      <c r="A28" s="78" t="s">
        <v>11</v>
      </c>
      <c r="B28" s="74"/>
      <c r="C28" s="74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9" t="s">
        <v>14</v>
      </c>
      <c r="B29" s="74" t="n">
        <f aca="false">13338+2004-9715-1574</f>
        <v>4053</v>
      </c>
      <c r="C29" s="74" t="n">
        <f aca="false">7577517320+538599790-5634611180-351626838</f>
        <v>2129879092</v>
      </c>
      <c r="D29" s="74" t="s">
        <v>81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9" t="s">
        <v>17</v>
      </c>
      <c r="B30" s="74" t="n">
        <f aca="false">5554+4032-3997-3087</f>
        <v>2502</v>
      </c>
      <c r="C30" s="74" t="n">
        <f aca="false">76427909+60080482-57787682-43280956</f>
        <v>35439753</v>
      </c>
      <c r="D30" s="74" t="s">
        <v>85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78" t="s">
        <v>23</v>
      </c>
      <c r="B31" s="74"/>
      <c r="C31" s="74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9" t="s">
        <v>27</v>
      </c>
      <c r="B32" s="74" t="n">
        <f aca="false">6483+397+180-4893-294-143</f>
        <v>1730</v>
      </c>
      <c r="C32" s="74" t="n">
        <f aca="false">510007317+10867017+7486462-381986081-7339728-6329636</f>
        <v>132705351</v>
      </c>
      <c r="D32" s="74" t="s">
        <v>92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9" t="s">
        <v>29</v>
      </c>
      <c r="B33" s="74" t="n">
        <f aca="false">133-105</f>
        <v>28</v>
      </c>
      <c r="C33" s="74" t="n">
        <f aca="false">11572096-6940526</f>
        <v>4631570</v>
      </c>
      <c r="D33" s="74" t="s">
        <v>95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9" t="s">
        <v>162</v>
      </c>
      <c r="B34" s="74" t="n">
        <f aca="false">106-75</f>
        <v>31</v>
      </c>
      <c r="C34" s="74" t="n">
        <f aca="false">5575507-4378000</f>
        <v>1197507</v>
      </c>
      <c r="D34" s="74" t="s">
        <v>95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9" t="s">
        <v>32</v>
      </c>
      <c r="B35" s="74" t="n">
        <f aca="false">68-57</f>
        <v>11</v>
      </c>
      <c r="C35" s="74" t="n">
        <f aca="false">366600-313600</f>
        <v>53000</v>
      </c>
      <c r="D35" s="74" t="s">
        <v>98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9" t="s">
        <v>25</v>
      </c>
      <c r="B36" s="74" t="n">
        <f aca="false">638-493</f>
        <v>145</v>
      </c>
      <c r="C36" s="74" t="n">
        <f aca="false">28642250-23009750</f>
        <v>5632500</v>
      </c>
      <c r="D36" s="74" t="s">
        <v>100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9" t="s">
        <v>35</v>
      </c>
      <c r="B37" s="74" t="n">
        <f aca="false">19-13</f>
        <v>6</v>
      </c>
      <c r="C37" s="74" t="n">
        <f aca="false">133020-106670</f>
        <v>26350</v>
      </c>
      <c r="D37" s="74" t="s">
        <v>102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78" t="s">
        <v>41</v>
      </c>
      <c r="B38" s="74"/>
      <c r="C38" s="74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9" t="s">
        <v>163</v>
      </c>
      <c r="B39" s="74" t="n">
        <f aca="false">196-146+81</f>
        <v>131</v>
      </c>
      <c r="C39" s="74" t="n">
        <v>24860</v>
      </c>
      <c r="D39" s="74" t="s">
        <v>95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9" t="s">
        <v>42</v>
      </c>
      <c r="B40" s="74" t="n">
        <v>0</v>
      </c>
      <c r="C40" s="74" t="n">
        <v>0</v>
      </c>
      <c r="D40" s="74" t="s">
        <v>95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9"/>
      <c r="B41" s="74"/>
      <c r="C41" s="74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74"/>
      <c r="C42" s="74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74"/>
      <c r="C43" s="74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3" t="s">
        <v>165</v>
      </c>
    </row>
    <row r="45" customFormat="false" ht="12.75" hidden="false" customHeight="false" outlineLevel="0" collapsed="false">
      <c r="B45" s="144" t="s">
        <v>179</v>
      </c>
      <c r="C45" s="144"/>
      <c r="D45" s="145" t="s">
        <v>159</v>
      </c>
    </row>
    <row r="46" customFormat="false" ht="12.75" hidden="false" customHeight="false" outlineLevel="0" collapsed="false">
      <c r="A46" s="146" t="s">
        <v>160</v>
      </c>
      <c r="B46" s="69" t="s">
        <v>1</v>
      </c>
      <c r="C46" s="69" t="s">
        <v>161</v>
      </c>
      <c r="D46" s="147" t="s">
        <v>122</v>
      </c>
    </row>
    <row r="48" customFormat="false" ht="12.75" hidden="false" customHeight="false" outlineLevel="0" collapsed="false">
      <c r="A48" s="78" t="s">
        <v>41</v>
      </c>
      <c r="B48" s="35"/>
      <c r="C48" s="35"/>
    </row>
    <row r="49" customFormat="false" ht="12.75" hidden="false" customHeight="false" outlineLevel="0" collapsed="false">
      <c r="A49" s="149" t="s">
        <v>39</v>
      </c>
      <c r="B49" s="35" t="n">
        <v>5</v>
      </c>
      <c r="C49" s="35" t="n">
        <v>286000</v>
      </c>
      <c r="D49" s="0" t="s">
        <v>166</v>
      </c>
    </row>
    <row r="50" customFormat="false" ht="12.75" hidden="false" customHeight="false" outlineLevel="0" collapsed="false">
      <c r="A50" s="149" t="s">
        <v>33</v>
      </c>
      <c r="B50" s="35"/>
      <c r="C50" s="35"/>
    </row>
    <row r="51" customFormat="false" ht="12.75" hidden="false" customHeight="false" outlineLevel="0" collapsed="false">
      <c r="A51" s="149" t="s">
        <v>156</v>
      </c>
      <c r="B51" s="35" t="n">
        <v>2</v>
      </c>
      <c r="C51" s="35" t="n">
        <v>440</v>
      </c>
      <c r="D51" s="0" t="s">
        <v>167</v>
      </c>
    </row>
    <row r="53" customFormat="false" ht="12.75" hidden="false" customHeight="false" outlineLevel="0" collapsed="false">
      <c r="A53" s="84" t="s">
        <v>168</v>
      </c>
      <c r="B53" s="84" t="n">
        <v>1</v>
      </c>
      <c r="C53" s="84"/>
    </row>
    <row r="55" customFormat="false" ht="12.75" hidden="false" customHeight="false" outlineLevel="0" collapsed="false">
      <c r="A55" s="81" t="s">
        <v>169</v>
      </c>
      <c r="C55" s="158" t="n">
        <f aca="false">C49/1000</f>
        <v>286</v>
      </c>
    </row>
    <row r="58" customFormat="false" ht="12.75" hidden="false" customHeight="false" outlineLevel="0" collapsed="false">
      <c r="A58" s="78" t="s">
        <v>170</v>
      </c>
      <c r="B58" s="84"/>
      <c r="C58" s="159" t="n">
        <f aca="false">C55+C51+C40+C39+C17+C16</f>
        <v>25872</v>
      </c>
      <c r="D58" s="84"/>
      <c r="E58" s="84"/>
      <c r="F58" s="84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2.75" hidden="false" customHeight="false" outlineLevel="0" collapsed="false">
      <c r="B1" s="163" t="s">
        <v>134</v>
      </c>
      <c r="C1" s="163"/>
      <c r="D1" s="163"/>
      <c r="E1" s="163"/>
      <c r="F1" s="163"/>
      <c r="G1" s="163"/>
      <c r="H1" s="163"/>
      <c r="I1" s="163"/>
    </row>
    <row r="2" customFormat="false" ht="12.75" hidden="false" customHeight="false" outlineLevel="0" collapsed="false">
      <c r="B2" s="144" t="s">
        <v>180</v>
      </c>
      <c r="C2" s="144"/>
      <c r="D2" s="144" t="s">
        <v>181</v>
      </c>
      <c r="E2" s="144"/>
      <c r="F2" s="144" t="s">
        <v>182</v>
      </c>
      <c r="G2" s="144"/>
      <c r="H2" s="144" t="s">
        <v>183</v>
      </c>
      <c r="I2" s="144"/>
    </row>
    <row r="3" customFormat="false" ht="12.75" hidden="false" customHeight="false" outlineLevel="0" collapsed="false">
      <c r="A3" s="0" t="s">
        <v>133</v>
      </c>
      <c r="B3" s="0" t="s">
        <v>83</v>
      </c>
      <c r="C3" s="0" t="s">
        <v>150</v>
      </c>
      <c r="D3" s="0" t="s">
        <v>83</v>
      </c>
      <c r="E3" s="0" t="s">
        <v>150</v>
      </c>
      <c r="F3" s="0" t="s">
        <v>83</v>
      </c>
      <c r="G3" s="0" t="s">
        <v>150</v>
      </c>
      <c r="H3" s="0" t="s">
        <v>83</v>
      </c>
      <c r="I3" s="0" t="s">
        <v>150</v>
      </c>
    </row>
    <row r="4" customFormat="false" ht="12.75" hidden="false" customHeight="false" outlineLevel="0" collapsed="false">
      <c r="A4" s="84" t="s">
        <v>151</v>
      </c>
      <c r="B4" s="66"/>
      <c r="C4" s="66"/>
      <c r="D4" s="66"/>
      <c r="E4" s="66"/>
      <c r="F4" s="66"/>
      <c r="G4" s="66"/>
      <c r="H4" s="66"/>
      <c r="I4" s="66"/>
    </row>
    <row r="5" customFormat="false" ht="12.75" hidden="false" customHeight="false" outlineLevel="0" collapsed="false">
      <c r="A5" s="78" t="s">
        <v>118</v>
      </c>
      <c r="B5" s="66"/>
      <c r="C5" s="66"/>
      <c r="D5" s="66"/>
      <c r="E5" s="66"/>
      <c r="F5" s="66"/>
      <c r="G5" s="66"/>
      <c r="H5" s="66"/>
      <c r="I5" s="66"/>
    </row>
    <row r="6" customFormat="false" ht="12.75" hidden="false" customHeight="false" outlineLevel="0" collapsed="false">
      <c r="A6" s="149" t="s">
        <v>152</v>
      </c>
      <c r="B6" s="164" t="n">
        <v>184</v>
      </c>
      <c r="C6" s="164" t="n">
        <v>20</v>
      </c>
      <c r="D6" s="164" t="n">
        <v>204</v>
      </c>
      <c r="E6" s="164" t="n">
        <v>25</v>
      </c>
      <c r="F6" s="164" t="n">
        <v>159</v>
      </c>
      <c r="G6" s="164" t="n">
        <v>27</v>
      </c>
      <c r="H6" s="164" t="n">
        <v>227</v>
      </c>
      <c r="I6" s="164" t="n">
        <v>43</v>
      </c>
    </row>
    <row r="7" customFormat="false" ht="12.75" hidden="false" customHeight="false" outlineLevel="0" collapsed="false">
      <c r="A7" s="149" t="s">
        <v>153</v>
      </c>
      <c r="B7" s="66"/>
      <c r="C7" s="66"/>
      <c r="D7" s="66"/>
      <c r="E7" s="66"/>
      <c r="F7" s="66"/>
      <c r="G7" s="66"/>
      <c r="H7" s="66"/>
      <c r="I7" s="66"/>
    </row>
    <row r="8" customFormat="false" ht="12.75" hidden="false" customHeight="false" outlineLevel="0" collapsed="false">
      <c r="A8" s="149" t="s">
        <v>154</v>
      </c>
      <c r="B8" s="165" t="n">
        <v>24</v>
      </c>
      <c r="C8" s="165" t="n">
        <v>38</v>
      </c>
      <c r="D8" s="165" t="n">
        <v>57</v>
      </c>
      <c r="E8" s="165" t="n">
        <v>114</v>
      </c>
      <c r="F8" s="165" t="n">
        <v>68</v>
      </c>
      <c r="G8" s="165" t="n">
        <v>79</v>
      </c>
      <c r="H8" s="165" t="n">
        <v>1463</v>
      </c>
      <c r="I8" s="165" t="n">
        <v>2294</v>
      </c>
    </row>
    <row r="9" customFormat="false" ht="12.75" hidden="false" customHeight="false" outlineLevel="0" collapsed="false">
      <c r="A9" s="149" t="s">
        <v>155</v>
      </c>
      <c r="B9" s="164"/>
      <c r="C9" s="164"/>
      <c r="D9" s="164" t="n">
        <v>6</v>
      </c>
      <c r="E9" s="164" t="n">
        <v>5</v>
      </c>
      <c r="F9" s="164" t="n">
        <v>34</v>
      </c>
      <c r="G9" s="164" t="n">
        <v>10</v>
      </c>
      <c r="H9" s="164" t="n">
        <v>51</v>
      </c>
      <c r="I9" s="164" t="n">
        <v>16</v>
      </c>
    </row>
    <row r="10" customFormat="false" ht="12.75" hidden="false" customHeight="false" outlineLevel="0" collapsed="false">
      <c r="A10" s="78" t="s">
        <v>41</v>
      </c>
      <c r="B10" s="66"/>
      <c r="C10" s="66"/>
      <c r="D10" s="66"/>
      <c r="E10" s="66"/>
      <c r="F10" s="66"/>
      <c r="G10" s="66"/>
      <c r="H10" s="66"/>
      <c r="I10" s="66"/>
    </row>
    <row r="11" customFormat="false" ht="12.75" hidden="false" customHeight="false" outlineLevel="0" collapsed="false">
      <c r="A11" s="149" t="s">
        <v>39</v>
      </c>
      <c r="B11" s="166" t="n">
        <v>0</v>
      </c>
      <c r="C11" s="166" t="n">
        <v>23</v>
      </c>
      <c r="D11" s="166" t="n">
        <v>0</v>
      </c>
      <c r="E11" s="166" t="n">
        <v>7</v>
      </c>
      <c r="F11" s="166" t="n">
        <v>0</v>
      </c>
      <c r="G11" s="166" t="n">
        <v>10</v>
      </c>
      <c r="H11" s="166" t="n">
        <v>0</v>
      </c>
      <c r="I11" s="166" t="n">
        <v>19</v>
      </c>
    </row>
    <row r="12" customFormat="false" ht="12.75" hidden="false" customHeight="false" outlineLevel="0" collapsed="false">
      <c r="A12" s="149" t="s">
        <v>33</v>
      </c>
      <c r="B12" s="166" t="n">
        <v>0</v>
      </c>
      <c r="C12" s="166" t="n">
        <v>2</v>
      </c>
      <c r="D12" s="166" t="n">
        <v>2</v>
      </c>
      <c r="E12" s="166" t="n">
        <v>0</v>
      </c>
      <c r="F12" s="166" t="n">
        <v>0</v>
      </c>
      <c r="G12" s="166" t="n">
        <v>2</v>
      </c>
      <c r="H12" s="166" t="n">
        <v>0</v>
      </c>
      <c r="I12" s="166" t="n">
        <v>2</v>
      </c>
    </row>
    <row r="13" customFormat="false" ht="12.75" hidden="false" customHeight="false" outlineLevel="0" collapsed="false">
      <c r="A13" s="149" t="s">
        <v>156</v>
      </c>
      <c r="B13" s="166" t="n">
        <v>0</v>
      </c>
      <c r="C13" s="166" t="n">
        <v>1</v>
      </c>
      <c r="D13" s="166" t="n">
        <v>0</v>
      </c>
      <c r="E13" s="166" t="n">
        <v>4</v>
      </c>
      <c r="F13" s="166" t="n">
        <v>0</v>
      </c>
      <c r="G13" s="166" t="n">
        <v>12</v>
      </c>
      <c r="H13" s="166" t="n">
        <v>0</v>
      </c>
      <c r="I13" s="166" t="n">
        <v>10</v>
      </c>
    </row>
    <row r="14" customFormat="false" ht="12.75" hidden="false" customHeight="false" outlineLevel="0" collapsed="false">
      <c r="A14" s="149" t="s">
        <v>42</v>
      </c>
      <c r="B14" s="166" t="n">
        <v>0</v>
      </c>
      <c r="C14" s="166" t="n">
        <v>0</v>
      </c>
      <c r="D14" s="166" t="n">
        <v>0</v>
      </c>
      <c r="E14" s="166" t="n">
        <v>0</v>
      </c>
      <c r="F14" s="166" t="n">
        <v>0</v>
      </c>
      <c r="G14" s="166" t="n">
        <v>0</v>
      </c>
      <c r="H14" s="166" t="n">
        <v>0</v>
      </c>
      <c r="I14" s="166" t="n">
        <v>0</v>
      </c>
    </row>
    <row r="15" customFormat="false" ht="12.75" hidden="false" customHeight="false" outlineLevel="0" collapsed="false">
      <c r="A15" s="78" t="s">
        <v>23</v>
      </c>
      <c r="B15" s="66"/>
      <c r="C15" s="66"/>
      <c r="D15" s="66"/>
      <c r="E15" s="66"/>
      <c r="F15" s="66"/>
      <c r="G15" s="66"/>
      <c r="H15" s="66"/>
      <c r="I15" s="66"/>
    </row>
    <row r="16" customFormat="false" ht="12.75" hidden="false" customHeight="false" outlineLevel="0" collapsed="false">
      <c r="A16" s="149" t="s">
        <v>25</v>
      </c>
      <c r="B16" s="66"/>
      <c r="C16" s="66"/>
      <c r="D16" s="66"/>
      <c r="E16" s="66"/>
      <c r="F16" s="66"/>
      <c r="G16" s="66"/>
      <c r="H16" s="66"/>
      <c r="I16" s="66"/>
    </row>
    <row r="17" customFormat="false" ht="12.75" hidden="false" customHeight="false" outlineLevel="0" collapsed="false">
      <c r="A17" s="149" t="s">
        <v>32</v>
      </c>
      <c r="B17" s="66"/>
      <c r="C17" s="66"/>
      <c r="D17" s="66"/>
      <c r="E17" s="66"/>
      <c r="F17" s="66"/>
      <c r="G17" s="66"/>
      <c r="H17" s="66"/>
      <c r="I17" s="66"/>
    </row>
    <row r="18" customFormat="false" ht="12.75" hidden="false" customHeight="false" outlineLevel="0" collapsed="false">
      <c r="A18" s="149" t="s">
        <v>27</v>
      </c>
      <c r="B18" s="0" t="n">
        <v>818</v>
      </c>
      <c r="C18" s="0" t="n">
        <v>98</v>
      </c>
      <c r="D18" s="0" t="n">
        <v>1525</v>
      </c>
      <c r="E18" s="0" t="n">
        <v>230</v>
      </c>
      <c r="F18" s="0" t="n">
        <v>1025</v>
      </c>
      <c r="G18" s="0" t="n">
        <v>134</v>
      </c>
      <c r="H18" s="0" t="n">
        <v>1525</v>
      </c>
      <c r="I18" s="0" t="n">
        <v>158</v>
      </c>
    </row>
    <row r="19" customFormat="false" ht="12.75" hidden="false" customHeight="false" outlineLevel="0" collapsed="false">
      <c r="A19" s="149" t="s">
        <v>35</v>
      </c>
      <c r="B19" s="66"/>
      <c r="C19" s="66"/>
      <c r="D19" s="66"/>
      <c r="E19" s="66"/>
      <c r="F19" s="66"/>
      <c r="G19" s="66"/>
      <c r="H19" s="66"/>
      <c r="I19" s="66"/>
    </row>
    <row r="20" customFormat="false" ht="12.75" hidden="false" customHeight="false" outlineLevel="0" collapsed="false">
      <c r="A20" s="84" t="s">
        <v>157</v>
      </c>
      <c r="B20" s="66"/>
      <c r="C20" s="66"/>
      <c r="D20" s="66"/>
      <c r="E20" s="66"/>
      <c r="F20" s="66"/>
      <c r="G20" s="66"/>
      <c r="H20" s="66"/>
      <c r="I20" s="66"/>
    </row>
    <row r="21" customFormat="false" ht="12.75" hidden="false" customHeight="false" outlineLevel="0" collapsed="false">
      <c r="A21" s="78" t="s">
        <v>118</v>
      </c>
      <c r="B21" s="66"/>
      <c r="C21" s="66"/>
      <c r="D21" s="66"/>
      <c r="E21" s="66"/>
      <c r="F21" s="66"/>
      <c r="G21" s="66"/>
      <c r="H21" s="66"/>
      <c r="I21" s="66"/>
    </row>
    <row r="22" customFormat="false" ht="12.75" hidden="false" customHeight="false" outlineLevel="0" collapsed="false">
      <c r="A22" s="149" t="s">
        <v>153</v>
      </c>
      <c r="B22" s="66" t="n">
        <v>5224</v>
      </c>
      <c r="C22" s="66" t="n">
        <v>1151</v>
      </c>
      <c r="D22" s="66"/>
      <c r="E22" s="66"/>
      <c r="F22" s="66"/>
      <c r="G22" s="66"/>
      <c r="H22" s="66"/>
      <c r="I22" s="66"/>
    </row>
    <row r="23" customFormat="false" ht="12.75" hidden="false" customHeight="false" outlineLevel="0" collapsed="false">
      <c r="A23" s="149" t="s">
        <v>152</v>
      </c>
      <c r="B23" s="164" t="n">
        <v>573</v>
      </c>
      <c r="C23" s="164" t="n">
        <v>388</v>
      </c>
      <c r="D23" s="164" t="n">
        <v>778</v>
      </c>
      <c r="E23" s="164" t="n">
        <v>473</v>
      </c>
      <c r="F23" s="164" t="n">
        <v>778</v>
      </c>
      <c r="G23" s="164" t="n">
        <v>304</v>
      </c>
      <c r="H23" s="164" t="n">
        <v>1013</v>
      </c>
      <c r="I23" s="164" t="n">
        <v>436</v>
      </c>
    </row>
    <row r="24" customFormat="false" ht="12.75" hidden="false" customHeight="false" outlineLevel="0" collapsed="false">
      <c r="A24" s="149" t="s">
        <v>154</v>
      </c>
      <c r="B24" s="165" t="n">
        <v>633</v>
      </c>
      <c r="C24" s="165" t="n">
        <v>1263</v>
      </c>
      <c r="D24" s="165" t="n">
        <v>1573</v>
      </c>
      <c r="E24" s="165" t="n">
        <v>2577</v>
      </c>
      <c r="F24" s="165" t="n">
        <v>1657</v>
      </c>
      <c r="G24" s="165" t="n">
        <v>2093</v>
      </c>
      <c r="H24" s="165" t="n">
        <v>83</v>
      </c>
      <c r="I24" s="165" t="n">
        <v>139</v>
      </c>
    </row>
    <row r="25" customFormat="false" ht="12.75" hidden="false" customHeight="false" outlineLevel="0" collapsed="false">
      <c r="A25" s="149" t="s">
        <v>155</v>
      </c>
      <c r="B25" s="164"/>
      <c r="C25" s="164" t="n">
        <v>9</v>
      </c>
      <c r="D25" s="164"/>
      <c r="E25" s="164" t="n">
        <v>23</v>
      </c>
      <c r="F25" s="164"/>
      <c r="G25" s="164" t="n">
        <v>22</v>
      </c>
      <c r="H25" s="164"/>
      <c r="I25" s="164" t="n">
        <v>10</v>
      </c>
    </row>
    <row r="26" customFormat="false" ht="12.75" hidden="false" customHeight="false" outlineLevel="0" collapsed="false">
      <c r="A26" s="78" t="s">
        <v>41</v>
      </c>
      <c r="B26" s="66"/>
      <c r="C26" s="66"/>
      <c r="D26" s="66"/>
      <c r="E26" s="66"/>
      <c r="F26" s="66"/>
      <c r="G26" s="66"/>
      <c r="H26" s="66"/>
      <c r="I26" s="66"/>
    </row>
    <row r="27" customFormat="false" ht="12.75" hidden="false" customHeight="false" outlineLevel="0" collapsed="false">
      <c r="A27" s="149" t="s">
        <v>39</v>
      </c>
      <c r="B27" s="166" t="n">
        <v>1</v>
      </c>
      <c r="C27" s="166" t="n">
        <v>62</v>
      </c>
      <c r="D27" s="166" t="n">
        <v>12</v>
      </c>
      <c r="E27" s="166" t="n">
        <v>107</v>
      </c>
      <c r="F27" s="166" t="n">
        <v>10</v>
      </c>
      <c r="G27" s="166" t="n">
        <v>83</v>
      </c>
      <c r="H27" s="166" t="n">
        <v>2</v>
      </c>
      <c r="I27" s="166" t="n">
        <v>103</v>
      </c>
    </row>
    <row r="28" customFormat="false" ht="12.75" hidden="false" customHeight="false" outlineLevel="0" collapsed="false">
      <c r="A28" s="149" t="s">
        <v>33</v>
      </c>
      <c r="B28" s="166" t="n">
        <v>0</v>
      </c>
      <c r="C28" s="166" t="n">
        <v>3</v>
      </c>
      <c r="D28" s="166" t="n">
        <v>0</v>
      </c>
      <c r="E28" s="166" t="n">
        <v>15</v>
      </c>
      <c r="F28" s="166" t="n">
        <v>1</v>
      </c>
      <c r="G28" s="166" t="n">
        <v>6</v>
      </c>
      <c r="H28" s="166" t="n">
        <v>0</v>
      </c>
      <c r="I28" s="166" t="n">
        <v>22</v>
      </c>
    </row>
    <row r="29" customFormat="false" ht="12.75" hidden="false" customHeight="false" outlineLevel="0" collapsed="false">
      <c r="A29" s="149" t="s">
        <v>156</v>
      </c>
      <c r="B29" s="166" t="n">
        <v>4</v>
      </c>
      <c r="C29" s="166" t="n">
        <v>1</v>
      </c>
      <c r="D29" s="166" t="n">
        <v>3</v>
      </c>
      <c r="E29" s="166" t="n">
        <v>10</v>
      </c>
      <c r="F29" s="166" t="n">
        <v>0</v>
      </c>
      <c r="G29" s="166" t="n">
        <v>12</v>
      </c>
      <c r="H29" s="166" t="n">
        <v>0</v>
      </c>
      <c r="I29" s="166" t="n">
        <v>9</v>
      </c>
    </row>
    <row r="30" customFormat="false" ht="12.75" hidden="false" customHeight="false" outlineLevel="0" collapsed="false">
      <c r="A30" s="149" t="s">
        <v>42</v>
      </c>
      <c r="B30" s="166" t="n">
        <v>0</v>
      </c>
      <c r="C30" s="166" t="n">
        <v>0</v>
      </c>
      <c r="D30" s="166" t="n">
        <v>0</v>
      </c>
      <c r="E30" s="166" t="n">
        <v>0</v>
      </c>
      <c r="F30" s="166" t="n">
        <v>0</v>
      </c>
      <c r="G30" s="166" t="n">
        <v>0</v>
      </c>
      <c r="H30" s="166" t="n">
        <v>0</v>
      </c>
      <c r="I30" s="166" t="n">
        <v>0</v>
      </c>
    </row>
    <row r="31" customFormat="false" ht="12.75" hidden="false" customHeight="false" outlineLevel="0" collapsed="false">
      <c r="A31" s="78" t="s">
        <v>23</v>
      </c>
      <c r="B31" s="66"/>
      <c r="C31" s="66"/>
      <c r="D31" s="66"/>
      <c r="E31" s="66"/>
      <c r="F31" s="66"/>
      <c r="G31" s="66"/>
      <c r="H31" s="66"/>
      <c r="I31" s="66"/>
    </row>
    <row r="32" customFormat="false" ht="12.75" hidden="false" customHeight="false" outlineLevel="0" collapsed="false">
      <c r="A32" s="149" t="s">
        <v>27</v>
      </c>
      <c r="B32" s="0" t="n">
        <v>22</v>
      </c>
      <c r="C32" s="0" t="n">
        <v>93</v>
      </c>
      <c r="D32" s="0" t="n">
        <v>55</v>
      </c>
      <c r="E32" s="0" t="n">
        <v>226</v>
      </c>
      <c r="F32" s="0" t="n">
        <v>26</v>
      </c>
      <c r="G32" s="0" t="n">
        <v>115</v>
      </c>
      <c r="H32" s="0" t="n">
        <v>19</v>
      </c>
      <c r="I32" s="0" t="n">
        <v>141</v>
      </c>
    </row>
    <row r="33" customFormat="false" ht="12.75" hidden="false" customHeight="false" outlineLevel="0" collapsed="false">
      <c r="A33" s="149" t="s">
        <v>29</v>
      </c>
    </row>
    <row r="34" customFormat="false" ht="12.75" hidden="false" customHeight="false" outlineLevel="0" collapsed="false">
      <c r="B34" s="144" t="s">
        <v>180</v>
      </c>
      <c r="C34" s="144"/>
      <c r="D34" s="144" t="s">
        <v>181</v>
      </c>
      <c r="E34" s="144"/>
      <c r="F34" s="144" t="s">
        <v>182</v>
      </c>
      <c r="G34" s="144"/>
      <c r="H34" s="144" t="s">
        <v>183</v>
      </c>
      <c r="I34" s="144"/>
    </row>
    <row r="35" customFormat="false" ht="12.75" hidden="false" customHeight="false" outlineLevel="0" collapsed="false">
      <c r="A35" s="165" t="s">
        <v>88</v>
      </c>
      <c r="B35" s="165" t="s">
        <v>83</v>
      </c>
      <c r="C35" s="165" t="s">
        <v>150</v>
      </c>
      <c r="D35" s="165" t="s">
        <v>83</v>
      </c>
      <c r="E35" s="165" t="s">
        <v>150</v>
      </c>
      <c r="F35" s="165" t="s">
        <v>83</v>
      </c>
      <c r="G35" s="165" t="s">
        <v>150</v>
      </c>
      <c r="H35" s="165" t="s">
        <v>83</v>
      </c>
      <c r="I35" s="165" t="s">
        <v>150</v>
      </c>
    </row>
    <row r="36" customFormat="false" ht="12.75" hidden="false" customHeight="false" outlineLevel="0" collapsed="false">
      <c r="A36" s="167" t="s">
        <v>118</v>
      </c>
      <c r="B36" s="164"/>
      <c r="C36" s="164"/>
      <c r="D36" s="164"/>
      <c r="E36" s="164"/>
      <c r="F36" s="164"/>
      <c r="G36" s="164"/>
      <c r="H36" s="164"/>
      <c r="I36" s="164"/>
    </row>
    <row r="37" customFormat="false" ht="12.75" hidden="false" customHeight="false" outlineLevel="0" collapsed="false">
      <c r="A37" s="168" t="s">
        <v>14</v>
      </c>
      <c r="B37" s="169" t="n">
        <v>8160</v>
      </c>
      <c r="C37" s="169" t="n">
        <v>1993</v>
      </c>
      <c r="D37" s="169" t="n">
        <v>12264</v>
      </c>
      <c r="E37" s="169" t="n">
        <v>3200</v>
      </c>
      <c r="F37" s="169" t="n">
        <v>10083</v>
      </c>
      <c r="G37" s="169" t="n">
        <v>2671</v>
      </c>
      <c r="H37" s="169" t="n">
        <v>13198</v>
      </c>
      <c r="I37" s="169" t="n">
        <v>3425</v>
      </c>
      <c r="J37" s="0" t="n">
        <f aca="false">SUM(B37:I37)</f>
        <v>54994</v>
      </c>
    </row>
    <row r="38" customFormat="false" ht="12.75" hidden="false" customHeight="false" outlineLevel="0" collapsed="false">
      <c r="A38" s="168" t="s">
        <v>17</v>
      </c>
      <c r="B38" s="169" t="n">
        <v>657</v>
      </c>
      <c r="C38" s="169" t="n">
        <v>1073</v>
      </c>
      <c r="D38" s="169" t="n">
        <v>1630</v>
      </c>
      <c r="E38" s="169" t="n">
        <v>1806</v>
      </c>
      <c r="F38" s="169" t="n">
        <v>1725</v>
      </c>
      <c r="G38" s="169" t="n">
        <v>2056</v>
      </c>
      <c r="H38" s="169" t="n">
        <v>1546</v>
      </c>
      <c r="I38" s="169" t="n">
        <v>2149</v>
      </c>
      <c r="J38" s="0" t="n">
        <f aca="false">SUM(B38:I38)</f>
        <v>12642</v>
      </c>
    </row>
    <row r="39" customFormat="false" ht="12.75" hidden="false" customHeight="false" outlineLevel="0" collapsed="false">
      <c r="A39" s="167" t="s">
        <v>41</v>
      </c>
      <c r="B39" s="169"/>
      <c r="C39" s="169" t="n">
        <v>29</v>
      </c>
      <c r="D39" s="169"/>
      <c r="E39" s="169" t="n">
        <v>33</v>
      </c>
      <c r="F39" s="169"/>
      <c r="G39" s="169" t="n">
        <v>31</v>
      </c>
      <c r="H39" s="169"/>
      <c r="I39" s="169" t="n">
        <v>53</v>
      </c>
      <c r="J39" s="0" t="n">
        <f aca="false">SUM(B39:I39)</f>
        <v>146</v>
      </c>
    </row>
    <row r="40" customFormat="false" ht="12.75" hidden="false" customHeight="false" outlineLevel="0" collapsed="false">
      <c r="A40" s="168" t="s">
        <v>39</v>
      </c>
      <c r="B40" s="170" t="n">
        <v>4</v>
      </c>
      <c r="C40" s="170"/>
      <c r="D40" s="170" t="n">
        <v>9</v>
      </c>
      <c r="E40" s="170"/>
      <c r="F40" s="170" t="n">
        <v>4</v>
      </c>
      <c r="G40" s="170"/>
      <c r="H40" s="170" t="n">
        <v>2</v>
      </c>
      <c r="I40" s="170"/>
      <c r="J40" s="0" t="n">
        <f aca="false">SUM(B40:I40)</f>
        <v>19</v>
      </c>
    </row>
    <row r="41" customFormat="false" ht="12.75" hidden="false" customHeight="false" outlineLevel="0" collapsed="false">
      <c r="A41" s="168" t="s">
        <v>33</v>
      </c>
      <c r="B41" s="170"/>
      <c r="C41" s="170"/>
      <c r="D41" s="170"/>
      <c r="E41" s="170"/>
      <c r="F41" s="170"/>
      <c r="G41" s="170"/>
      <c r="H41" s="170"/>
      <c r="I41" s="170"/>
      <c r="J41" s="0" t="n">
        <f aca="false">SUM(B41:I41)</f>
        <v>0</v>
      </c>
    </row>
    <row r="42" customFormat="false" ht="12.75" hidden="false" customHeight="false" outlineLevel="0" collapsed="false">
      <c r="A42" s="168" t="s">
        <v>156</v>
      </c>
      <c r="B42" s="170" t="n">
        <f aca="false">+B13+B29</f>
        <v>4</v>
      </c>
      <c r="C42" s="170" t="n">
        <v>0</v>
      </c>
      <c r="D42" s="170" t="n">
        <v>4</v>
      </c>
      <c r="E42" s="170" t="n">
        <v>0</v>
      </c>
      <c r="F42" s="170" t="n">
        <v>1</v>
      </c>
      <c r="G42" s="170" t="n">
        <v>0</v>
      </c>
      <c r="H42" s="170" t="n">
        <f aca="false">+H13+H29</f>
        <v>0</v>
      </c>
      <c r="I42" s="170" t="n">
        <v>0</v>
      </c>
      <c r="J42" s="0" t="n">
        <f aca="false">SUM(B42:I42)</f>
        <v>9</v>
      </c>
    </row>
    <row r="43" customFormat="false" ht="12.75" hidden="false" customHeight="false" outlineLevel="0" collapsed="false">
      <c r="A43" s="168" t="s">
        <v>42</v>
      </c>
      <c r="B43" s="170" t="n">
        <f aca="false">+B14+B30</f>
        <v>0</v>
      </c>
      <c r="C43" s="170" t="n">
        <f aca="false">+C14+C30</f>
        <v>0</v>
      </c>
      <c r="D43" s="170" t="n">
        <f aca="false">+D14+D30</f>
        <v>0</v>
      </c>
      <c r="E43" s="170" t="n">
        <f aca="false">+E14+E30</f>
        <v>0</v>
      </c>
      <c r="F43" s="170" t="n">
        <f aca="false">+F14+F30</f>
        <v>0</v>
      </c>
      <c r="G43" s="170" t="n">
        <f aca="false">+G14+G30</f>
        <v>0</v>
      </c>
      <c r="H43" s="170" t="n">
        <f aca="false">+H14+H30</f>
        <v>0</v>
      </c>
      <c r="I43" s="170" t="n">
        <f aca="false">+I14+I30</f>
        <v>0</v>
      </c>
      <c r="J43" s="0" t="n">
        <f aca="false">SUM(B43:I43)</f>
        <v>0</v>
      </c>
    </row>
    <row r="44" customFormat="false" ht="12.75" hidden="false" customHeight="false" outlineLevel="0" collapsed="false">
      <c r="A44" s="167" t="s">
        <v>23</v>
      </c>
      <c r="B44" s="169"/>
      <c r="C44" s="169"/>
      <c r="D44" s="169"/>
      <c r="E44" s="169"/>
      <c r="F44" s="169"/>
      <c r="G44" s="169"/>
      <c r="H44" s="169"/>
      <c r="I44" s="169"/>
      <c r="J44" s="0" t="n">
        <f aca="false">SUM(B44:I44)</f>
        <v>0</v>
      </c>
    </row>
    <row r="45" customFormat="false" ht="12.75" hidden="false" customHeight="false" outlineLevel="0" collapsed="false">
      <c r="A45" s="168" t="s">
        <v>25</v>
      </c>
      <c r="B45" s="169" t="n">
        <v>0</v>
      </c>
      <c r="C45" s="169" t="n">
        <v>91</v>
      </c>
      <c r="D45" s="169"/>
      <c r="E45" s="169" t="n">
        <v>130</v>
      </c>
      <c r="F45" s="169"/>
      <c r="G45" s="169" t="n">
        <v>103</v>
      </c>
      <c r="H45" s="169"/>
      <c r="I45" s="169" t="n">
        <v>169</v>
      </c>
      <c r="J45" s="0" t="n">
        <f aca="false">SUM(B45:I45)</f>
        <v>493</v>
      </c>
    </row>
    <row r="46" customFormat="false" ht="12.75" hidden="false" customHeight="false" outlineLevel="0" collapsed="false">
      <c r="A46" s="168" t="s">
        <v>32</v>
      </c>
      <c r="B46" s="169" t="n">
        <v>9</v>
      </c>
      <c r="C46" s="169" t="n">
        <v>4</v>
      </c>
      <c r="D46" s="169" t="n">
        <v>8</v>
      </c>
      <c r="E46" s="169" t="n">
        <v>19</v>
      </c>
      <c r="F46" s="169" t="n">
        <v>26</v>
      </c>
      <c r="G46" s="169" t="n">
        <v>11</v>
      </c>
      <c r="H46" s="169" t="n">
        <v>13</v>
      </c>
      <c r="I46" s="169" t="n">
        <v>23</v>
      </c>
      <c r="J46" s="0" t="n">
        <f aca="false">SUM(B46:I46)</f>
        <v>113</v>
      </c>
    </row>
    <row r="47" customFormat="false" ht="12.75" hidden="false" customHeight="false" outlineLevel="0" collapsed="false">
      <c r="A47" s="168" t="s">
        <v>27</v>
      </c>
      <c r="B47" s="169" t="n">
        <v>840</v>
      </c>
      <c r="C47" s="169" t="n">
        <v>995</v>
      </c>
      <c r="D47" s="169" t="n">
        <v>1580</v>
      </c>
      <c r="E47" s="169" t="n">
        <v>1678</v>
      </c>
      <c r="F47" s="169" t="n">
        <v>1052</v>
      </c>
      <c r="G47" s="169" t="n">
        <v>1147</v>
      </c>
      <c r="H47" s="169" t="n">
        <v>1552</v>
      </c>
      <c r="I47" s="169" t="n">
        <v>1511</v>
      </c>
      <c r="J47" s="0" t="n">
        <f aca="false">SUM(B47:I47)</f>
        <v>10355</v>
      </c>
    </row>
    <row r="48" customFormat="false" ht="12.75" hidden="false" customHeight="false" outlineLevel="0" collapsed="false">
      <c r="A48" s="168" t="s">
        <v>35</v>
      </c>
      <c r="B48" s="169" t="n">
        <v>2</v>
      </c>
      <c r="C48" s="169" t="n">
        <v>0</v>
      </c>
      <c r="D48" s="169" t="n">
        <v>2</v>
      </c>
      <c r="E48" s="169" t="n">
        <v>0</v>
      </c>
      <c r="F48" s="169" t="n">
        <v>10</v>
      </c>
      <c r="G48" s="169" t="n">
        <v>4</v>
      </c>
      <c r="H48" s="169" t="n">
        <v>4</v>
      </c>
      <c r="I48" s="169" t="n">
        <v>9</v>
      </c>
      <c r="J48" s="0" t="n">
        <f aca="false">SUM(B48:I48)</f>
        <v>31</v>
      </c>
    </row>
    <row r="49" customFormat="false" ht="12.75" hidden="false" customHeight="false" outlineLevel="0" collapsed="false">
      <c r="A49" s="168" t="s">
        <v>29</v>
      </c>
      <c r="B49" s="169" t="n">
        <v>29</v>
      </c>
      <c r="C49" s="169" t="n">
        <v>23</v>
      </c>
      <c r="D49" s="169" t="n">
        <v>36</v>
      </c>
      <c r="E49" s="169" t="n">
        <v>47</v>
      </c>
      <c r="F49" s="169" t="n">
        <v>32</v>
      </c>
      <c r="G49" s="169" t="n">
        <v>52</v>
      </c>
      <c r="H49" s="169" t="n">
        <v>17</v>
      </c>
      <c r="I49" s="169" t="n">
        <v>58</v>
      </c>
      <c r="J49" s="0" t="n">
        <f aca="false">SUM(B49:I49)</f>
        <v>294</v>
      </c>
    </row>
    <row r="50" customFormat="false" ht="12.75" hidden="false" customHeight="false" outlineLevel="0" collapsed="false">
      <c r="A50" s="171" t="s">
        <v>184</v>
      </c>
      <c r="B50" s="171"/>
      <c r="C50" s="171"/>
      <c r="D50" s="171"/>
      <c r="E50" s="171"/>
      <c r="F50" s="171"/>
      <c r="G50" s="171"/>
      <c r="H50" s="171"/>
      <c r="I50" s="171"/>
    </row>
    <row r="51" customFormat="false" ht="12.75" hidden="false" customHeight="false" outlineLevel="0" collapsed="false">
      <c r="A51" s="172" t="s">
        <v>118</v>
      </c>
      <c r="B51" s="173"/>
      <c r="C51" s="173"/>
      <c r="D51" s="173"/>
      <c r="E51" s="173"/>
      <c r="F51" s="173"/>
      <c r="G51" s="173"/>
      <c r="H51" s="173"/>
      <c r="I51" s="173"/>
    </row>
    <row r="52" customFormat="false" ht="12.75" hidden="false" customHeight="false" outlineLevel="0" collapsed="false">
      <c r="A52" s="174" t="s">
        <v>14</v>
      </c>
      <c r="B52" s="175" t="n">
        <f aca="false">+B6+B7+B22+B23</f>
        <v>5981</v>
      </c>
      <c r="C52" s="175" t="n">
        <f aca="false">+C6+C7+C22+C23</f>
        <v>1559</v>
      </c>
      <c r="D52" s="175" t="n">
        <f aca="false">+D6+D7+D22+D23</f>
        <v>982</v>
      </c>
      <c r="E52" s="175" t="n">
        <f aca="false">+E6+E7+E22+E23</f>
        <v>498</v>
      </c>
      <c r="F52" s="175" t="n">
        <f aca="false">+F6+F7+F22+F23</f>
        <v>937</v>
      </c>
      <c r="G52" s="175" t="n">
        <f aca="false">+G6+G7+G22+G23</f>
        <v>331</v>
      </c>
      <c r="H52" s="175" t="n">
        <f aca="false">+H6+H7+H22+H23</f>
        <v>1240</v>
      </c>
      <c r="I52" s="175" t="n">
        <f aca="false">+I6+I7+I22+I23</f>
        <v>479</v>
      </c>
    </row>
    <row r="53" customFormat="false" ht="12.75" hidden="false" customHeight="false" outlineLevel="0" collapsed="false">
      <c r="A53" s="174" t="s">
        <v>17</v>
      </c>
      <c r="B53" s="175" t="n">
        <f aca="false">+B8+B9+B24+B25</f>
        <v>657</v>
      </c>
      <c r="C53" s="175" t="n">
        <f aca="false">+C8+C9+C24+C25</f>
        <v>1310</v>
      </c>
      <c r="D53" s="175" t="n">
        <f aca="false">+D8+D9+D24+D25</f>
        <v>1636</v>
      </c>
      <c r="E53" s="175" t="n">
        <f aca="false">+E8+E9+E24+E25</f>
        <v>2719</v>
      </c>
      <c r="F53" s="175" t="n">
        <f aca="false">+F8+F9+F24+F25</f>
        <v>1759</v>
      </c>
      <c r="G53" s="175" t="n">
        <f aca="false">+G8+G9+G24+G25</f>
        <v>2204</v>
      </c>
      <c r="H53" s="175" t="n">
        <f aca="false">+H8+H9+H24+H25</f>
        <v>1597</v>
      </c>
      <c r="I53" s="175" t="n">
        <f aca="false">+I8+I9+I24+I25</f>
        <v>2459</v>
      </c>
    </row>
    <row r="54" customFormat="false" ht="12.75" hidden="false" customHeight="false" outlineLevel="0" collapsed="false">
      <c r="A54" s="172" t="s">
        <v>41</v>
      </c>
      <c r="B54" s="175"/>
      <c r="C54" s="175"/>
      <c r="D54" s="175"/>
      <c r="E54" s="175"/>
      <c r="F54" s="175"/>
      <c r="G54" s="175"/>
      <c r="H54" s="175"/>
      <c r="I54" s="175"/>
    </row>
    <row r="55" customFormat="false" ht="12.75" hidden="false" customHeight="false" outlineLevel="0" collapsed="false">
      <c r="A55" s="174" t="s">
        <v>39</v>
      </c>
      <c r="B55" s="176" t="n">
        <f aca="false">+B11+B27</f>
        <v>1</v>
      </c>
      <c r="C55" s="176" t="n">
        <f aca="false">+C11+C27</f>
        <v>85</v>
      </c>
      <c r="D55" s="176" t="n">
        <f aca="false">+D11+D27</f>
        <v>12</v>
      </c>
      <c r="E55" s="176" t="n">
        <f aca="false">+E11+E27</f>
        <v>114</v>
      </c>
      <c r="F55" s="176" t="n">
        <f aca="false">+F11+F27</f>
        <v>10</v>
      </c>
      <c r="G55" s="176" t="n">
        <f aca="false">+G11+G27</f>
        <v>93</v>
      </c>
      <c r="H55" s="176" t="n">
        <f aca="false">+H11+H27</f>
        <v>2</v>
      </c>
      <c r="I55" s="176" t="n">
        <f aca="false">+I11+I27</f>
        <v>122</v>
      </c>
      <c r="J55" s="177" t="n">
        <f aca="false">SUM(B55:I55)</f>
        <v>439</v>
      </c>
    </row>
    <row r="56" customFormat="false" ht="12.75" hidden="false" customHeight="false" outlineLevel="0" collapsed="false">
      <c r="A56" s="174" t="s">
        <v>33</v>
      </c>
      <c r="B56" s="176" t="n">
        <f aca="false">+B12+B28</f>
        <v>0</v>
      </c>
      <c r="C56" s="176" t="n">
        <f aca="false">+C12+C28</f>
        <v>5</v>
      </c>
      <c r="D56" s="176" t="n">
        <f aca="false">+D12+D28</f>
        <v>2</v>
      </c>
      <c r="E56" s="176" t="n">
        <f aca="false">+E12+E28</f>
        <v>15</v>
      </c>
      <c r="F56" s="176" t="n">
        <f aca="false">+F12+F28</f>
        <v>1</v>
      </c>
      <c r="G56" s="176" t="n">
        <f aca="false">+G12+G28</f>
        <v>8</v>
      </c>
      <c r="H56" s="176" t="n">
        <f aca="false">+H12+H28</f>
        <v>0</v>
      </c>
      <c r="I56" s="176" t="n">
        <f aca="false">+I12+I28</f>
        <v>24</v>
      </c>
      <c r="J56" s="177" t="n">
        <f aca="false">SUM(B56:I56)</f>
        <v>55</v>
      </c>
    </row>
    <row r="57" customFormat="false" ht="12.75" hidden="false" customHeight="false" outlineLevel="0" collapsed="false">
      <c r="A57" s="174" t="s">
        <v>156</v>
      </c>
      <c r="B57" s="176" t="n">
        <f aca="false">+B13+B29</f>
        <v>4</v>
      </c>
      <c r="C57" s="176" t="n">
        <f aca="false">+C13+C29</f>
        <v>2</v>
      </c>
      <c r="D57" s="176" t="n">
        <f aca="false">+D13+D29</f>
        <v>3</v>
      </c>
      <c r="E57" s="176" t="n">
        <f aca="false">+E13+E29</f>
        <v>14</v>
      </c>
      <c r="F57" s="176" t="n">
        <f aca="false">+F13+F29</f>
        <v>0</v>
      </c>
      <c r="G57" s="176" t="n">
        <f aca="false">+G13+G29</f>
        <v>24</v>
      </c>
      <c r="H57" s="176" t="n">
        <f aca="false">+H13+H29</f>
        <v>0</v>
      </c>
      <c r="I57" s="176" t="n">
        <f aca="false">+I13+I29</f>
        <v>19</v>
      </c>
      <c r="J57" s="177" t="n">
        <f aca="false">SUM(B57:I57)</f>
        <v>66</v>
      </c>
    </row>
    <row r="58" customFormat="false" ht="12.75" hidden="false" customHeight="false" outlineLevel="0" collapsed="false">
      <c r="A58" s="174" t="s">
        <v>42</v>
      </c>
      <c r="B58" s="176" t="n">
        <f aca="false">+B14+B30</f>
        <v>0</v>
      </c>
      <c r="C58" s="176" t="n">
        <f aca="false">+C14+C30</f>
        <v>0</v>
      </c>
      <c r="D58" s="176" t="n">
        <f aca="false">+D14+D30</f>
        <v>0</v>
      </c>
      <c r="E58" s="176" t="n">
        <f aca="false">+E14+E30</f>
        <v>0</v>
      </c>
      <c r="F58" s="176" t="n">
        <f aca="false">+F14+F30</f>
        <v>0</v>
      </c>
      <c r="G58" s="176" t="n">
        <f aca="false">+G14+G30</f>
        <v>0</v>
      </c>
      <c r="H58" s="176" t="n">
        <f aca="false">+H14+H30</f>
        <v>0</v>
      </c>
      <c r="I58" s="176" t="n">
        <f aca="false">+I14+I30</f>
        <v>0</v>
      </c>
    </row>
    <row r="59" customFormat="false" ht="12.75" hidden="false" customHeight="false" outlineLevel="0" collapsed="false">
      <c r="A59" s="172" t="s">
        <v>23</v>
      </c>
      <c r="B59" s="175"/>
      <c r="C59" s="175"/>
      <c r="D59" s="175"/>
      <c r="E59" s="175"/>
      <c r="F59" s="175"/>
      <c r="G59" s="175"/>
      <c r="H59" s="175"/>
      <c r="I59" s="175"/>
    </row>
    <row r="60" customFormat="false" ht="12.75" hidden="false" customHeight="false" outlineLevel="0" collapsed="false">
      <c r="A60" s="174" t="s">
        <v>25</v>
      </c>
      <c r="B60" s="175" t="n">
        <f aca="false">+B16</f>
        <v>0</v>
      </c>
      <c r="C60" s="175" t="n">
        <f aca="false">+C16</f>
        <v>0</v>
      </c>
      <c r="D60" s="175" t="n">
        <f aca="false">+D16</f>
        <v>0</v>
      </c>
      <c r="E60" s="175" t="n">
        <f aca="false">+E16</f>
        <v>0</v>
      </c>
      <c r="F60" s="175" t="n">
        <f aca="false">+F16</f>
        <v>0</v>
      </c>
      <c r="G60" s="175" t="n">
        <f aca="false">+G16</f>
        <v>0</v>
      </c>
      <c r="H60" s="175" t="n">
        <f aca="false">+H16</f>
        <v>0</v>
      </c>
      <c r="I60" s="175" t="n">
        <f aca="false">+I16</f>
        <v>0</v>
      </c>
    </row>
    <row r="61" customFormat="false" ht="12.75" hidden="false" customHeight="false" outlineLevel="0" collapsed="false">
      <c r="A61" s="174" t="s">
        <v>32</v>
      </c>
      <c r="B61" s="175"/>
      <c r="C61" s="175"/>
      <c r="D61" s="175"/>
      <c r="E61" s="175"/>
      <c r="F61" s="175"/>
      <c r="G61" s="175"/>
      <c r="H61" s="175"/>
      <c r="I61" s="175"/>
    </row>
    <row r="62" customFormat="false" ht="12.75" hidden="false" customHeight="false" outlineLevel="0" collapsed="false">
      <c r="A62" s="174" t="s">
        <v>27</v>
      </c>
      <c r="B62" s="175" t="n">
        <f aca="false">+B18+B32</f>
        <v>840</v>
      </c>
      <c r="C62" s="175" t="n">
        <f aca="false">+C18+C32</f>
        <v>191</v>
      </c>
      <c r="D62" s="175" t="n">
        <f aca="false">+D18+D32</f>
        <v>1580</v>
      </c>
      <c r="E62" s="175" t="n">
        <f aca="false">+E18+E32</f>
        <v>456</v>
      </c>
      <c r="F62" s="175" t="n">
        <f aca="false">+F18+F32</f>
        <v>1051</v>
      </c>
      <c r="G62" s="175" t="n">
        <f aca="false">+G18+G32</f>
        <v>249</v>
      </c>
      <c r="H62" s="175" t="n">
        <f aca="false">+H18+H32</f>
        <v>1544</v>
      </c>
      <c r="I62" s="175" t="n">
        <f aca="false">+I18+I32</f>
        <v>299</v>
      </c>
    </row>
    <row r="63" customFormat="false" ht="12.75" hidden="false" customHeight="false" outlineLevel="0" collapsed="false">
      <c r="A63" s="174" t="s">
        <v>35</v>
      </c>
      <c r="B63" s="178"/>
      <c r="C63" s="178"/>
      <c r="D63" s="178"/>
      <c r="E63" s="178"/>
      <c r="F63" s="178"/>
      <c r="G63" s="178"/>
      <c r="H63" s="178"/>
      <c r="I63" s="178"/>
    </row>
    <row r="64" customFormat="false" ht="12.75" hidden="false" customHeight="false" outlineLevel="0" collapsed="false">
      <c r="A64" s="179" t="s">
        <v>29</v>
      </c>
      <c r="B64" s="175"/>
      <c r="C64" s="175"/>
      <c r="D64" s="175"/>
      <c r="E64" s="175"/>
      <c r="F64" s="175"/>
      <c r="G64" s="175"/>
      <c r="H64" s="175"/>
      <c r="I64" s="175"/>
    </row>
    <row r="66" customFormat="false" ht="12.75" hidden="false" customHeight="false" outlineLevel="0" collapsed="false">
      <c r="A66" s="165" t="s">
        <v>185</v>
      </c>
      <c r="B66" s="165" t="s">
        <v>83</v>
      </c>
      <c r="C66" s="165" t="s">
        <v>150</v>
      </c>
      <c r="D66" s="165" t="s">
        <v>83</v>
      </c>
      <c r="E66" s="165" t="s">
        <v>150</v>
      </c>
      <c r="F66" s="165" t="s">
        <v>83</v>
      </c>
      <c r="G66" s="165" t="s">
        <v>150</v>
      </c>
      <c r="H66" s="165" t="s">
        <v>83</v>
      </c>
      <c r="I66" s="165" t="s">
        <v>150</v>
      </c>
    </row>
    <row r="67" customFormat="false" ht="12.75" hidden="false" customHeight="false" outlineLevel="0" collapsed="false">
      <c r="A67" s="167" t="s">
        <v>118</v>
      </c>
      <c r="B67" s="164"/>
      <c r="C67" s="164"/>
      <c r="D67" s="164"/>
      <c r="E67" s="164"/>
      <c r="F67" s="164"/>
      <c r="G67" s="164"/>
      <c r="H67" s="164"/>
      <c r="I67" s="164"/>
    </row>
    <row r="68" customFormat="false" ht="12.75" hidden="false" customHeight="false" outlineLevel="0" collapsed="false">
      <c r="A68" s="168" t="s">
        <v>14</v>
      </c>
      <c r="B68" s="169" t="n">
        <f aca="false">B37-B52</f>
        <v>2179</v>
      </c>
      <c r="C68" s="169" t="n">
        <f aca="false">C37-C52</f>
        <v>434</v>
      </c>
      <c r="D68" s="169" t="n">
        <f aca="false">D37-D52</f>
        <v>11282</v>
      </c>
      <c r="E68" s="169" t="n">
        <f aca="false">E37-E52</f>
        <v>2702</v>
      </c>
      <c r="F68" s="169" t="n">
        <f aca="false">F37-F52</f>
        <v>9146</v>
      </c>
      <c r="G68" s="169" t="n">
        <f aca="false">G37-G52</f>
        <v>2340</v>
      </c>
      <c r="H68" s="169" t="n">
        <f aca="false">H37-H52</f>
        <v>11958</v>
      </c>
      <c r="I68" s="169" t="n">
        <f aca="false">I37-I52</f>
        <v>2946</v>
      </c>
    </row>
    <row r="69" customFormat="false" ht="12.75" hidden="false" customHeight="false" outlineLevel="0" collapsed="false">
      <c r="A69" s="168" t="s">
        <v>17</v>
      </c>
      <c r="B69" s="169" t="n">
        <f aca="false">B38-B53</f>
        <v>0</v>
      </c>
      <c r="C69" s="169" t="n">
        <f aca="false">C38-C53</f>
        <v>-237</v>
      </c>
      <c r="D69" s="169" t="n">
        <f aca="false">D38-D53</f>
        <v>-6</v>
      </c>
      <c r="E69" s="169" t="n">
        <f aca="false">E38-E53</f>
        <v>-913</v>
      </c>
      <c r="F69" s="169" t="n">
        <f aca="false">F38-F53</f>
        <v>-34</v>
      </c>
      <c r="G69" s="169" t="n">
        <f aca="false">G38-G53</f>
        <v>-148</v>
      </c>
      <c r="H69" s="169" t="n">
        <f aca="false">H38-H53</f>
        <v>-51</v>
      </c>
      <c r="I69" s="169" t="n">
        <f aca="false">I38-I53</f>
        <v>-310</v>
      </c>
    </row>
    <row r="70" customFormat="false" ht="12.75" hidden="false" customHeight="false" outlineLevel="0" collapsed="false">
      <c r="A70" s="167" t="s">
        <v>41</v>
      </c>
      <c r="B70" s="169" t="n">
        <f aca="false">B39-B54</f>
        <v>0</v>
      </c>
      <c r="C70" s="169" t="n">
        <f aca="false">C39-C54</f>
        <v>29</v>
      </c>
      <c r="D70" s="169" t="n">
        <f aca="false">D39-D54</f>
        <v>0</v>
      </c>
      <c r="E70" s="169" t="n">
        <f aca="false">E39-E54</f>
        <v>33</v>
      </c>
      <c r="F70" s="169" t="n">
        <f aca="false">F39-F54</f>
        <v>0</v>
      </c>
      <c r="G70" s="169" t="n">
        <f aca="false">G39-G54</f>
        <v>31</v>
      </c>
      <c r="H70" s="169" t="n">
        <f aca="false">H39-H54</f>
        <v>0</v>
      </c>
      <c r="I70" s="169" t="n">
        <f aca="false">I39-I54</f>
        <v>53</v>
      </c>
    </row>
    <row r="71" customFormat="false" ht="12.75" hidden="false" customHeight="false" outlineLevel="0" collapsed="false">
      <c r="A71" s="168" t="s">
        <v>39</v>
      </c>
      <c r="B71" s="169" t="n">
        <f aca="false">B40-B55</f>
        <v>3</v>
      </c>
      <c r="C71" s="169" t="n">
        <f aca="false">C40-C55</f>
        <v>-85</v>
      </c>
      <c r="D71" s="169" t="n">
        <f aca="false">D40-D55</f>
        <v>-3</v>
      </c>
      <c r="E71" s="169" t="n">
        <f aca="false">E40-E55</f>
        <v>-114</v>
      </c>
      <c r="F71" s="169" t="n">
        <f aca="false">F40-F55</f>
        <v>-6</v>
      </c>
      <c r="G71" s="169" t="n">
        <f aca="false">G40-G55</f>
        <v>-93</v>
      </c>
      <c r="H71" s="169" t="n">
        <f aca="false">H40-H55</f>
        <v>0</v>
      </c>
      <c r="I71" s="169" t="n">
        <f aca="false">I40-I55</f>
        <v>-122</v>
      </c>
    </row>
    <row r="72" customFormat="false" ht="12.75" hidden="false" customHeight="false" outlineLevel="0" collapsed="false">
      <c r="A72" s="168" t="s">
        <v>33</v>
      </c>
      <c r="B72" s="169" t="n">
        <f aca="false">B41-B56</f>
        <v>0</v>
      </c>
      <c r="C72" s="169" t="n">
        <f aca="false">C41-C56</f>
        <v>-5</v>
      </c>
      <c r="D72" s="169" t="n">
        <f aca="false">D41-D56</f>
        <v>-2</v>
      </c>
      <c r="E72" s="169" t="n">
        <f aca="false">E41-E56</f>
        <v>-15</v>
      </c>
      <c r="F72" s="169" t="n">
        <f aca="false">F41-F56</f>
        <v>-1</v>
      </c>
      <c r="G72" s="169" t="n">
        <f aca="false">G41-G56</f>
        <v>-8</v>
      </c>
      <c r="H72" s="169" t="n">
        <f aca="false">H41-H56</f>
        <v>0</v>
      </c>
      <c r="I72" s="169" t="n">
        <f aca="false">I41-I56</f>
        <v>-24</v>
      </c>
    </row>
    <row r="73" customFormat="false" ht="12.75" hidden="false" customHeight="false" outlineLevel="0" collapsed="false">
      <c r="A73" s="168" t="s">
        <v>156</v>
      </c>
      <c r="B73" s="169" t="n">
        <f aca="false">B42-B57</f>
        <v>0</v>
      </c>
      <c r="C73" s="169" t="n">
        <f aca="false">C42-C57</f>
        <v>-2</v>
      </c>
      <c r="D73" s="169" t="n">
        <f aca="false">D42-D57</f>
        <v>1</v>
      </c>
      <c r="E73" s="169" t="n">
        <f aca="false">E42-E57</f>
        <v>-14</v>
      </c>
      <c r="F73" s="169" t="n">
        <f aca="false">F42-F57</f>
        <v>1</v>
      </c>
      <c r="G73" s="169" t="n">
        <f aca="false">G42-G57</f>
        <v>-24</v>
      </c>
      <c r="H73" s="169" t="n">
        <f aca="false">H42-H57</f>
        <v>0</v>
      </c>
      <c r="I73" s="169" t="n">
        <f aca="false">I42-I57</f>
        <v>-19</v>
      </c>
    </row>
    <row r="74" customFormat="false" ht="12.75" hidden="false" customHeight="false" outlineLevel="0" collapsed="false">
      <c r="A74" s="168" t="s">
        <v>42</v>
      </c>
      <c r="B74" s="169" t="n">
        <f aca="false">B43-B58</f>
        <v>0</v>
      </c>
      <c r="C74" s="169" t="n">
        <f aca="false">C43-C58</f>
        <v>0</v>
      </c>
      <c r="D74" s="169" t="n">
        <f aca="false">D43-D58</f>
        <v>0</v>
      </c>
      <c r="E74" s="169" t="n">
        <f aca="false">E43-E58</f>
        <v>0</v>
      </c>
      <c r="F74" s="169" t="n">
        <f aca="false">F43-F58</f>
        <v>0</v>
      </c>
      <c r="G74" s="169" t="n">
        <f aca="false">G43-G58</f>
        <v>0</v>
      </c>
      <c r="H74" s="169" t="n">
        <f aca="false">H43-H58</f>
        <v>0</v>
      </c>
      <c r="I74" s="169" t="n">
        <f aca="false">I43-I58</f>
        <v>0</v>
      </c>
    </row>
    <row r="75" customFormat="false" ht="12.75" hidden="false" customHeight="false" outlineLevel="0" collapsed="false">
      <c r="A75" s="167" t="s">
        <v>23</v>
      </c>
      <c r="B75" s="169" t="n">
        <f aca="false">B44-B59</f>
        <v>0</v>
      </c>
      <c r="C75" s="169" t="n">
        <f aca="false">C44-C59</f>
        <v>0</v>
      </c>
      <c r="D75" s="169" t="n">
        <f aca="false">D44-D59</f>
        <v>0</v>
      </c>
      <c r="E75" s="169" t="n">
        <f aca="false">E44-E59</f>
        <v>0</v>
      </c>
      <c r="F75" s="169" t="n">
        <f aca="false">F44-F59</f>
        <v>0</v>
      </c>
      <c r="G75" s="169" t="n">
        <f aca="false">G44-G59</f>
        <v>0</v>
      </c>
      <c r="H75" s="169" t="n">
        <f aca="false">H44-H59</f>
        <v>0</v>
      </c>
      <c r="I75" s="169" t="n">
        <f aca="false">I44-I59</f>
        <v>0</v>
      </c>
    </row>
    <row r="76" customFormat="false" ht="12.75" hidden="false" customHeight="false" outlineLevel="0" collapsed="false">
      <c r="A76" s="168" t="s">
        <v>25</v>
      </c>
      <c r="B76" s="169" t="n">
        <f aca="false">B45-B60</f>
        <v>0</v>
      </c>
      <c r="C76" s="169" t="n">
        <f aca="false">C45-C60</f>
        <v>91</v>
      </c>
      <c r="D76" s="169" t="n">
        <f aca="false">D45-D60</f>
        <v>0</v>
      </c>
      <c r="E76" s="169" t="n">
        <f aca="false">E45-E60</f>
        <v>130</v>
      </c>
      <c r="F76" s="169" t="n">
        <f aca="false">F45-F60</f>
        <v>0</v>
      </c>
      <c r="G76" s="169" t="n">
        <f aca="false">G45-G60</f>
        <v>103</v>
      </c>
      <c r="H76" s="169" t="n">
        <f aca="false">H45-H60</f>
        <v>0</v>
      </c>
      <c r="I76" s="169" t="n">
        <f aca="false">I45-I60</f>
        <v>169</v>
      </c>
    </row>
    <row r="77" customFormat="false" ht="12.75" hidden="false" customHeight="false" outlineLevel="0" collapsed="false">
      <c r="A77" s="168" t="s">
        <v>32</v>
      </c>
      <c r="B77" s="169" t="n">
        <f aca="false">B46-B61</f>
        <v>9</v>
      </c>
      <c r="C77" s="169" t="n">
        <f aca="false">C46-C61</f>
        <v>4</v>
      </c>
      <c r="D77" s="169" t="n">
        <f aca="false">D46-D61</f>
        <v>8</v>
      </c>
      <c r="E77" s="169" t="n">
        <f aca="false">E46-E61</f>
        <v>19</v>
      </c>
      <c r="F77" s="169" t="n">
        <f aca="false">F46-F61</f>
        <v>26</v>
      </c>
      <c r="G77" s="169" t="n">
        <f aca="false">G46-G61</f>
        <v>11</v>
      </c>
      <c r="H77" s="169" t="n">
        <f aca="false">H46-H61</f>
        <v>13</v>
      </c>
      <c r="I77" s="169" t="n">
        <f aca="false">I46-I61</f>
        <v>23</v>
      </c>
    </row>
    <row r="78" customFormat="false" ht="12.75" hidden="false" customHeight="false" outlineLevel="0" collapsed="false">
      <c r="A78" s="168" t="s">
        <v>27</v>
      </c>
      <c r="B78" s="169" t="n">
        <f aca="false">B47-B62</f>
        <v>0</v>
      </c>
      <c r="C78" s="169" t="n">
        <f aca="false">C47-C62</f>
        <v>804</v>
      </c>
      <c r="D78" s="169" t="n">
        <f aca="false">D47-D62</f>
        <v>0</v>
      </c>
      <c r="E78" s="169" t="n">
        <f aca="false">E47-E62</f>
        <v>1222</v>
      </c>
      <c r="F78" s="169" t="n">
        <f aca="false">F47-F62</f>
        <v>1</v>
      </c>
      <c r="G78" s="169" t="n">
        <f aca="false">G47-G62</f>
        <v>898</v>
      </c>
      <c r="H78" s="169" t="n">
        <f aca="false">H47-H62</f>
        <v>8</v>
      </c>
      <c r="I78" s="169" t="n">
        <f aca="false">I47-I62</f>
        <v>1212</v>
      </c>
    </row>
    <row r="79" customFormat="false" ht="12.75" hidden="false" customHeight="false" outlineLevel="0" collapsed="false">
      <c r="A79" s="168" t="s">
        <v>35</v>
      </c>
      <c r="B79" s="169" t="n">
        <f aca="false">B48-B63</f>
        <v>2</v>
      </c>
      <c r="C79" s="169" t="n">
        <f aca="false">C48-C63</f>
        <v>0</v>
      </c>
      <c r="D79" s="169" t="n">
        <f aca="false">D48-D63</f>
        <v>2</v>
      </c>
      <c r="E79" s="169" t="n">
        <f aca="false">E48-E63</f>
        <v>0</v>
      </c>
      <c r="F79" s="169" t="n">
        <f aca="false">F48-F63</f>
        <v>10</v>
      </c>
      <c r="G79" s="169" t="n">
        <f aca="false">G48-G63</f>
        <v>4</v>
      </c>
      <c r="H79" s="169" t="n">
        <f aca="false">H48-H63</f>
        <v>4</v>
      </c>
      <c r="I79" s="169" t="n">
        <f aca="false">I48-I63</f>
        <v>9</v>
      </c>
    </row>
    <row r="80" customFormat="false" ht="12.75" hidden="false" customHeight="false" outlineLevel="0" collapsed="false">
      <c r="A80" s="168" t="s">
        <v>29</v>
      </c>
      <c r="B80" s="169" t="n">
        <f aca="false">B49-B64</f>
        <v>29</v>
      </c>
      <c r="C80" s="169" t="n">
        <f aca="false">C49-C64</f>
        <v>23</v>
      </c>
      <c r="D80" s="169" t="n">
        <f aca="false">D49-D64</f>
        <v>36</v>
      </c>
      <c r="E80" s="169" t="n">
        <f aca="false">E49-E64</f>
        <v>47</v>
      </c>
      <c r="F80" s="169" t="n">
        <f aca="false">F49-F64</f>
        <v>32</v>
      </c>
      <c r="G80" s="169" t="n">
        <f aca="false">G49-G64</f>
        <v>52</v>
      </c>
      <c r="H80" s="169" t="n">
        <f aca="false">H49-H64</f>
        <v>17</v>
      </c>
      <c r="I80" s="169" t="n">
        <f aca="false">I49-I64</f>
        <v>58</v>
      </c>
    </row>
  </sheetData>
  <mergeCells count="9">
    <mergeCell ref="B1:I1"/>
    <mergeCell ref="B2:C2"/>
    <mergeCell ref="D2:E2"/>
    <mergeCell ref="F2:G2"/>
    <mergeCell ref="H2:I2"/>
    <mergeCell ref="B34:C34"/>
    <mergeCell ref="D34:E34"/>
    <mergeCell ref="F34:G34"/>
    <mergeCell ref="H34:I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H1" activePane="topRight" state="frozen"/>
      <selection pane="topLeft" activeCell="A1" activeCellId="0" sqref="A1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5" min="4" style="0" width="22.7"/>
    <col collapsed="false" customWidth="true" hidden="false" outlineLevel="0" max="6" min="6" style="0" width="20.13"/>
    <col collapsed="false" customWidth="true" hidden="false" outlineLevel="0" max="7" min="7" style="0" width="22.7"/>
    <col collapsed="false" customWidth="true" hidden="false" outlineLevel="0" max="8" min="8" style="0" width="17.7"/>
    <col collapsed="false" customWidth="true" hidden="false" outlineLevel="0" max="10" min="9" style="0" width="15.7"/>
    <col collapsed="false" customWidth="true" hidden="false" outlineLevel="0" max="12" min="11" style="0" width="10.13"/>
  </cols>
  <sheetData>
    <row r="1" customFormat="false" ht="23.25" hidden="false" customHeight="false" outlineLevel="0" collapsed="false">
      <c r="A1" s="143" t="s">
        <v>83</v>
      </c>
      <c r="H1" s="163"/>
      <c r="I1" s="163"/>
    </row>
    <row r="2" customFormat="false" ht="12.75" hidden="false" customHeight="false" outlineLevel="0" collapsed="false">
      <c r="B2" s="144" t="s">
        <v>186</v>
      </c>
      <c r="C2" s="144"/>
      <c r="D2" s="144" t="s">
        <v>187</v>
      </c>
      <c r="E2" s="144"/>
      <c r="F2" s="144" t="s">
        <v>188</v>
      </c>
      <c r="G2" s="144"/>
      <c r="H2" s="180" t="s">
        <v>189</v>
      </c>
      <c r="I2" s="180"/>
      <c r="J2" s="145" t="s">
        <v>159</v>
      </c>
    </row>
    <row r="3" customFormat="false" ht="12.75" hidden="false" customHeight="false" outlineLevel="0" collapsed="false">
      <c r="A3" s="146" t="s">
        <v>160</v>
      </c>
      <c r="B3" s="69" t="s">
        <v>1</v>
      </c>
      <c r="C3" s="69" t="s">
        <v>161</v>
      </c>
      <c r="D3" s="69" t="s">
        <v>1</v>
      </c>
      <c r="E3" s="69" t="s">
        <v>161</v>
      </c>
      <c r="F3" s="69" t="s">
        <v>1</v>
      </c>
      <c r="G3" s="69" t="s">
        <v>161</v>
      </c>
      <c r="H3" s="69" t="s">
        <v>1</v>
      </c>
      <c r="I3" s="69" t="s">
        <v>161</v>
      </c>
      <c r="J3" s="147" t="s">
        <v>122</v>
      </c>
    </row>
    <row r="4" customFormat="false" ht="12.75" hidden="false" customHeight="false" outlineLevel="0" collapsed="false">
      <c r="A4" s="84"/>
      <c r="B4" s="84"/>
      <c r="C4" s="84"/>
      <c r="D4" s="84"/>
      <c r="E4" s="84"/>
      <c r="F4" s="84"/>
      <c r="G4" s="84"/>
    </row>
    <row r="5" customFormat="false" ht="12.75" hidden="false" customHeight="false" outlineLevel="0" collapsed="false">
      <c r="A5" s="78" t="s">
        <v>11</v>
      </c>
      <c r="B5" s="148"/>
      <c r="C5" s="148"/>
      <c r="D5" s="148"/>
      <c r="E5" s="148"/>
      <c r="F5" s="148"/>
      <c r="G5" s="148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</row>
    <row r="6" customFormat="false" ht="12.75" hidden="false" customHeight="false" outlineLevel="0" collapsed="false">
      <c r="A6" s="149" t="s">
        <v>14</v>
      </c>
      <c r="B6" s="74" t="n">
        <v>8160</v>
      </c>
      <c r="C6" s="74" t="n">
        <v>867868927</v>
      </c>
      <c r="D6" s="74" t="n">
        <v>12264</v>
      </c>
      <c r="E6" s="74" t="n">
        <v>1430792953</v>
      </c>
      <c r="F6" s="74" t="n">
        <v>10083</v>
      </c>
      <c r="G6" s="74" t="n">
        <v>878002281</v>
      </c>
      <c r="H6" s="74" t="n">
        <v>13198</v>
      </c>
      <c r="I6" s="74" t="n">
        <v>1733178545</v>
      </c>
      <c r="J6" s="74" t="s">
        <v>81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</row>
    <row r="7" customFormat="false" ht="12.75" hidden="false" customHeight="false" outlineLevel="0" collapsed="false">
      <c r="A7" s="149" t="s">
        <v>17</v>
      </c>
      <c r="B7" s="74" t="n">
        <v>657</v>
      </c>
      <c r="C7" s="74" t="n">
        <v>6392800</v>
      </c>
      <c r="D7" s="74" t="n">
        <v>1630</v>
      </c>
      <c r="E7" s="74" t="n">
        <v>15194425</v>
      </c>
      <c r="F7" s="74" t="n">
        <v>1725</v>
      </c>
      <c r="G7" s="74" t="n">
        <v>17506625</v>
      </c>
      <c r="H7" s="74" t="n">
        <v>1546</v>
      </c>
      <c r="I7" s="74" t="n">
        <v>14286440</v>
      </c>
      <c r="J7" s="74" t="s">
        <v>85</v>
      </c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</row>
    <row r="8" customFormat="false" ht="12.75" hidden="false" customHeight="false" outlineLevel="0" collapsed="false">
      <c r="A8" s="78" t="s">
        <v>23</v>
      </c>
      <c r="B8" s="148"/>
      <c r="C8" s="148"/>
      <c r="D8" s="148"/>
      <c r="E8" s="148"/>
      <c r="F8" s="148"/>
      <c r="G8" s="74"/>
      <c r="H8" s="74"/>
      <c r="I8" s="74"/>
      <c r="J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</row>
    <row r="9" customFormat="false" ht="12.75" hidden="false" customHeight="false" outlineLevel="0" collapsed="false">
      <c r="A9" s="149" t="s">
        <v>27</v>
      </c>
      <c r="B9" s="74" t="n">
        <v>840</v>
      </c>
      <c r="C9" s="74" t="n">
        <v>20894000</v>
      </c>
      <c r="D9" s="74" t="n">
        <v>1580</v>
      </c>
      <c r="E9" s="74" t="n">
        <v>40911000</v>
      </c>
      <c r="F9" s="74" t="n">
        <v>1052</v>
      </c>
      <c r="G9" s="74" t="n">
        <v>25743000</v>
      </c>
      <c r="H9" s="74" t="n">
        <v>1552</v>
      </c>
      <c r="I9" s="74" t="n">
        <v>36444595</v>
      </c>
      <c r="J9" s="74" t="s">
        <v>92</v>
      </c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</row>
    <row r="10" customFormat="false" ht="12.75" hidden="false" customHeight="false" outlineLevel="0" collapsed="false">
      <c r="A10" s="149" t="s">
        <v>29</v>
      </c>
      <c r="B10" s="74" t="n">
        <v>25</v>
      </c>
      <c r="C10" s="74" t="n">
        <v>1054250</v>
      </c>
      <c r="D10" s="74" t="n">
        <v>32</v>
      </c>
      <c r="E10" s="74" t="n">
        <v>697000</v>
      </c>
      <c r="F10" s="74" t="n">
        <v>21</v>
      </c>
      <c r="G10" s="74" t="n">
        <v>677000</v>
      </c>
      <c r="H10" s="74" t="n">
        <v>12</v>
      </c>
      <c r="I10" s="74" t="n">
        <v>258000</v>
      </c>
      <c r="J10" s="74" t="s">
        <v>95</v>
      </c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</row>
    <row r="11" customFormat="false" ht="12.75" hidden="false" customHeight="false" outlineLevel="0" collapsed="false">
      <c r="A11" s="149" t="s">
        <v>162</v>
      </c>
      <c r="B11" s="74" t="n">
        <v>4</v>
      </c>
      <c r="C11" s="74" t="n">
        <v>153000</v>
      </c>
      <c r="D11" s="74" t="n">
        <v>4</v>
      </c>
      <c r="E11" s="74" t="n">
        <v>177000</v>
      </c>
      <c r="F11" s="74" t="n">
        <v>11</v>
      </c>
      <c r="G11" s="74" t="n">
        <v>465000</v>
      </c>
      <c r="H11" s="74" t="n">
        <v>5</v>
      </c>
      <c r="I11" s="74" t="n">
        <v>225000</v>
      </c>
      <c r="J11" s="74" t="s">
        <v>95</v>
      </c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</row>
    <row r="12" customFormat="false" ht="12.75" hidden="false" customHeight="false" outlineLevel="0" collapsed="false">
      <c r="A12" s="149" t="s">
        <v>32</v>
      </c>
      <c r="B12" s="74" t="n">
        <v>9</v>
      </c>
      <c r="C12" s="74" t="n">
        <v>2700</v>
      </c>
      <c r="D12" s="74" t="n">
        <v>8</v>
      </c>
      <c r="E12" s="74" t="n">
        <v>2400</v>
      </c>
      <c r="F12" s="74" t="n">
        <v>26</v>
      </c>
      <c r="G12" s="74" t="n">
        <v>8400</v>
      </c>
      <c r="H12" s="74" t="n">
        <v>13</v>
      </c>
      <c r="I12" s="74" t="n">
        <v>3900</v>
      </c>
      <c r="J12" s="74" t="s">
        <v>98</v>
      </c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</row>
    <row r="13" customFormat="false" ht="12.75" hidden="false" customHeight="false" outlineLevel="0" collapsed="false">
      <c r="A13" s="149" t="s">
        <v>25</v>
      </c>
      <c r="B13" s="74" t="n">
        <v>0</v>
      </c>
      <c r="C13" s="74" t="n">
        <v>0</v>
      </c>
      <c r="D13" s="74" t="n">
        <v>0</v>
      </c>
      <c r="E13" s="74" t="n">
        <v>0</v>
      </c>
      <c r="F13" s="0" t="n">
        <v>0</v>
      </c>
      <c r="G13" s="74" t="n">
        <v>0</v>
      </c>
      <c r="H13" s="74" t="n">
        <v>0</v>
      </c>
      <c r="I13" s="74" t="n">
        <v>0</v>
      </c>
      <c r="J13" s="74" t="s">
        <v>100</v>
      </c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</row>
    <row r="14" customFormat="false" ht="12.75" hidden="false" customHeight="false" outlineLevel="0" collapsed="false">
      <c r="A14" s="149" t="s">
        <v>35</v>
      </c>
      <c r="B14" s="74" t="n">
        <v>2</v>
      </c>
      <c r="C14" s="74" t="n">
        <v>5000</v>
      </c>
      <c r="D14" s="74" t="n">
        <v>2</v>
      </c>
      <c r="E14" s="74" t="n">
        <v>5000</v>
      </c>
      <c r="F14" s="74" t="n">
        <v>10</v>
      </c>
      <c r="G14" s="74" t="n">
        <v>25000</v>
      </c>
      <c r="H14" s="74" t="n">
        <v>4</v>
      </c>
      <c r="I14" s="74" t="n">
        <v>10000</v>
      </c>
      <c r="J14" s="74" t="s">
        <v>102</v>
      </c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</row>
    <row r="15" customFormat="false" ht="12.75" hidden="false" customHeight="false" outlineLevel="0" collapsed="false">
      <c r="A15" s="78" t="s">
        <v>41</v>
      </c>
      <c r="B15" s="148"/>
      <c r="C15" s="148"/>
      <c r="D15" s="148"/>
      <c r="E15" s="148"/>
      <c r="F15" s="148"/>
      <c r="G15" s="74"/>
      <c r="H15" s="74"/>
      <c r="I15" s="74"/>
      <c r="J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</row>
    <row r="16" customFormat="false" ht="12.75" hidden="false" customHeight="false" outlineLevel="0" collapsed="false">
      <c r="A16" s="149" t="s">
        <v>163</v>
      </c>
      <c r="B16" s="74" t="n">
        <v>0</v>
      </c>
      <c r="C16" s="74" t="n">
        <v>0</v>
      </c>
      <c r="D16" s="74" t="n">
        <v>0</v>
      </c>
      <c r="E16" s="74" t="n">
        <v>0</v>
      </c>
      <c r="F16" s="74" t="n">
        <v>0</v>
      </c>
      <c r="G16" s="74" t="n">
        <v>0</v>
      </c>
      <c r="H16" s="74" t="n">
        <v>0</v>
      </c>
      <c r="I16" s="74" t="n">
        <v>0</v>
      </c>
      <c r="J16" s="74" t="s">
        <v>95</v>
      </c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</row>
    <row r="17" customFormat="false" ht="12.75" hidden="false" customHeight="false" outlineLevel="0" collapsed="false">
      <c r="A17" s="149" t="s">
        <v>42</v>
      </c>
      <c r="B17" s="74" t="n">
        <v>0</v>
      </c>
      <c r="C17" s="74" t="n">
        <v>0</v>
      </c>
      <c r="D17" s="74" t="n">
        <v>0</v>
      </c>
      <c r="E17" s="74" t="n">
        <v>0</v>
      </c>
      <c r="F17" s="74" t="n">
        <v>0</v>
      </c>
      <c r="G17" s="74" t="n">
        <v>0</v>
      </c>
      <c r="H17" s="74" t="n">
        <v>0</v>
      </c>
      <c r="I17" s="74" t="n">
        <v>0</v>
      </c>
      <c r="J17" s="74" t="s">
        <v>95</v>
      </c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</row>
    <row r="18" customFormat="false" ht="12.75" hidden="false" customHeight="false" outlineLevel="0" collapsed="false">
      <c r="B18" s="74"/>
      <c r="C18" s="74"/>
      <c r="D18" s="74"/>
      <c r="E18" s="74"/>
      <c r="F18" s="74"/>
      <c r="G18" s="74"/>
      <c r="H18" s="74"/>
      <c r="I18" s="74"/>
      <c r="J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</row>
    <row r="19" customFormat="false" ht="12.75" hidden="false" customHeight="false" outlineLevel="0" collapsed="false">
      <c r="B19" s="74"/>
      <c r="C19" s="74"/>
      <c r="D19" s="74"/>
      <c r="E19" s="74"/>
      <c r="F19" s="74"/>
      <c r="G19" s="74"/>
      <c r="H19" s="74"/>
      <c r="J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</row>
    <row r="20" customFormat="false" ht="12.75" hidden="false" customHeight="false" outlineLevel="0" collapsed="false">
      <c r="A20" s="84" t="s">
        <v>164</v>
      </c>
      <c r="B20" s="148" t="n">
        <v>5</v>
      </c>
      <c r="C20" s="148"/>
      <c r="D20" s="148" t="n">
        <v>7</v>
      </c>
      <c r="E20" s="148"/>
      <c r="F20" s="148" t="n">
        <v>7</v>
      </c>
      <c r="G20" s="74"/>
      <c r="H20" s="148" t="n">
        <v>14</v>
      </c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</row>
    <row r="21" customFormat="false" ht="12.75" hidden="false" customHeight="false" outlineLevel="0" collapsed="false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</row>
    <row r="22" customFormat="false" ht="12.75" hidden="false" customHeight="false" outlineLevel="0" collapsed="false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</row>
    <row r="23" customFormat="false" ht="12.75" hidden="false" customHeight="false" outlineLevel="0" collapsed="false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</row>
    <row r="24" customFormat="false" ht="23.25" hidden="false" customHeight="false" outlineLevel="0" collapsed="false">
      <c r="A24" s="143" t="s">
        <v>150</v>
      </c>
    </row>
    <row r="25" customFormat="false" ht="12.75" hidden="false" customHeight="false" outlineLevel="0" collapsed="false">
      <c r="B25" s="144" t="s">
        <v>186</v>
      </c>
      <c r="C25" s="144"/>
      <c r="D25" s="144" t="s">
        <v>187</v>
      </c>
      <c r="E25" s="144"/>
      <c r="F25" s="144" t="s">
        <v>188</v>
      </c>
      <c r="G25" s="144"/>
      <c r="H25" s="144" t="s">
        <v>189</v>
      </c>
      <c r="I25" s="144"/>
      <c r="J25" s="145" t="s">
        <v>159</v>
      </c>
    </row>
    <row r="26" customFormat="false" ht="12.75" hidden="false" customHeight="false" outlineLevel="0" collapsed="false">
      <c r="A26" s="146" t="s">
        <v>160</v>
      </c>
      <c r="B26" s="69" t="s">
        <v>1</v>
      </c>
      <c r="C26" s="69" t="s">
        <v>161</v>
      </c>
      <c r="D26" s="69" t="s">
        <v>1</v>
      </c>
      <c r="E26" s="69" t="s">
        <v>161</v>
      </c>
      <c r="F26" s="69" t="s">
        <v>1</v>
      </c>
      <c r="G26" s="69" t="s">
        <v>161</v>
      </c>
      <c r="H26" s="69" t="s">
        <v>1</v>
      </c>
      <c r="I26" s="69" t="s">
        <v>161</v>
      </c>
      <c r="J26" s="147" t="s">
        <v>122</v>
      </c>
    </row>
    <row r="27" customFormat="false" ht="12.75" hidden="false" customHeight="false" outlineLevel="0" collapsed="false">
      <c r="A27" s="84"/>
      <c r="B27" s="84"/>
      <c r="C27" s="84"/>
      <c r="D27" s="84"/>
      <c r="E27" s="84"/>
      <c r="F27" s="84"/>
      <c r="G27" s="84"/>
    </row>
    <row r="28" customFormat="false" ht="12.75" hidden="false" customHeight="false" outlineLevel="0" collapsed="false">
      <c r="A28" s="78" t="s">
        <v>11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customFormat="false" ht="12.75" hidden="false" customHeight="false" outlineLevel="0" collapsed="false">
      <c r="A29" s="149" t="s">
        <v>14</v>
      </c>
      <c r="B29" s="74" t="n">
        <v>1993</v>
      </c>
      <c r="C29" s="74" t="n">
        <v>890462662</v>
      </c>
      <c r="D29" s="74" t="n">
        <v>3200</v>
      </c>
      <c r="E29" s="74" t="n">
        <v>1770313517</v>
      </c>
      <c r="F29" s="74" t="n">
        <v>2671</v>
      </c>
      <c r="G29" s="74" t="n">
        <v>1064343180</v>
      </c>
      <c r="H29" s="74" t="n">
        <v>3425</v>
      </c>
      <c r="I29" s="74" t="n">
        <v>3219027521</v>
      </c>
      <c r="J29" s="74" t="s">
        <v>81</v>
      </c>
      <c r="K29" s="74"/>
      <c r="L29" s="74"/>
      <c r="M29" s="74"/>
      <c r="N29" s="74"/>
      <c r="O29" s="74"/>
      <c r="P29" s="74"/>
    </row>
    <row r="30" customFormat="false" ht="12.75" hidden="false" customHeight="false" outlineLevel="0" collapsed="false">
      <c r="A30" s="149" t="s">
        <v>17</v>
      </c>
      <c r="B30" s="74" t="n">
        <v>1073</v>
      </c>
      <c r="C30" s="74" t="n">
        <v>9653441</v>
      </c>
      <c r="D30" s="74" t="n">
        <v>1806</v>
      </c>
      <c r="E30" s="74" t="n">
        <v>37468366</v>
      </c>
      <c r="F30" s="74" t="n">
        <v>2056</v>
      </c>
      <c r="G30" s="74" t="n">
        <v>30644030</v>
      </c>
      <c r="H30" s="74" t="n">
        <v>2149</v>
      </c>
      <c r="I30" s="74" t="n">
        <v>23302801</v>
      </c>
      <c r="J30" s="74" t="s">
        <v>85</v>
      </c>
      <c r="K30" s="74"/>
      <c r="L30" s="74"/>
      <c r="M30" s="74"/>
      <c r="N30" s="74"/>
      <c r="O30" s="74"/>
      <c r="P30" s="74"/>
    </row>
    <row r="31" customFormat="false" ht="12.75" hidden="false" customHeight="false" outlineLevel="0" collapsed="false">
      <c r="A31" s="78" t="s">
        <v>23</v>
      </c>
      <c r="B31" s="74"/>
      <c r="C31" s="74"/>
      <c r="D31" s="148"/>
      <c r="E31" s="148"/>
      <c r="F31" s="148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customFormat="false" ht="12.75" hidden="false" customHeight="false" outlineLevel="0" collapsed="false">
      <c r="A32" s="149" t="s">
        <v>27</v>
      </c>
      <c r="B32" s="74" t="n">
        <v>995</v>
      </c>
      <c r="C32" s="74" t="n">
        <v>69536383</v>
      </c>
      <c r="D32" s="74" t="n">
        <v>1678</v>
      </c>
      <c r="E32" s="74" t="n">
        <v>131872348</v>
      </c>
      <c r="F32" s="74" t="n">
        <v>1147</v>
      </c>
      <c r="G32" s="74" t="n">
        <v>82109720</v>
      </c>
      <c r="H32" s="74" t="n">
        <v>1511</v>
      </c>
      <c r="I32" s="74" t="n">
        <v>114536993</v>
      </c>
      <c r="J32" s="74" t="s">
        <v>92</v>
      </c>
      <c r="K32" s="74"/>
      <c r="L32" s="74"/>
      <c r="M32" s="74"/>
      <c r="N32" s="74"/>
      <c r="O32" s="74"/>
      <c r="P32" s="74"/>
    </row>
    <row r="33" customFormat="false" ht="12.75" hidden="false" customHeight="false" outlineLevel="0" collapsed="false">
      <c r="A33" s="149" t="s">
        <v>29</v>
      </c>
      <c r="B33" s="74" t="n">
        <v>8</v>
      </c>
      <c r="C33" s="74" t="n">
        <v>691091</v>
      </c>
      <c r="D33" s="74" t="n">
        <v>39</v>
      </c>
      <c r="E33" s="74" t="n">
        <v>2157306</v>
      </c>
      <c r="F33" s="74" t="n">
        <v>34</v>
      </c>
      <c r="G33" s="74" t="n">
        <v>2376119.09</v>
      </c>
      <c r="H33" s="74" t="n">
        <v>24</v>
      </c>
      <c r="I33" s="74" t="n">
        <v>1716010</v>
      </c>
      <c r="J33" s="74" t="s">
        <v>95</v>
      </c>
      <c r="K33" s="74"/>
      <c r="L33" s="74"/>
      <c r="M33" s="74"/>
      <c r="N33" s="74"/>
      <c r="O33" s="74"/>
      <c r="P33" s="74"/>
    </row>
    <row r="34" customFormat="false" ht="12.75" hidden="false" customHeight="false" outlineLevel="0" collapsed="false">
      <c r="A34" s="149" t="s">
        <v>162</v>
      </c>
      <c r="B34" s="74" t="n">
        <v>15</v>
      </c>
      <c r="C34" s="74" t="n">
        <v>1089373</v>
      </c>
      <c r="D34" s="74" t="n">
        <v>8</v>
      </c>
      <c r="E34" s="74" t="n">
        <v>357627</v>
      </c>
      <c r="F34" s="74" t="n">
        <v>18</v>
      </c>
      <c r="G34" s="74" t="n">
        <v>1166000</v>
      </c>
      <c r="H34" s="74" t="n">
        <v>34</v>
      </c>
      <c r="I34" s="74" t="n">
        <v>1765000</v>
      </c>
      <c r="J34" s="74" t="s">
        <v>95</v>
      </c>
      <c r="K34" s="74"/>
      <c r="L34" s="74"/>
      <c r="M34" s="74"/>
      <c r="N34" s="74"/>
      <c r="O34" s="74"/>
      <c r="P34" s="74"/>
    </row>
    <row r="35" customFormat="false" ht="12.75" hidden="false" customHeight="false" outlineLevel="0" collapsed="false">
      <c r="A35" s="149" t="s">
        <v>32</v>
      </c>
      <c r="B35" s="74" t="n">
        <v>4</v>
      </c>
      <c r="C35" s="74" t="n">
        <v>46550</v>
      </c>
      <c r="D35" s="74" t="n">
        <v>19</v>
      </c>
      <c r="E35" s="74" t="n">
        <v>42950</v>
      </c>
      <c r="F35" s="74" t="n">
        <v>11</v>
      </c>
      <c r="G35" s="74" t="n">
        <v>112500</v>
      </c>
      <c r="H35" s="74" t="n">
        <v>23</v>
      </c>
      <c r="I35" s="74" t="n">
        <v>111600</v>
      </c>
      <c r="J35" s="74" t="s">
        <v>98</v>
      </c>
      <c r="K35" s="74"/>
      <c r="L35" s="74"/>
      <c r="M35" s="74"/>
      <c r="N35" s="74"/>
      <c r="O35" s="74"/>
      <c r="P35" s="74"/>
    </row>
    <row r="36" customFormat="false" ht="12.75" hidden="false" customHeight="false" outlineLevel="0" collapsed="false">
      <c r="A36" s="149" t="s">
        <v>25</v>
      </c>
      <c r="B36" s="74" t="n">
        <v>91</v>
      </c>
      <c r="C36" s="74" t="n">
        <v>6275000</v>
      </c>
      <c r="D36" s="74" t="n">
        <v>130</v>
      </c>
      <c r="E36" s="74" t="n">
        <v>6398750</v>
      </c>
      <c r="F36" s="74" t="n">
        <v>103</v>
      </c>
      <c r="G36" s="74" t="n">
        <v>3718000</v>
      </c>
      <c r="H36" s="74" t="n">
        <v>169</v>
      </c>
      <c r="I36" s="74" t="n">
        <v>6618000</v>
      </c>
      <c r="J36" s="74" t="s">
        <v>100</v>
      </c>
      <c r="K36" s="74"/>
      <c r="L36" s="74"/>
      <c r="M36" s="74"/>
      <c r="N36" s="74"/>
      <c r="O36" s="74"/>
      <c r="P36" s="74"/>
    </row>
    <row r="37" customFormat="false" ht="12.75" hidden="false" customHeight="false" outlineLevel="0" collapsed="false">
      <c r="A37" s="149" t="s">
        <v>35</v>
      </c>
      <c r="B37" s="74" t="n">
        <v>0</v>
      </c>
      <c r="C37" s="74" t="n">
        <v>0</v>
      </c>
      <c r="D37" s="74" t="n">
        <v>0</v>
      </c>
      <c r="E37" s="74" t="n">
        <v>0</v>
      </c>
      <c r="F37" s="74" t="n">
        <v>4</v>
      </c>
      <c r="G37" s="74" t="n">
        <v>9100</v>
      </c>
      <c r="H37" s="74" t="n">
        <v>9</v>
      </c>
      <c r="I37" s="74" t="n">
        <v>97570</v>
      </c>
      <c r="J37" s="74" t="s">
        <v>102</v>
      </c>
      <c r="K37" s="74"/>
      <c r="L37" s="74"/>
      <c r="M37" s="74"/>
      <c r="N37" s="74"/>
      <c r="O37" s="74"/>
      <c r="P37" s="74"/>
    </row>
    <row r="38" customFormat="false" ht="12.75" hidden="false" customHeight="false" outlineLevel="0" collapsed="false">
      <c r="A38" s="78" t="s">
        <v>41</v>
      </c>
      <c r="B38" s="74"/>
      <c r="C38" s="74"/>
      <c r="D38" s="148"/>
      <c r="E38" s="148"/>
      <c r="F38" s="148"/>
      <c r="G38" s="74"/>
      <c r="H38" s="74"/>
      <c r="I38" s="74"/>
      <c r="J38" s="74"/>
      <c r="K38" s="74"/>
      <c r="L38" s="74"/>
      <c r="M38" s="74"/>
      <c r="N38" s="74"/>
      <c r="O38" s="74"/>
      <c r="P38" s="74"/>
    </row>
    <row r="39" customFormat="false" ht="12.75" hidden="false" customHeight="false" outlineLevel="0" collapsed="false">
      <c r="A39" s="149" t="s">
        <v>163</v>
      </c>
      <c r="B39" s="74" t="n">
        <v>29</v>
      </c>
      <c r="C39" s="74" t="n">
        <v>59379.954</v>
      </c>
      <c r="D39" s="74" t="n">
        <v>33</v>
      </c>
      <c r="E39" s="74" t="n">
        <v>23310.969</v>
      </c>
      <c r="F39" s="74" t="n">
        <v>31</v>
      </c>
      <c r="G39" s="74" t="n">
        <v>213378.002</v>
      </c>
      <c r="H39" s="74" t="n">
        <v>53</v>
      </c>
      <c r="I39" s="74" t="n">
        <v>19114.955</v>
      </c>
      <c r="J39" s="74" t="s">
        <v>95</v>
      </c>
      <c r="K39" s="74"/>
      <c r="L39" s="74"/>
      <c r="M39" s="74"/>
      <c r="N39" s="74"/>
      <c r="O39" s="74"/>
      <c r="P39" s="74"/>
    </row>
    <row r="40" customFormat="false" ht="12.75" hidden="false" customHeight="false" outlineLevel="0" collapsed="false">
      <c r="A40" s="149" t="s">
        <v>42</v>
      </c>
      <c r="B40" s="74" t="n">
        <v>0</v>
      </c>
      <c r="C40" s="74" t="n">
        <v>0</v>
      </c>
      <c r="D40" s="74" t="n">
        <v>0</v>
      </c>
      <c r="E40" s="74" t="n">
        <v>0</v>
      </c>
      <c r="F40" s="74" t="n">
        <v>0</v>
      </c>
      <c r="G40" s="74" t="n">
        <v>0</v>
      </c>
      <c r="H40" s="74" t="n">
        <v>0</v>
      </c>
      <c r="I40" s="74" t="n">
        <v>0</v>
      </c>
      <c r="J40" s="74" t="s">
        <v>95</v>
      </c>
      <c r="K40" s="74"/>
      <c r="L40" s="74"/>
      <c r="M40" s="74"/>
      <c r="N40" s="74"/>
      <c r="O40" s="74"/>
      <c r="P40" s="74"/>
    </row>
    <row r="41" customFormat="false" ht="12.75" hidden="false" customHeight="false" outlineLevel="0" collapsed="false">
      <c r="A41" s="149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customFormat="false" ht="12.75" hidden="false" customHeight="false" outlineLevel="0" collapsed="false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customFormat="false" ht="12.75" hidden="false" customHeight="false" outlineLevel="0" collapsed="false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customFormat="false" ht="23.25" hidden="false" customHeight="false" outlineLevel="0" collapsed="false">
      <c r="A44" s="143" t="s">
        <v>165</v>
      </c>
    </row>
    <row r="45" customFormat="false" ht="12.75" hidden="false" customHeight="false" outlineLevel="0" collapsed="false">
      <c r="B45" s="144" t="s">
        <v>186</v>
      </c>
      <c r="C45" s="144"/>
      <c r="D45" s="144" t="s">
        <v>187</v>
      </c>
      <c r="E45" s="144"/>
      <c r="F45" s="144" t="s">
        <v>188</v>
      </c>
      <c r="G45" s="144"/>
      <c r="H45" s="144" t="s">
        <v>189</v>
      </c>
      <c r="I45" s="144"/>
      <c r="J45" s="145" t="s">
        <v>159</v>
      </c>
    </row>
    <row r="46" customFormat="false" ht="12.75" hidden="false" customHeight="false" outlineLevel="0" collapsed="false">
      <c r="A46" s="146" t="s">
        <v>160</v>
      </c>
      <c r="B46" s="69" t="s">
        <v>1</v>
      </c>
      <c r="C46" s="69" t="s">
        <v>161</v>
      </c>
      <c r="D46" s="69" t="s">
        <v>1</v>
      </c>
      <c r="E46" s="69" t="s">
        <v>161</v>
      </c>
      <c r="F46" s="69" t="s">
        <v>1</v>
      </c>
      <c r="G46" s="69" t="s">
        <v>161</v>
      </c>
      <c r="H46" s="69" t="s">
        <v>1</v>
      </c>
      <c r="I46" s="69" t="s">
        <v>161</v>
      </c>
      <c r="J46" s="147" t="s">
        <v>122</v>
      </c>
    </row>
    <row r="48" customFormat="false" ht="12.75" hidden="false" customHeight="false" outlineLevel="0" collapsed="false">
      <c r="A48" s="78" t="s">
        <v>41</v>
      </c>
      <c r="B48" s="35"/>
      <c r="C48" s="35"/>
      <c r="D48" s="35"/>
      <c r="E48" s="35"/>
      <c r="F48" s="35"/>
      <c r="G48" s="35"/>
      <c r="H48" s="35"/>
      <c r="I48" s="35"/>
    </row>
    <row r="49" customFormat="false" ht="12.75" hidden="false" customHeight="false" outlineLevel="0" collapsed="false">
      <c r="A49" s="149" t="s">
        <v>39</v>
      </c>
      <c r="B49" s="35" t="n">
        <v>4</v>
      </c>
      <c r="C49" s="35" t="n">
        <v>247000</v>
      </c>
      <c r="D49" s="35" t="n">
        <v>9</v>
      </c>
      <c r="E49" s="35" t="n">
        <v>492000</v>
      </c>
      <c r="F49" s="35" t="n">
        <v>4</v>
      </c>
      <c r="G49" s="35" t="n">
        <v>88000</v>
      </c>
      <c r="H49" s="35" t="n">
        <v>2</v>
      </c>
      <c r="I49" s="35" t="n">
        <v>220000</v>
      </c>
      <c r="J49" s="0" t="s">
        <v>166</v>
      </c>
    </row>
    <row r="50" customFormat="false" ht="12.75" hidden="false" customHeight="false" outlineLevel="0" collapsed="false">
      <c r="A50" s="149" t="s">
        <v>33</v>
      </c>
      <c r="B50" s="35" t="n">
        <v>0</v>
      </c>
      <c r="C50" s="35" t="n">
        <v>0</v>
      </c>
      <c r="D50" s="35" t="n">
        <v>0</v>
      </c>
      <c r="E50" s="35" t="n">
        <v>0</v>
      </c>
      <c r="F50" s="35" t="n">
        <v>0</v>
      </c>
      <c r="G50" s="35" t="n">
        <v>0</v>
      </c>
      <c r="H50" s="35" t="n">
        <v>0</v>
      </c>
      <c r="I50" s="35" t="n">
        <v>0</v>
      </c>
    </row>
    <row r="51" customFormat="false" ht="12.75" hidden="false" customHeight="false" outlineLevel="0" collapsed="false">
      <c r="A51" s="149" t="s">
        <v>156</v>
      </c>
      <c r="B51" s="35" t="n">
        <v>4</v>
      </c>
      <c r="C51" s="35" t="n">
        <v>910</v>
      </c>
      <c r="D51" s="35" t="n">
        <v>4</v>
      </c>
      <c r="E51" s="35" t="n">
        <v>12450</v>
      </c>
      <c r="F51" s="35" t="n">
        <v>1</v>
      </c>
      <c r="G51" s="35" t="n">
        <v>20</v>
      </c>
      <c r="H51" s="35" t="n">
        <v>0</v>
      </c>
      <c r="I51" s="35" t="n">
        <v>0</v>
      </c>
      <c r="J51" s="0" t="s">
        <v>167</v>
      </c>
    </row>
    <row r="53" customFormat="false" ht="12.75" hidden="false" customHeight="false" outlineLevel="0" collapsed="false">
      <c r="A53" s="84" t="s">
        <v>168</v>
      </c>
      <c r="B53" s="84" t="n">
        <v>1</v>
      </c>
      <c r="C53" s="84"/>
      <c r="D53" s="84" t="n">
        <v>1</v>
      </c>
      <c r="E53" s="84"/>
      <c r="F53" s="84" t="n">
        <v>0</v>
      </c>
      <c r="G53" s="84"/>
      <c r="H53" s="84" t="n">
        <v>0</v>
      </c>
    </row>
    <row r="55" customFormat="false" ht="12.75" hidden="false" customHeight="false" outlineLevel="0" collapsed="false">
      <c r="A55" s="81" t="s">
        <v>169</v>
      </c>
      <c r="C55" s="158" t="n">
        <f aca="false">C49*0.0022374</f>
        <v>552.6378</v>
      </c>
      <c r="E55" s="158" t="n">
        <f aca="false">E49*0.0022374</f>
        <v>1100.8008</v>
      </c>
      <c r="G55" s="158" t="n">
        <f aca="false">G49*0.0022374</f>
        <v>196.8912</v>
      </c>
      <c r="I55" s="158" t="n">
        <f aca="false">I49*0.0022374</f>
        <v>492.228</v>
      </c>
    </row>
    <row r="58" customFormat="false" ht="12.75" hidden="false" customHeight="false" outlineLevel="0" collapsed="false">
      <c r="A58" s="78" t="s">
        <v>170</v>
      </c>
      <c r="B58" s="84"/>
      <c r="C58" s="159" t="n">
        <f aca="false">C55+C51+C40+C39+C17+C16</f>
        <v>60842.5918</v>
      </c>
      <c r="D58" s="84"/>
      <c r="E58" s="159" t="n">
        <f aca="false">E55+E51+E40+E39+E17+E16</f>
        <v>36861.7698</v>
      </c>
      <c r="F58" s="84"/>
      <c r="G58" s="159" t="n">
        <f aca="false">G55+G51+G40+G39+G17+G16</f>
        <v>213594.8932</v>
      </c>
      <c r="H58" s="84"/>
      <c r="I58" s="159" t="n">
        <f aca="false">I55+I51+I40+I39+I17+I16</f>
        <v>19607.183</v>
      </c>
      <c r="J58" s="84"/>
      <c r="K58" s="84"/>
      <c r="L58" s="84"/>
    </row>
    <row r="61" customFormat="false" ht="23.25" hidden="false" customHeight="false" outlineLevel="0" collapsed="false">
      <c r="A61" s="143" t="s">
        <v>83</v>
      </c>
      <c r="H61" s="163"/>
      <c r="I61" s="163"/>
    </row>
    <row r="62" customFormat="false" ht="12.75" hidden="false" customHeight="false" outlineLevel="0" collapsed="false">
      <c r="B62" s="144" t="s">
        <v>186</v>
      </c>
      <c r="C62" s="144"/>
      <c r="D62" s="144" t="s">
        <v>187</v>
      </c>
      <c r="E62" s="144"/>
      <c r="F62" s="144" t="s">
        <v>188</v>
      </c>
      <c r="G62" s="144"/>
      <c r="H62" s="180" t="s">
        <v>189</v>
      </c>
      <c r="I62" s="180"/>
      <c r="J62" s="145" t="s">
        <v>159</v>
      </c>
    </row>
    <row r="63" customFormat="false" ht="12.75" hidden="false" customHeight="false" outlineLevel="0" collapsed="false">
      <c r="A63" s="146" t="s">
        <v>160</v>
      </c>
      <c r="B63" s="69" t="s">
        <v>1</v>
      </c>
      <c r="C63" s="69" t="s">
        <v>161</v>
      </c>
      <c r="D63" s="69" t="s">
        <v>1</v>
      </c>
      <c r="E63" s="69" t="s">
        <v>161</v>
      </c>
      <c r="F63" s="69" t="s">
        <v>1</v>
      </c>
      <c r="G63" s="69" t="s">
        <v>161</v>
      </c>
      <c r="H63" s="69" t="s">
        <v>1</v>
      </c>
      <c r="I63" s="69" t="s">
        <v>161</v>
      </c>
      <c r="J63" s="147" t="s">
        <v>122</v>
      </c>
    </row>
    <row r="64" customFormat="false" ht="12.75" hidden="false" customHeight="false" outlineLevel="0" collapsed="false">
      <c r="A64" s="84"/>
      <c r="B64" s="84"/>
      <c r="C64" s="84"/>
      <c r="D64" s="84"/>
      <c r="E64" s="84"/>
      <c r="F64" s="84"/>
      <c r="G64" s="84"/>
    </row>
    <row r="65" customFormat="false" ht="12.75" hidden="false" customHeight="false" outlineLevel="0" collapsed="false">
      <c r="A65" s="78" t="s">
        <v>11</v>
      </c>
      <c r="B65" s="148"/>
      <c r="C65" s="148"/>
      <c r="D65" s="148"/>
      <c r="E65" s="148"/>
      <c r="F65" s="148"/>
      <c r="G65" s="148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</row>
    <row r="66" customFormat="false" ht="12.75" hidden="false" customHeight="false" outlineLevel="0" collapsed="false">
      <c r="A66" s="149" t="s">
        <v>14</v>
      </c>
      <c r="B66" s="74" t="n">
        <f aca="false">B6+B29</f>
        <v>10153</v>
      </c>
      <c r="C66" s="74" t="n">
        <f aca="false">C6+C29</f>
        <v>1758331589</v>
      </c>
      <c r="D66" s="74" t="n">
        <f aca="false">D6+D29</f>
        <v>15464</v>
      </c>
      <c r="E66" s="74" t="n">
        <f aca="false">E6+E29</f>
        <v>3201106470</v>
      </c>
      <c r="F66" s="74" t="n">
        <f aca="false">F6+F29</f>
        <v>12754</v>
      </c>
      <c r="G66" s="74" t="n">
        <f aca="false">G6+G29</f>
        <v>1942345461</v>
      </c>
      <c r="H66" s="74" t="n">
        <f aca="false">H6+H29</f>
        <v>16623</v>
      </c>
      <c r="I66" s="74" t="n">
        <f aca="false">I6+I29</f>
        <v>4952206066</v>
      </c>
      <c r="J66" s="74" t="s">
        <v>81</v>
      </c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</row>
    <row r="67" customFormat="false" ht="12.75" hidden="false" customHeight="false" outlineLevel="0" collapsed="false">
      <c r="A67" s="149" t="s">
        <v>17</v>
      </c>
      <c r="B67" s="74" t="n">
        <f aca="false">B7+B30</f>
        <v>1730</v>
      </c>
      <c r="C67" s="74" t="n">
        <f aca="false">C7+C30</f>
        <v>16046241</v>
      </c>
      <c r="D67" s="74" t="n">
        <f aca="false">D7+D30</f>
        <v>3436</v>
      </c>
      <c r="E67" s="74" t="n">
        <f aca="false">E7+E30</f>
        <v>52662791</v>
      </c>
      <c r="F67" s="74" t="n">
        <f aca="false">F7+F30</f>
        <v>3781</v>
      </c>
      <c r="G67" s="74" t="n">
        <f aca="false">G7+G30</f>
        <v>48150655</v>
      </c>
      <c r="H67" s="74" t="n">
        <f aca="false">H7+H30</f>
        <v>3695</v>
      </c>
      <c r="I67" s="74" t="n">
        <f aca="false">I7+I30</f>
        <v>37589241</v>
      </c>
      <c r="J67" s="74" t="s">
        <v>85</v>
      </c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</row>
    <row r="68" customFormat="false" ht="12.75" hidden="false" customHeight="false" outlineLevel="0" collapsed="false">
      <c r="A68" s="78" t="s">
        <v>23</v>
      </c>
      <c r="B68" s="74" t="n">
        <f aca="false">B8+B31</f>
        <v>0</v>
      </c>
      <c r="C68" s="74" t="n">
        <f aca="false">C8+C31</f>
        <v>0</v>
      </c>
      <c r="D68" s="74" t="n">
        <f aca="false">D8+D31</f>
        <v>0</v>
      </c>
      <c r="E68" s="74" t="n">
        <f aca="false">E8+E31</f>
        <v>0</v>
      </c>
      <c r="F68" s="74" t="n">
        <f aca="false">F8+F31</f>
        <v>0</v>
      </c>
      <c r="G68" s="74" t="n">
        <f aca="false">G8+G31</f>
        <v>0</v>
      </c>
      <c r="H68" s="74" t="n">
        <f aca="false">H8+H31</f>
        <v>0</v>
      </c>
      <c r="I68" s="74" t="n">
        <f aca="false">I8+I31</f>
        <v>0</v>
      </c>
      <c r="J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</row>
    <row r="69" customFormat="false" ht="12.75" hidden="false" customHeight="false" outlineLevel="0" collapsed="false">
      <c r="A69" s="149" t="s">
        <v>27</v>
      </c>
      <c r="B69" s="74" t="n">
        <f aca="false">B9+B32</f>
        <v>1835</v>
      </c>
      <c r="C69" s="74" t="n">
        <f aca="false">C9+C32</f>
        <v>90430383</v>
      </c>
      <c r="D69" s="74" t="n">
        <f aca="false">D9+D32</f>
        <v>3258</v>
      </c>
      <c r="E69" s="74" t="n">
        <f aca="false">E9+E32</f>
        <v>172783348</v>
      </c>
      <c r="F69" s="74" t="n">
        <f aca="false">F9+F32</f>
        <v>2199</v>
      </c>
      <c r="G69" s="74" t="n">
        <f aca="false">G9+G32</f>
        <v>107852720</v>
      </c>
      <c r="H69" s="74" t="n">
        <f aca="false">H9+H32</f>
        <v>3063</v>
      </c>
      <c r="I69" s="74" t="n">
        <f aca="false">I9+I32</f>
        <v>150981588</v>
      </c>
      <c r="J69" s="74" t="s">
        <v>92</v>
      </c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</row>
    <row r="70" customFormat="false" ht="12.75" hidden="false" customHeight="false" outlineLevel="0" collapsed="false">
      <c r="A70" s="149" t="s">
        <v>29</v>
      </c>
      <c r="B70" s="74" t="n">
        <f aca="false">B10+B33</f>
        <v>33</v>
      </c>
      <c r="C70" s="74" t="n">
        <f aca="false">C10+C33</f>
        <v>1745341</v>
      </c>
      <c r="D70" s="74" t="n">
        <f aca="false">D10+D33</f>
        <v>71</v>
      </c>
      <c r="E70" s="74" t="n">
        <f aca="false">E10+E33</f>
        <v>2854306</v>
      </c>
      <c r="F70" s="74" t="n">
        <f aca="false">F10+F33</f>
        <v>55</v>
      </c>
      <c r="G70" s="74" t="n">
        <f aca="false">G10+G33</f>
        <v>3053119.09</v>
      </c>
      <c r="H70" s="74" t="n">
        <f aca="false">H10+H33</f>
        <v>36</v>
      </c>
      <c r="I70" s="74" t="n">
        <f aca="false">I10+I33</f>
        <v>1974010</v>
      </c>
      <c r="J70" s="74" t="s">
        <v>95</v>
      </c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</row>
    <row r="71" customFormat="false" ht="12.75" hidden="false" customHeight="false" outlineLevel="0" collapsed="false">
      <c r="A71" s="149" t="s">
        <v>162</v>
      </c>
      <c r="B71" s="74" t="n">
        <f aca="false">B11+B34</f>
        <v>19</v>
      </c>
      <c r="C71" s="74" t="n">
        <f aca="false">C11+C34</f>
        <v>1242373</v>
      </c>
      <c r="D71" s="74" t="n">
        <f aca="false">D11+D34</f>
        <v>12</v>
      </c>
      <c r="E71" s="74" t="n">
        <f aca="false">E11+E34</f>
        <v>534627</v>
      </c>
      <c r="F71" s="74" t="n">
        <f aca="false">F11+F34</f>
        <v>29</v>
      </c>
      <c r="G71" s="74" t="n">
        <f aca="false">G11+G34</f>
        <v>1631000</v>
      </c>
      <c r="H71" s="74" t="n">
        <f aca="false">H11+H34</f>
        <v>39</v>
      </c>
      <c r="I71" s="74" t="n">
        <f aca="false">I11+I34</f>
        <v>1990000</v>
      </c>
      <c r="J71" s="74" t="s">
        <v>95</v>
      </c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</row>
    <row r="72" customFormat="false" ht="12.75" hidden="false" customHeight="false" outlineLevel="0" collapsed="false">
      <c r="A72" s="149" t="s">
        <v>32</v>
      </c>
      <c r="B72" s="74" t="n">
        <f aca="false">B12+B35</f>
        <v>13</v>
      </c>
      <c r="C72" s="74" t="n">
        <f aca="false">C12+C35</f>
        <v>49250</v>
      </c>
      <c r="D72" s="74" t="n">
        <f aca="false">D12+D35</f>
        <v>27</v>
      </c>
      <c r="E72" s="74" t="n">
        <f aca="false">E12+E35</f>
        <v>45350</v>
      </c>
      <c r="F72" s="74" t="n">
        <f aca="false">F12+F35</f>
        <v>37</v>
      </c>
      <c r="G72" s="74" t="n">
        <f aca="false">G12+G35</f>
        <v>120900</v>
      </c>
      <c r="H72" s="74" t="n">
        <f aca="false">H12+H35</f>
        <v>36</v>
      </c>
      <c r="I72" s="74" t="n">
        <f aca="false">I12+I35</f>
        <v>115500</v>
      </c>
      <c r="J72" s="74" t="s">
        <v>98</v>
      </c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</row>
    <row r="73" customFormat="false" ht="12.75" hidden="false" customHeight="false" outlineLevel="0" collapsed="false">
      <c r="A73" s="149" t="s">
        <v>25</v>
      </c>
      <c r="B73" s="74" t="n">
        <f aca="false">B13+B36</f>
        <v>91</v>
      </c>
      <c r="C73" s="74" t="n">
        <f aca="false">C13+C36</f>
        <v>6275000</v>
      </c>
      <c r="D73" s="74" t="n">
        <f aca="false">D13+D36</f>
        <v>130</v>
      </c>
      <c r="E73" s="74" t="n">
        <f aca="false">E13+E36</f>
        <v>6398750</v>
      </c>
      <c r="F73" s="74" t="n">
        <f aca="false">F13+F36</f>
        <v>103</v>
      </c>
      <c r="G73" s="74" t="n">
        <f aca="false">G13+G36</f>
        <v>3718000</v>
      </c>
      <c r="H73" s="74" t="n">
        <f aca="false">H13+H36</f>
        <v>169</v>
      </c>
      <c r="I73" s="74" t="n">
        <f aca="false">I13+I36</f>
        <v>6618000</v>
      </c>
      <c r="J73" s="74" t="s">
        <v>100</v>
      </c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</row>
    <row r="74" customFormat="false" ht="12.75" hidden="false" customHeight="false" outlineLevel="0" collapsed="false">
      <c r="A74" s="149" t="s">
        <v>35</v>
      </c>
      <c r="B74" s="74" t="n">
        <f aca="false">B14+B37</f>
        <v>2</v>
      </c>
      <c r="C74" s="74" t="n">
        <f aca="false">C14+C37</f>
        <v>5000</v>
      </c>
      <c r="D74" s="74" t="n">
        <f aca="false">D14+D37</f>
        <v>2</v>
      </c>
      <c r="E74" s="74" t="n">
        <f aca="false">E14+E37</f>
        <v>5000</v>
      </c>
      <c r="F74" s="74" t="n">
        <f aca="false">F14+F37</f>
        <v>14</v>
      </c>
      <c r="G74" s="74" t="n">
        <f aca="false">G14+G37</f>
        <v>34100</v>
      </c>
      <c r="H74" s="74" t="n">
        <f aca="false">H14+H37</f>
        <v>13</v>
      </c>
      <c r="I74" s="74" t="n">
        <f aca="false">I14+I37</f>
        <v>107570</v>
      </c>
      <c r="J74" s="74" t="s">
        <v>102</v>
      </c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</row>
    <row r="75" customFormat="false" ht="12.75" hidden="false" customHeight="false" outlineLevel="0" collapsed="false">
      <c r="A75" s="78" t="s">
        <v>41</v>
      </c>
      <c r="B75" s="74" t="n">
        <f aca="false">B15+B38</f>
        <v>0</v>
      </c>
      <c r="C75" s="74" t="n">
        <f aca="false">C15+C38</f>
        <v>0</v>
      </c>
      <c r="D75" s="74" t="n">
        <f aca="false">D15+D38</f>
        <v>0</v>
      </c>
      <c r="E75" s="74" t="n">
        <f aca="false">E15+E38</f>
        <v>0</v>
      </c>
      <c r="F75" s="74" t="n">
        <f aca="false">F15+F38</f>
        <v>0</v>
      </c>
      <c r="G75" s="74" t="n">
        <f aca="false">G15+G38</f>
        <v>0</v>
      </c>
      <c r="H75" s="74" t="n">
        <f aca="false">H15+H38</f>
        <v>0</v>
      </c>
      <c r="I75" s="74" t="n">
        <f aca="false">I15+I38</f>
        <v>0</v>
      </c>
      <c r="J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</row>
    <row r="76" customFormat="false" ht="12.75" hidden="false" customHeight="false" outlineLevel="0" collapsed="false">
      <c r="A76" s="149" t="s">
        <v>163</v>
      </c>
      <c r="B76" s="74" t="n">
        <f aca="false">B16+B39</f>
        <v>29</v>
      </c>
      <c r="C76" s="74" t="n">
        <f aca="false">C16+C39</f>
        <v>59379.954</v>
      </c>
      <c r="D76" s="74" t="n">
        <f aca="false">D16+D39</f>
        <v>33</v>
      </c>
      <c r="E76" s="74" t="n">
        <f aca="false">E16+E39</f>
        <v>23310.969</v>
      </c>
      <c r="F76" s="74" t="n">
        <f aca="false">F16+F39</f>
        <v>31</v>
      </c>
      <c r="G76" s="74" t="n">
        <f aca="false">G16+G39</f>
        <v>213378.002</v>
      </c>
      <c r="H76" s="74" t="n">
        <f aca="false">H16+H39</f>
        <v>53</v>
      </c>
      <c r="I76" s="74" t="n">
        <f aca="false">I16+I39</f>
        <v>19114.955</v>
      </c>
      <c r="J76" s="74" t="s">
        <v>95</v>
      </c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</row>
    <row r="77" customFormat="false" ht="12.75" hidden="false" customHeight="false" outlineLevel="0" collapsed="false">
      <c r="A77" s="149" t="s">
        <v>42</v>
      </c>
      <c r="B77" s="74" t="n">
        <f aca="false">B17+B40</f>
        <v>0</v>
      </c>
      <c r="C77" s="74" t="n">
        <f aca="false">C17+C40</f>
        <v>0</v>
      </c>
      <c r="D77" s="74" t="n">
        <f aca="false">D17+D40</f>
        <v>0</v>
      </c>
      <c r="E77" s="74" t="n">
        <f aca="false">E17+E40</f>
        <v>0</v>
      </c>
      <c r="F77" s="74" t="n">
        <f aca="false">F17+F40</f>
        <v>0</v>
      </c>
      <c r="G77" s="74" t="n">
        <f aca="false">G17+G40</f>
        <v>0</v>
      </c>
      <c r="H77" s="74" t="n">
        <f aca="false">H17+H40</f>
        <v>0</v>
      </c>
      <c r="I77" s="74" t="n">
        <f aca="false">I17+I40</f>
        <v>0</v>
      </c>
      <c r="J77" s="74" t="s">
        <v>95</v>
      </c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</row>
    <row r="78" customFormat="false" ht="12.75" hidden="false" customHeight="false" outlineLevel="0" collapsed="false">
      <c r="B78" s="74"/>
      <c r="C78" s="74"/>
      <c r="D78" s="74"/>
      <c r="E78" s="74"/>
      <c r="F78" s="74"/>
      <c r="G78" s="74"/>
      <c r="H78" s="74"/>
      <c r="I78" s="74"/>
      <c r="J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</row>
  </sheetData>
  <mergeCells count="16">
    <mergeCell ref="B2:C2"/>
    <mergeCell ref="D2:E2"/>
    <mergeCell ref="F2:G2"/>
    <mergeCell ref="H2:I2"/>
    <mergeCell ref="B25:C25"/>
    <mergeCell ref="D25:E25"/>
    <mergeCell ref="F25:G25"/>
    <mergeCell ref="H25:I25"/>
    <mergeCell ref="B45:C45"/>
    <mergeCell ref="D45:E45"/>
    <mergeCell ref="F45:G45"/>
    <mergeCell ref="H45:I45"/>
    <mergeCell ref="B62:C62"/>
    <mergeCell ref="D62:E62"/>
    <mergeCell ref="F62:G62"/>
    <mergeCell ref="H62:I6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20.56"/>
    <col collapsed="false" customWidth="true" hidden="false" outlineLevel="0" max="3" min="3" style="0" width="19.28"/>
    <col collapsed="false" customWidth="true" hidden="false" outlineLevel="0" max="4" min="4" style="0" width="19.41"/>
    <col collapsed="false" customWidth="true" hidden="false" outlineLevel="0" max="5" min="5" style="0" width="21.42"/>
    <col collapsed="false" customWidth="true" hidden="false" outlineLevel="0" max="6" min="6" style="0" width="24.13"/>
  </cols>
  <sheetData>
    <row r="1" customFormat="false" ht="12.75" hidden="false" customHeight="false" outlineLevel="0" collapsed="false">
      <c r="B1" s="84" t="s">
        <v>190</v>
      </c>
      <c r="C1" s="84" t="s">
        <v>191</v>
      </c>
      <c r="D1" s="84" t="s">
        <v>192</v>
      </c>
      <c r="E1" s="84" t="s">
        <v>45</v>
      </c>
      <c r="F1" s="84" t="s">
        <v>193</v>
      </c>
    </row>
    <row r="2" customFormat="false" ht="12.75" hidden="false" customHeight="false" outlineLevel="0" collapsed="false">
      <c r="A2" s="84" t="s">
        <v>151</v>
      </c>
    </row>
    <row r="3" customFormat="false" ht="12.75" hidden="false" customHeight="false" outlineLevel="0" collapsed="false">
      <c r="A3" s="76" t="s">
        <v>25</v>
      </c>
      <c r="B3" s="0" t="s">
        <v>194</v>
      </c>
      <c r="C3" s="0" t="s">
        <v>195</v>
      </c>
    </row>
    <row r="4" customFormat="false" ht="12.75" hidden="false" customHeight="false" outlineLevel="0" collapsed="false">
      <c r="A4" s="76" t="s">
        <v>152</v>
      </c>
      <c r="B4" s="0" t="s">
        <v>196</v>
      </c>
      <c r="D4" s="181" t="s">
        <v>197</v>
      </c>
    </row>
    <row r="5" customFormat="false" ht="12.75" hidden="false" customHeight="false" outlineLevel="0" collapsed="false">
      <c r="A5" s="76" t="s">
        <v>153</v>
      </c>
      <c r="B5" s="0" t="s">
        <v>198</v>
      </c>
      <c r="C5" s="0" t="s">
        <v>195</v>
      </c>
    </row>
    <row r="6" customFormat="false" ht="12.75" hidden="false" customHeight="false" outlineLevel="0" collapsed="false">
      <c r="A6" s="76" t="s">
        <v>154</v>
      </c>
      <c r="B6" s="0" t="s">
        <v>198</v>
      </c>
      <c r="C6" s="0" t="s">
        <v>195</v>
      </c>
    </row>
    <row r="7" customFormat="false" ht="12.75" hidden="false" customHeight="false" outlineLevel="0" collapsed="false">
      <c r="A7" s="76" t="s">
        <v>155</v>
      </c>
    </row>
    <row r="8" customFormat="false" ht="12.75" hidden="false" customHeight="false" outlineLevel="0" collapsed="false">
      <c r="A8" s="76" t="s">
        <v>199</v>
      </c>
      <c r="B8" s="0" t="s">
        <v>198</v>
      </c>
      <c r="C8" s="0" t="s">
        <v>195</v>
      </c>
    </row>
    <row r="9" customFormat="false" ht="12.75" hidden="false" customHeight="false" outlineLevel="0" collapsed="false">
      <c r="A9" s="76" t="s">
        <v>32</v>
      </c>
      <c r="B9" s="0" t="s">
        <v>200</v>
      </c>
      <c r="C9" s="0" t="s">
        <v>195</v>
      </c>
    </row>
    <row r="10" customFormat="false" ht="12" hidden="false" customHeight="true" outlineLevel="0" collapsed="false">
      <c r="A10" s="76" t="s">
        <v>27</v>
      </c>
      <c r="B10" s="0" t="s">
        <v>200</v>
      </c>
      <c r="C10" s="0" t="s">
        <v>195</v>
      </c>
    </row>
    <row r="11" customFormat="false" ht="12" hidden="false" customHeight="true" outlineLevel="0" collapsed="false">
      <c r="A11" s="76" t="s">
        <v>35</v>
      </c>
      <c r="B11" s="0" t="s">
        <v>200</v>
      </c>
      <c r="C11" s="0" t="s">
        <v>195</v>
      </c>
    </row>
    <row r="12" customFormat="false" ht="12.75" hidden="false" customHeight="false" outlineLevel="0" collapsed="false">
      <c r="A12" s="84" t="s">
        <v>157</v>
      </c>
    </row>
    <row r="13" customFormat="false" ht="12.75" hidden="false" customHeight="false" outlineLevel="0" collapsed="false">
      <c r="A13" s="76" t="s">
        <v>153</v>
      </c>
      <c r="B13" s="0" t="s">
        <v>201</v>
      </c>
      <c r="C13" s="0" t="s">
        <v>195</v>
      </c>
      <c r="D13" s="0" t="s">
        <v>202</v>
      </c>
    </row>
    <row r="14" customFormat="false" ht="12.75" hidden="false" customHeight="false" outlineLevel="0" collapsed="false">
      <c r="A14" s="76" t="s">
        <v>152</v>
      </c>
      <c r="B14" s="0" t="s">
        <v>196</v>
      </c>
      <c r="D14" s="181" t="s">
        <v>197</v>
      </c>
    </row>
    <row r="15" customFormat="false" ht="12.75" hidden="false" customHeight="false" outlineLevel="0" collapsed="false">
      <c r="A15" s="76" t="s">
        <v>154</v>
      </c>
      <c r="B15" s="0" t="s">
        <v>203</v>
      </c>
      <c r="C15" s="0" t="s">
        <v>195</v>
      </c>
    </row>
    <row r="16" customFormat="false" ht="12.75" hidden="false" customHeight="false" outlineLevel="0" collapsed="false">
      <c r="A16" s="76" t="s">
        <v>155</v>
      </c>
    </row>
    <row r="17" customFormat="false" ht="12.75" hidden="false" customHeight="false" outlineLevel="0" collapsed="false">
      <c r="A17" s="76" t="s">
        <v>199</v>
      </c>
      <c r="B17" s="0" t="s">
        <v>204</v>
      </c>
      <c r="C17" s="0" t="s">
        <v>195</v>
      </c>
    </row>
    <row r="18" customFormat="false" ht="12.75" hidden="false" customHeight="false" outlineLevel="0" collapsed="false">
      <c r="A18" s="76" t="s">
        <v>27</v>
      </c>
      <c r="B18" s="0" t="s">
        <v>200</v>
      </c>
      <c r="C18" s="0" t="s">
        <v>195</v>
      </c>
    </row>
    <row r="19" customFormat="false" ht="12.75" hidden="false" customHeight="false" outlineLevel="0" collapsed="false">
      <c r="A19" s="76" t="s">
        <v>29</v>
      </c>
      <c r="B19" s="0" t="s">
        <v>200</v>
      </c>
      <c r="C19" s="0" t="s">
        <v>195</v>
      </c>
    </row>
    <row r="21" customFormat="false" ht="12.75" hidden="false" customHeight="false" outlineLevel="0" collapsed="false">
      <c r="A21" s="84" t="s">
        <v>205</v>
      </c>
      <c r="E21" s="0" t="s">
        <v>206</v>
      </c>
      <c r="F21" s="0" t="s">
        <v>207</v>
      </c>
    </row>
    <row r="44" customFormat="false" ht="12.75" hidden="false" customHeight="false" outlineLevel="0" collapsed="false">
      <c r="F44" s="0" t="s">
        <v>193</v>
      </c>
    </row>
    <row r="46" customFormat="false" ht="12.75" hidden="false" customHeight="false" outlineLevel="0" collapsed="false">
      <c r="F46" s="84" t="s">
        <v>14</v>
      </c>
      <c r="G46" s="84" t="n">
        <f aca="false">SUM(G47:G50)</f>
        <v>27</v>
      </c>
    </row>
    <row r="47" customFormat="false" ht="12.75" hidden="false" customHeight="false" outlineLevel="0" collapsed="false">
      <c r="F47" s="0" t="s">
        <v>54</v>
      </c>
      <c r="G47" s="0" t="n">
        <v>8</v>
      </c>
    </row>
    <row r="48" customFormat="false" ht="12.75" hidden="false" customHeight="false" outlineLevel="0" collapsed="false">
      <c r="F48" s="0" t="s">
        <v>56</v>
      </c>
      <c r="G48" s="0" t="n">
        <v>13</v>
      </c>
    </row>
    <row r="49" customFormat="false" ht="12.75" hidden="false" customHeight="false" outlineLevel="0" collapsed="false">
      <c r="F49" s="0" t="s">
        <v>58</v>
      </c>
      <c r="G49" s="0" t="n">
        <v>6</v>
      </c>
    </row>
    <row r="50" customFormat="false" ht="12.75" hidden="false" customHeight="false" outlineLevel="0" collapsed="false">
      <c r="F50" s="0" t="s">
        <v>60</v>
      </c>
      <c r="G50" s="0" t="n">
        <v>0</v>
      </c>
    </row>
    <row r="52" customFormat="false" ht="12.75" hidden="false" customHeight="false" outlineLevel="0" collapsed="false">
      <c r="F52" s="84" t="s">
        <v>17</v>
      </c>
      <c r="G52" s="0" t="n">
        <f aca="false">SUM(G53:G55)</f>
        <v>5</v>
      </c>
    </row>
    <row r="53" customFormat="false" ht="12.75" hidden="false" customHeight="false" outlineLevel="0" collapsed="false">
      <c r="F53" s="0" t="s">
        <v>54</v>
      </c>
      <c r="G53" s="0" t="n">
        <v>3</v>
      </c>
    </row>
    <row r="54" customFormat="false" ht="12.75" hidden="false" customHeight="false" outlineLevel="0" collapsed="false">
      <c r="F54" s="0" t="s">
        <v>56</v>
      </c>
      <c r="G54" s="0" t="n">
        <v>2</v>
      </c>
    </row>
    <row r="55" customFormat="false" ht="12.75" hidden="false" customHeight="false" outlineLevel="0" collapsed="false">
      <c r="F55" s="0" t="s">
        <v>58</v>
      </c>
      <c r="G55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11"/>
  <sheetViews>
    <sheetView showFormulas="false" showGridLines="true" showRowColHeaders="true" showZeros="true" rightToLeft="false" tabSelected="false" showOutlineSymbols="true" defaultGridColor="true" view="normal" topLeftCell="E43" colorId="64" zoomScale="100" zoomScaleNormal="100" zoomScalePageLayoutView="100" workbookViewId="0">
      <pane xSplit="1" ySplit="0" topLeftCell="K5" activePane="topRight" state="frozen"/>
      <selection pane="topLeft" activeCell="E43" activeCellId="0" sqref="E43"/>
      <selection pane="topRight" activeCell="S10" activeCellId="0" sqref="S10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71" width="34.13"/>
    <col collapsed="false" customWidth="false" hidden="true" outlineLevel="0" max="2" min="2" style="0" width="9.06"/>
    <col collapsed="false" customWidth="true" hidden="true" outlineLevel="0" max="3" min="3" style="0" width="10.71"/>
    <col collapsed="false" customWidth="false" hidden="true" outlineLevel="0" max="4" min="4" style="0" width="9.06"/>
    <col collapsed="false" customWidth="true" hidden="false" outlineLevel="0" max="5" min="5" style="0" width="13.7"/>
    <col collapsed="false" customWidth="true" hidden="false" outlineLevel="0" max="6" min="6" style="0" width="11.56"/>
    <col collapsed="false" customWidth="true" hidden="false" outlineLevel="0" max="7" min="7" style="0" width="14.28"/>
    <col collapsed="false" customWidth="true" hidden="false" outlineLevel="0" max="8" min="8" style="0" width="10.85"/>
    <col collapsed="false" customWidth="true" hidden="false" outlineLevel="0" max="9" min="9" style="35" width="10.85"/>
    <col collapsed="false" customWidth="true" hidden="false" outlineLevel="0" max="12" min="10" style="0" width="9.7"/>
    <col collapsed="false" customWidth="true" hidden="false" outlineLevel="0" max="14" min="13" style="0" width="10.56"/>
    <col collapsed="false" customWidth="true" hidden="false" outlineLevel="0" max="20" min="15" style="0" width="11.13"/>
    <col collapsed="false" customWidth="true" hidden="false" outlineLevel="0" max="21" min="21" style="0" width="3.28"/>
    <col collapsed="false" customWidth="true" hidden="false" outlineLevel="0" max="22" min="22" style="0" width="13.85"/>
  </cols>
  <sheetData>
    <row r="1" customFormat="false" ht="12.75" hidden="true" customHeight="false" outlineLevel="0" collapsed="false">
      <c r="A1" s="71" t="s">
        <v>1</v>
      </c>
      <c r="E1" s="0" t="s">
        <v>49</v>
      </c>
    </row>
    <row r="2" customFormat="false" ht="12.75" hidden="true" customHeight="false" outlineLevel="0" collapsed="false">
      <c r="A2" s="71" t="s">
        <v>50</v>
      </c>
      <c r="B2" s="0" t="n">
        <v>6500</v>
      </c>
      <c r="F2" s="0" t="s">
        <v>51</v>
      </c>
      <c r="G2" s="0" t="s">
        <v>52</v>
      </c>
      <c r="H2" s="0" t="s">
        <v>17</v>
      </c>
    </row>
    <row r="3" customFormat="false" ht="12.75" hidden="true" customHeight="false" outlineLevel="0" collapsed="false">
      <c r="A3" s="71" t="s">
        <v>53</v>
      </c>
      <c r="B3" s="0" t="n">
        <v>7500</v>
      </c>
      <c r="E3" s="0" t="s">
        <v>54</v>
      </c>
      <c r="F3" s="0" t="n">
        <v>2</v>
      </c>
      <c r="G3" s="0" t="n">
        <v>6</v>
      </c>
      <c r="H3" s="0" t="n">
        <v>3</v>
      </c>
    </row>
    <row r="4" customFormat="false" ht="12.75" hidden="true" customHeight="false" outlineLevel="0" collapsed="false">
      <c r="A4" s="71" t="s">
        <v>55</v>
      </c>
      <c r="B4" s="0" t="n">
        <v>4000</v>
      </c>
      <c r="E4" s="0" t="s">
        <v>56</v>
      </c>
      <c r="F4" s="0" t="n">
        <v>3</v>
      </c>
      <c r="G4" s="0" t="n">
        <v>10</v>
      </c>
      <c r="H4" s="0" t="n">
        <v>2</v>
      </c>
    </row>
    <row r="5" customFormat="false" ht="12.75" hidden="true" customHeight="false" outlineLevel="0" collapsed="false">
      <c r="A5" s="71" t="s">
        <v>57</v>
      </c>
      <c r="B5" s="0" t="n">
        <v>55</v>
      </c>
      <c r="E5" s="0" t="s">
        <v>58</v>
      </c>
      <c r="F5" s="0" t="n">
        <v>4</v>
      </c>
      <c r="G5" s="0" t="n">
        <v>2</v>
      </c>
      <c r="H5" s="0" t="n">
        <v>0</v>
      </c>
    </row>
    <row r="6" customFormat="false" ht="12.75" hidden="true" customHeight="false" outlineLevel="0" collapsed="false">
      <c r="A6" s="71" t="s">
        <v>59</v>
      </c>
      <c r="B6" s="0" t="n">
        <v>3</v>
      </c>
      <c r="E6" s="0" t="s">
        <v>60</v>
      </c>
      <c r="F6" s="0" t="n">
        <v>0</v>
      </c>
      <c r="G6" s="0" t="n">
        <v>0</v>
      </c>
      <c r="H6" s="0" t="n">
        <v>0</v>
      </c>
    </row>
    <row r="7" customFormat="false" ht="12.75" hidden="true" customHeight="false" outlineLevel="0" collapsed="false">
      <c r="A7" s="71" t="s">
        <v>61</v>
      </c>
      <c r="B7" s="0" t="n">
        <v>5</v>
      </c>
    </row>
    <row r="8" customFormat="false" ht="12.75" hidden="true" customHeight="false" outlineLevel="0" collapsed="false">
      <c r="A8" s="71" t="s">
        <v>62</v>
      </c>
      <c r="B8" s="0" t="n">
        <v>10</v>
      </c>
    </row>
    <row r="9" customFormat="false" ht="12.75" hidden="true" customHeight="false" outlineLevel="0" collapsed="false">
      <c r="A9" s="71" t="s">
        <v>63</v>
      </c>
      <c r="B9" s="0" t="n">
        <v>20</v>
      </c>
    </row>
    <row r="10" customFormat="false" ht="12.75" hidden="false" customHeight="false" outlineLevel="0" collapsed="false">
      <c r="E10" s="72" t="s">
        <v>1</v>
      </c>
    </row>
    <row r="11" customFormat="false" ht="15" hidden="false" customHeight="false" outlineLevel="0" collapsed="false">
      <c r="A11" s="71" t="s">
        <v>64</v>
      </c>
      <c r="B11" s="0" t="n">
        <v>50</v>
      </c>
      <c r="F11" s="73" t="s">
        <v>65</v>
      </c>
      <c r="G11" s="73" t="s">
        <v>66</v>
      </c>
      <c r="H11" s="73" t="s">
        <v>67</v>
      </c>
      <c r="I11" s="73" t="s">
        <v>68</v>
      </c>
      <c r="J11" s="73" t="s">
        <v>69</v>
      </c>
      <c r="K11" s="73" t="s">
        <v>70</v>
      </c>
      <c r="L11" s="73" t="s">
        <v>71</v>
      </c>
      <c r="M11" s="73" t="s">
        <v>72</v>
      </c>
      <c r="N11" s="73" t="s">
        <v>73</v>
      </c>
      <c r="O11" s="73" t="s">
        <v>74</v>
      </c>
      <c r="P11" s="73" t="s">
        <v>75</v>
      </c>
      <c r="Q11" s="73" t="s">
        <v>76</v>
      </c>
      <c r="R11" s="73" t="s">
        <v>77</v>
      </c>
      <c r="S11" s="73" t="s">
        <v>78</v>
      </c>
      <c r="T11" s="73" t="s">
        <v>79</v>
      </c>
    </row>
    <row r="12" customFormat="false" ht="12.75" hidden="false" customHeight="false" outlineLevel="0" collapsed="false">
      <c r="A12" s="71" t="s">
        <v>25</v>
      </c>
      <c r="B12" s="0" t="n">
        <v>175</v>
      </c>
      <c r="E12" s="0" t="s">
        <v>80</v>
      </c>
      <c r="F12" s="0" t="n">
        <f aca="false">+'template from individuals'!B37+'template from individuals'!C37</f>
        <v>10153</v>
      </c>
      <c r="G12" s="0" t="n">
        <f aca="false">+'template from individuals'!D37+'template from individuals'!E37</f>
        <v>15464</v>
      </c>
      <c r="H12" s="0" t="n">
        <f aca="false">+'template from individuals'!F37+'template from individuals'!G37</f>
        <v>12754</v>
      </c>
      <c r="I12" s="35" t="n">
        <f aca="false">+'template from individuals'!H37+'template from individuals'!I37</f>
        <v>16623</v>
      </c>
      <c r="J12" s="74" t="n">
        <f aca="false">+'WE 2-1 EOL Data'!B6+'WE 2-1 EOL Data'!B29</f>
        <v>19791</v>
      </c>
      <c r="K12" s="74" t="n">
        <f aca="false">+'WE 2-8 EOL Data'!B6+'WE 2-8 EOL Data'!B29</f>
        <v>18521</v>
      </c>
      <c r="L12" s="74" t="n">
        <f aca="false">+'WE 2-15 EOL Data'!$B6+'WE 2-15 EOL Data'!$B29</f>
        <v>17223</v>
      </c>
      <c r="M12" s="74" t="n">
        <f aca="false">+'WE 2-22 EOL Data'!$B6+'WE 2-22 EOL Data'!$B29</f>
        <v>12660</v>
      </c>
      <c r="N12" s="74" t="n">
        <f aca="false">+'WE 2-28 EOL Data'!B6+'WE 2-28 EOL Data'!B29</f>
        <v>15072</v>
      </c>
      <c r="O12" s="74" t="n">
        <f aca="false">+'WE 3-7 EOL Data'!B6+'WE 3-7 EOL Data'!B29</f>
        <v>17309</v>
      </c>
      <c r="P12" s="74" t="n">
        <f aca="false">+'WE 3-14 EOL Data'!B6+'WE 3-14 EOL Data'!B29</f>
        <v>17857</v>
      </c>
      <c r="Q12" s="74" t="n">
        <f aca="false">+Q13+Q14</f>
        <v>16695</v>
      </c>
      <c r="R12" s="74" t="n">
        <f aca="false">+R13+R14</f>
        <v>20584</v>
      </c>
      <c r="S12" s="74" t="n">
        <f aca="false">+S13+S14</f>
        <v>20385</v>
      </c>
      <c r="T12" s="74" t="n">
        <f aca="false">+T13+T14</f>
        <v>0</v>
      </c>
      <c r="V12" s="75" t="s">
        <v>81</v>
      </c>
    </row>
    <row r="13" customFormat="false" ht="12.75" hidden="false" customHeight="false" outlineLevel="0" collapsed="false">
      <c r="E13" s="76" t="s">
        <v>82</v>
      </c>
      <c r="J13" s="74"/>
      <c r="K13" s="74" t="n">
        <f aca="false">+'WE 2-8 EOL Data'!B29</f>
        <v>2561</v>
      </c>
      <c r="L13" s="74" t="n">
        <f aca="false">+'WE 2-15 EOL Data'!B29</f>
        <v>2800</v>
      </c>
      <c r="M13" s="74" t="n">
        <f aca="false">+'WE 2-22 EOL Data'!B29</f>
        <v>2449</v>
      </c>
      <c r="N13" s="74" t="n">
        <f aca="false">+'WE 2-28 EOL Data'!B29</f>
        <v>3029</v>
      </c>
      <c r="O13" s="74" t="n">
        <f aca="false">+'WE 3-7 EOL Data'!B29</f>
        <v>2892</v>
      </c>
      <c r="P13" s="74" t="n">
        <f aca="false">+'WE 3-14 EOL Data'!B29</f>
        <v>2680</v>
      </c>
      <c r="Q13" s="74" t="n">
        <f aca="false">+'WE 3-21 EOL Data'!B29</f>
        <v>2558</v>
      </c>
      <c r="R13" s="74" t="n">
        <f aca="false">+'WE 3-28 EOL Data'!B29</f>
        <v>3926</v>
      </c>
      <c r="S13" s="74" t="n">
        <f aca="false">+'WE 4-4 EOL Data'!B29</f>
        <v>3413</v>
      </c>
      <c r="T13" s="74" t="n">
        <v>0</v>
      </c>
      <c r="V13" s="75"/>
    </row>
    <row r="14" customFormat="false" ht="12.75" hidden="false" customHeight="false" outlineLevel="0" collapsed="false">
      <c r="E14" s="76" t="s">
        <v>83</v>
      </c>
      <c r="J14" s="74"/>
      <c r="K14" s="74" t="n">
        <f aca="false">+'WE 2-8 EOL Data'!B6</f>
        <v>15960</v>
      </c>
      <c r="L14" s="74" t="n">
        <f aca="false">+'WE 2-15 EOL Data'!B6</f>
        <v>14423</v>
      </c>
      <c r="M14" s="74" t="n">
        <f aca="false">+'WE 2-22 EOL Data'!B6</f>
        <v>10211</v>
      </c>
      <c r="N14" s="74" t="n">
        <f aca="false">+'WE 2-28 EOL Data'!B6</f>
        <v>12043</v>
      </c>
      <c r="O14" s="74" t="n">
        <f aca="false">+'WE 3-7 EOL Data'!B6</f>
        <v>14417</v>
      </c>
      <c r="P14" s="74" t="n">
        <f aca="false">+'WE 3-14 EOL Data'!B6</f>
        <v>15177</v>
      </c>
      <c r="Q14" s="74" t="n">
        <f aca="false">+'WE 3-21 EOL Data'!B6</f>
        <v>14137</v>
      </c>
      <c r="R14" s="74" t="n">
        <f aca="false">+'WE 3-28 EOL Data'!B6</f>
        <v>16658</v>
      </c>
      <c r="S14" s="74" t="n">
        <f aca="false">+'WE 4-4 EOL Data'!B6</f>
        <v>16972</v>
      </c>
      <c r="T14" s="74" t="n">
        <v>0</v>
      </c>
      <c r="V14" s="75"/>
    </row>
    <row r="15" customFormat="false" ht="12.75" hidden="false" customHeight="false" outlineLevel="0" collapsed="false">
      <c r="A15" s="71" t="s">
        <v>32</v>
      </c>
      <c r="B15" s="0" t="n">
        <v>2</v>
      </c>
      <c r="E15" s="0" t="s">
        <v>84</v>
      </c>
      <c r="F15" s="0" t="n">
        <f aca="false">+'template from individuals'!B38+'template from individuals'!C38</f>
        <v>1730</v>
      </c>
      <c r="G15" s="0" t="n">
        <f aca="false">+'template from individuals'!D38+'template from individuals'!E38</f>
        <v>3436</v>
      </c>
      <c r="H15" s="0" t="n">
        <f aca="false">+'template from individuals'!F38+'template from individuals'!G38</f>
        <v>3781</v>
      </c>
      <c r="I15" s="35" t="n">
        <f aca="false">+'template from individuals'!H38+'template from individuals'!I38</f>
        <v>3695</v>
      </c>
      <c r="J15" s="74" t="n">
        <f aca="false">+'WE 2-1 EOL Data'!B7+'WE 2-1 EOL Data'!B30</f>
        <v>4599</v>
      </c>
      <c r="K15" s="74" t="n">
        <f aca="false">+'WE 2-8 EOL Data'!B7+'WE 2-8 EOL Data'!B30</f>
        <v>4631</v>
      </c>
      <c r="L15" s="74" t="n">
        <f aca="false">+'WE 2-15 EOL Data'!$B7+'WE 2-15 EOL Data'!$B30</f>
        <v>4587</v>
      </c>
      <c r="M15" s="74" t="n">
        <f aca="false">+'WE 2-22 EOL Data'!$B7+'WE 2-22 EOL Data'!$B30</f>
        <v>3656</v>
      </c>
      <c r="N15" s="74" t="n">
        <f aca="false">+'WE 2-28 EOL Data'!B7+'WE 2-28 EOL Data'!B30</f>
        <v>3771</v>
      </c>
      <c r="O15" s="74" t="n">
        <f aca="false">+'WE 3-7 EOL Data'!B7+'WE 3-7 EOL Data'!B30</f>
        <v>4415</v>
      </c>
      <c r="P15" s="74" t="n">
        <f aca="false">+'WE 3-14 EOL Data'!B7+'WE 3-14 EOL Data'!B30</f>
        <v>4929</v>
      </c>
      <c r="Q15" s="74" t="n">
        <f aca="false">+Q16+Q17</f>
        <v>4773</v>
      </c>
      <c r="R15" s="74" t="n">
        <f aca="false">+R16+R17</f>
        <v>4796</v>
      </c>
      <c r="S15" s="74" t="n">
        <f aca="false">+S16+S17</f>
        <v>5262</v>
      </c>
      <c r="T15" s="74" t="n">
        <f aca="false">+T16+T17</f>
        <v>0</v>
      </c>
      <c r="V15" s="75" t="s">
        <v>85</v>
      </c>
    </row>
    <row r="16" customFormat="false" ht="12.75" hidden="false" customHeight="false" outlineLevel="0" collapsed="false">
      <c r="E16" s="76" t="s">
        <v>82</v>
      </c>
      <c r="J16" s="74"/>
      <c r="K16" s="74" t="n">
        <f aca="false">+'WE 2-8 EOL Data'!B30</f>
        <v>2380</v>
      </c>
      <c r="L16" s="74" t="n">
        <f aca="false">+'WE 2-15 EOL Data'!B30</f>
        <v>2392</v>
      </c>
      <c r="M16" s="74" t="n">
        <f aca="false">+'WE 2-22 EOL Data'!B30</f>
        <v>1860</v>
      </c>
      <c r="N16" s="74" t="n">
        <f aca="false">+'WE 2-28 EOL Data'!B30</f>
        <v>1995</v>
      </c>
      <c r="O16" s="74" t="n">
        <f aca="false">+'WE 3-7 EOL Data'!B30</f>
        <v>2410</v>
      </c>
      <c r="P16" s="74" t="n">
        <f aca="false">+'WE 3-14 EOL Data'!B30</f>
        <v>2417</v>
      </c>
      <c r="Q16" s="74" t="n">
        <f aca="false">+'WE 3-21 EOL Data'!B30</f>
        <v>2521</v>
      </c>
      <c r="R16" s="74" t="n">
        <f aca="false">+'WE 3-28 EOL Data'!B30</f>
        <v>2493</v>
      </c>
      <c r="S16" s="74" t="n">
        <f aca="false">+'WE 4-4 EOL Data'!B30</f>
        <v>2588</v>
      </c>
      <c r="T16" s="74" t="n">
        <v>0</v>
      </c>
      <c r="V16" s="75"/>
    </row>
    <row r="17" customFormat="false" ht="12.75" hidden="false" customHeight="false" outlineLevel="0" collapsed="false">
      <c r="E17" s="76" t="s">
        <v>83</v>
      </c>
      <c r="J17" s="74"/>
      <c r="K17" s="74" t="n">
        <f aca="false">+'WE 2-8 EOL Data'!B7</f>
        <v>2251</v>
      </c>
      <c r="L17" s="74" t="n">
        <f aca="false">+'WE 2-15 EOL Data'!B7</f>
        <v>2195</v>
      </c>
      <c r="M17" s="74" t="n">
        <f aca="false">+'WE 2-22 EOL Data'!B7</f>
        <v>1796</v>
      </c>
      <c r="N17" s="74" t="n">
        <f aca="false">+'WE 2-28 EOL Data'!B7</f>
        <v>1776</v>
      </c>
      <c r="O17" s="74" t="n">
        <f aca="false">+'WE 3-7 EOL Data'!B7</f>
        <v>2005</v>
      </c>
      <c r="P17" s="74" t="n">
        <f aca="false">+'WE 3-14 EOL Data'!B7</f>
        <v>2512</v>
      </c>
      <c r="Q17" s="74" t="n">
        <f aca="false">+'WE 3-21 EOL Data'!B7</f>
        <v>2252</v>
      </c>
      <c r="R17" s="74" t="n">
        <f aca="false">+'WE 3-28 EOL Data'!B7</f>
        <v>2303</v>
      </c>
      <c r="S17" s="74" t="n">
        <f aca="false">+'WE 4-4 EOL Data'!B7</f>
        <v>2674</v>
      </c>
      <c r="T17" s="74" t="n">
        <v>0</v>
      </c>
      <c r="V17" s="75"/>
    </row>
    <row r="18" customFormat="false" ht="12.75" hidden="false" customHeight="false" outlineLevel="0" collapsed="false">
      <c r="E18" s="0" t="s">
        <v>86</v>
      </c>
      <c r="J18" s="74"/>
      <c r="K18" s="77" t="n">
        <f aca="false">(+K17+K14)/(K15+K12)</f>
        <v>0.786584312370422</v>
      </c>
      <c r="L18" s="77" t="n">
        <f aca="false">(+L17+L14)/(L15+L12)</f>
        <v>0.761944062356717</v>
      </c>
      <c r="M18" s="77" t="n">
        <f aca="false">(+M17+M14)/(M15+M12)</f>
        <v>0.735903407697965</v>
      </c>
      <c r="N18" s="77" t="n">
        <f aca="false">(+N17+N14)/(N15+N12)</f>
        <v>0.733375789417821</v>
      </c>
      <c r="O18" s="77" t="n">
        <f aca="false">(+O17+O14)/(O15+O12)</f>
        <v>0.755938132940527</v>
      </c>
      <c r="P18" s="77" t="n">
        <f aca="false">(+P17+P14)/(P15+P12)</f>
        <v>0.776310014921443</v>
      </c>
      <c r="Q18" s="77" t="n">
        <f aca="false">(+Q17+Q14)/(Q15+Q12)</f>
        <v>0.763415315818893</v>
      </c>
      <c r="R18" s="77" t="n">
        <f aca="false">(+R17+R14)/(R15+R12)</f>
        <v>0.747084318360914</v>
      </c>
      <c r="S18" s="77" t="n">
        <f aca="false">(+S17+S14)/(S15+S12)</f>
        <v>0.766015518384216</v>
      </c>
      <c r="T18" s="77" t="e">
        <f aca="false">(+T17+T14)/(T15+T12)</f>
        <v>#DIV/0!</v>
      </c>
      <c r="V18" s="75"/>
    </row>
    <row r="19" customFormat="false" ht="12.75" hidden="false" customHeight="false" outlineLevel="0" collapsed="false">
      <c r="E19" s="78" t="s">
        <v>11</v>
      </c>
      <c r="J19" s="74"/>
      <c r="K19" s="77"/>
      <c r="L19" s="77"/>
      <c r="M19" s="77"/>
      <c r="N19" s="77"/>
      <c r="O19" s="77"/>
      <c r="P19" s="77"/>
      <c r="Q19" s="77"/>
      <c r="R19" s="77"/>
      <c r="S19" s="77"/>
      <c r="T19" s="77"/>
      <c r="V19" s="75"/>
    </row>
    <row r="20" customFormat="false" ht="12.75" hidden="false" customHeight="false" outlineLevel="0" collapsed="false">
      <c r="E20" s="78" t="s">
        <v>87</v>
      </c>
      <c r="J20" s="74"/>
      <c r="K20" s="79" t="n">
        <f aca="false">+K13+K16</f>
        <v>4941</v>
      </c>
      <c r="L20" s="79" t="n">
        <f aca="false">+L13+L16</f>
        <v>5192</v>
      </c>
      <c r="M20" s="79" t="n">
        <f aca="false">+M13+M16</f>
        <v>4309</v>
      </c>
      <c r="N20" s="79" t="n">
        <f aca="false">+N13+N16</f>
        <v>5024</v>
      </c>
      <c r="O20" s="79" t="n">
        <f aca="false">+O13+O16</f>
        <v>5302</v>
      </c>
      <c r="P20" s="79" t="n">
        <f aca="false">+P13+P16</f>
        <v>5097</v>
      </c>
      <c r="Q20" s="79" t="n">
        <f aca="false">+Q13+Q16</f>
        <v>5079</v>
      </c>
      <c r="R20" s="79" t="n">
        <f aca="false">+R13+R16</f>
        <v>6419</v>
      </c>
      <c r="S20" s="79" t="n">
        <f aca="false">+S13+S16</f>
        <v>6001</v>
      </c>
      <c r="T20" s="79" t="n">
        <f aca="false">+T13+T16</f>
        <v>0</v>
      </c>
      <c r="V20" s="75"/>
    </row>
    <row r="21" customFormat="false" ht="12.75" hidden="false" customHeight="false" outlineLevel="0" collapsed="false">
      <c r="E21" s="78" t="s">
        <v>88</v>
      </c>
      <c r="J21" s="74"/>
      <c r="K21" s="79" t="n">
        <f aca="false">+K17+K14</f>
        <v>18211</v>
      </c>
      <c r="L21" s="79" t="n">
        <f aca="false">+L17+L14</f>
        <v>16618</v>
      </c>
      <c r="M21" s="79" t="n">
        <f aca="false">+M17+M14</f>
        <v>12007</v>
      </c>
      <c r="N21" s="79" t="n">
        <f aca="false">+N17+N14</f>
        <v>13819</v>
      </c>
      <c r="O21" s="79" t="n">
        <f aca="false">+O17+O14</f>
        <v>16422</v>
      </c>
      <c r="P21" s="79" t="n">
        <f aca="false">+P17+P14</f>
        <v>17689</v>
      </c>
      <c r="Q21" s="79" t="n">
        <f aca="false">+Q17+Q14</f>
        <v>16389</v>
      </c>
      <c r="R21" s="79" t="n">
        <f aca="false">+R17+R14</f>
        <v>18961</v>
      </c>
      <c r="S21" s="79" t="n">
        <f aca="false">+S17+S14</f>
        <v>19646</v>
      </c>
      <c r="T21" s="79" t="n">
        <f aca="false">+T17+T14</f>
        <v>0</v>
      </c>
      <c r="V21" s="75"/>
    </row>
    <row r="22" customFormat="false" ht="15" hidden="false" customHeight="false" outlineLevel="0" collapsed="false">
      <c r="A22" s="71" t="s">
        <v>89</v>
      </c>
      <c r="B22" s="0" t="n">
        <v>20</v>
      </c>
      <c r="F22" s="73" t="s">
        <v>65</v>
      </c>
      <c r="G22" s="73" t="s">
        <v>66</v>
      </c>
      <c r="H22" s="73" t="s">
        <v>67</v>
      </c>
      <c r="I22" s="73" t="s">
        <v>68</v>
      </c>
      <c r="J22" s="73" t="s">
        <v>69</v>
      </c>
      <c r="K22" s="73" t="str">
        <f aca="false">+K11</f>
        <v>2/2 - 2/8</v>
      </c>
      <c r="L22" s="73" t="str">
        <f aca="false">+L11</f>
        <v>2/9 - 2/15</v>
      </c>
      <c r="M22" s="73" t="str">
        <f aca="false">+M11</f>
        <v>2/16 - 2/22</v>
      </c>
      <c r="N22" s="73" t="str">
        <f aca="false">+N11</f>
        <v>2/23 - 2/28</v>
      </c>
      <c r="O22" s="73" t="str">
        <f aca="false">+O11</f>
        <v>3/1 - 3/7</v>
      </c>
      <c r="P22" s="73" t="str">
        <f aca="false">+P11</f>
        <v>3/8 - 3/14</v>
      </c>
      <c r="Q22" s="73" t="str">
        <f aca="false">+Q11</f>
        <v>3/15 - 3/21</v>
      </c>
      <c r="R22" s="73" t="str">
        <f aca="false">+R11</f>
        <v>3/22 - 3/28</v>
      </c>
      <c r="S22" s="73" t="str">
        <f aca="false">+S11</f>
        <v>3/29 - 4/4</v>
      </c>
      <c r="T22" s="73" t="str">
        <f aca="false">+T11</f>
        <v>4/5 - 4/11</v>
      </c>
      <c r="V22" s="80"/>
    </row>
    <row r="23" customFormat="false" ht="12.75" hidden="false" customHeight="false" outlineLevel="0" collapsed="false">
      <c r="A23" s="71" t="s">
        <v>90</v>
      </c>
      <c r="B23" s="0" t="n">
        <v>30</v>
      </c>
      <c r="E23" s="0" t="s">
        <v>91</v>
      </c>
      <c r="F23" s="0" t="n">
        <f aca="false">+'template from individuals'!B45+'template from individuals'!C45</f>
        <v>91</v>
      </c>
      <c r="G23" s="0" t="n">
        <f aca="false">+'template from individuals'!D45+'template from individuals'!E45</f>
        <v>130</v>
      </c>
      <c r="H23" s="0" t="n">
        <f aca="false">+'template from individuals'!F45+'template from individuals'!G45</f>
        <v>103</v>
      </c>
      <c r="I23" s="35" t="n">
        <f aca="false">+'template from individuals'!H45+'template from individuals'!I45</f>
        <v>169</v>
      </c>
      <c r="J23" s="74" t="n">
        <f aca="false">+'WE 2-1 EOL Data'!B13+'WE 2-1 EOL Data'!B36</f>
        <v>145</v>
      </c>
      <c r="K23" s="74" t="n">
        <f aca="false">+'WE 2-8 EOL Data'!B13+'WE 2-8 EOL Data'!B36</f>
        <v>153</v>
      </c>
      <c r="L23" s="74" t="n">
        <f aca="false">+'WE 2-15 EOL Data'!$B13+'WE 2-15 EOL Data'!$B36</f>
        <v>122</v>
      </c>
      <c r="M23" s="74" t="n">
        <f aca="false">+'WE 2-22 EOL Data'!$B13+'WE 2-22 EOL Data'!$B36</f>
        <v>142</v>
      </c>
      <c r="N23" s="74" t="n">
        <f aca="false">+'WE 2-28 EOL Data'!B13+'WE 2-28 EOL Data'!B36</f>
        <v>102</v>
      </c>
      <c r="O23" s="74" t="n">
        <f aca="false">+'WE 3-7 EOL Data'!B13+'WE 3-7 EOL Data'!B36</f>
        <v>174</v>
      </c>
      <c r="P23" s="74" t="n">
        <f aca="false">+'WE 3-14 EOL Data'!B13+'WE 3-14 EOL Data'!B36</f>
        <v>596</v>
      </c>
      <c r="Q23" s="74" t="n">
        <f aca="false">+Q24+Q25</f>
        <v>306</v>
      </c>
      <c r="R23" s="74" t="n">
        <f aca="false">+R24+R25</f>
        <v>552</v>
      </c>
      <c r="S23" s="74" t="n">
        <f aca="false">+S24+S25</f>
        <v>537</v>
      </c>
      <c r="T23" s="74" t="n">
        <f aca="false">+T24+T25</f>
        <v>0</v>
      </c>
      <c r="V23" s="75" t="s">
        <v>92</v>
      </c>
    </row>
    <row r="24" customFormat="false" ht="12.75" hidden="false" customHeight="false" outlineLevel="0" collapsed="false">
      <c r="E24" s="76" t="s">
        <v>82</v>
      </c>
      <c r="J24" s="74"/>
      <c r="K24" s="74" t="n">
        <f aca="false">+'WE 2-8 EOL Data'!B36</f>
        <v>153</v>
      </c>
      <c r="L24" s="74" t="n">
        <f aca="false">+'WE 2-15 EOL Data'!B36</f>
        <v>122</v>
      </c>
      <c r="M24" s="74" t="n">
        <f aca="false">+'WE 2-22 EOL Data'!B36</f>
        <v>142</v>
      </c>
      <c r="N24" s="74" t="n">
        <f aca="false">+'WE 2-28 EOL Data'!B36</f>
        <v>102</v>
      </c>
      <c r="O24" s="74" t="n">
        <f aca="false">+'WE 3-7 EOL Data'!B36</f>
        <v>174</v>
      </c>
      <c r="P24" s="74" t="n">
        <f aca="false">+'WE 3-14 EOL Data'!B36</f>
        <v>596</v>
      </c>
      <c r="Q24" s="74" t="n">
        <f aca="false">+'WE 3-21 EOL Data'!B36</f>
        <v>306</v>
      </c>
      <c r="R24" s="74" t="n">
        <f aca="false">+'WE 3-28 EOL Data'!B36</f>
        <v>552</v>
      </c>
      <c r="S24" s="74" t="n">
        <f aca="false">+'WE 4-4 EOL Data'!B36</f>
        <v>537</v>
      </c>
      <c r="T24" s="74" t="n">
        <v>0</v>
      </c>
      <c r="V24" s="75"/>
    </row>
    <row r="25" customFormat="false" ht="12.75" hidden="false" customHeight="false" outlineLevel="0" collapsed="false">
      <c r="E25" s="76" t="s">
        <v>83</v>
      </c>
      <c r="J25" s="74"/>
      <c r="K25" s="74" t="n">
        <f aca="false">+'WE 2-8 EOL Data'!B13</f>
        <v>0</v>
      </c>
      <c r="L25" s="74" t="n">
        <f aca="false">+'WE 2-15 EOL Data'!B13</f>
        <v>0</v>
      </c>
      <c r="M25" s="74" t="n">
        <f aca="false">+'WE 2-22 EOL Data'!B13</f>
        <v>0</v>
      </c>
      <c r="N25" s="74" t="n">
        <f aca="false">+'WE 2-28 EOL Data'!B13</f>
        <v>0</v>
      </c>
      <c r="O25" s="74" t="n">
        <f aca="false">+'WE 3-7 EOL Data'!B13</f>
        <v>0</v>
      </c>
      <c r="P25" s="74" t="n">
        <f aca="false">+'WE 3-14 EOL Data'!B13</f>
        <v>0</v>
      </c>
      <c r="Q25" s="74" t="n">
        <f aca="false">+'WE 3-21 EOL Data'!B13</f>
        <v>0</v>
      </c>
      <c r="R25" s="74" t="n">
        <f aca="false">+'WE 3-28 EOL Data'!C13</f>
        <v>0</v>
      </c>
      <c r="S25" s="74" t="n">
        <f aca="false">+'WE 4-4 EOL Data'!B13</f>
        <v>0</v>
      </c>
      <c r="T25" s="74" t="n">
        <v>0</v>
      </c>
      <c r="V25" s="75"/>
    </row>
    <row r="26" customFormat="false" ht="12.75" hidden="false" customHeight="false" outlineLevel="0" collapsed="false">
      <c r="A26" s="71" t="s">
        <v>93</v>
      </c>
      <c r="B26" s="0" t="n">
        <v>1</v>
      </c>
      <c r="E26" s="0" t="s">
        <v>94</v>
      </c>
      <c r="F26" s="0" t="n">
        <f aca="false">+'template from individuals'!B47+'template from individuals'!C47</f>
        <v>1835</v>
      </c>
      <c r="G26" s="0" t="n">
        <f aca="false">+'template from individuals'!D47+'template from individuals'!E47</f>
        <v>3258</v>
      </c>
      <c r="H26" s="0" t="n">
        <f aca="false">+'template from individuals'!F47+'template from individuals'!G47</f>
        <v>2199</v>
      </c>
      <c r="I26" s="35" t="n">
        <f aca="false">+'template from individuals'!H47+'template from individuals'!I47</f>
        <v>3063</v>
      </c>
      <c r="J26" s="74" t="n">
        <f aca="false">+'WE 2-1 EOL Data'!B9+'WE 2-1 EOL Data'!B32</f>
        <v>3322</v>
      </c>
      <c r="K26" s="74" t="n">
        <f aca="false">+'WE 2-8 EOL Data'!B9+'WE 2-8 EOL Data'!B32</f>
        <v>3375</v>
      </c>
      <c r="L26" s="74" t="n">
        <f aca="false">+'WE 2-15 EOL Data'!$B9+'WE 2-15 EOL Data'!$B32</f>
        <v>3353</v>
      </c>
      <c r="M26" s="74" t="n">
        <f aca="false">+'WE 2-22 EOL Data'!$B9+'WE 2-22 EOL Data'!$B32</f>
        <v>3135</v>
      </c>
      <c r="N26" s="74" t="n">
        <f aca="false">+'WE 2-28 EOL Data'!B9+'WE 2-28 EOL Data'!B32</f>
        <v>2593</v>
      </c>
      <c r="O26" s="74" t="n">
        <f aca="false">+'WE 3-7 EOL Data'!B9+'WE 3-7 EOL Data'!B32</f>
        <v>3101</v>
      </c>
      <c r="P26" s="74" t="n">
        <f aca="false">+'WE 3-14 EOL Data'!B9+'WE 3-14 EOL Data'!B32</f>
        <v>3017</v>
      </c>
      <c r="Q26" s="74" t="n">
        <f aca="false">+Q27+Q28</f>
        <v>2897</v>
      </c>
      <c r="R26" s="74" t="n">
        <f aca="false">+R27+R28</f>
        <v>2820</v>
      </c>
      <c r="S26" s="74" t="n">
        <f aca="false">+S27+S28</f>
        <v>2992</v>
      </c>
      <c r="T26" s="74" t="n">
        <f aca="false">+T27+T28</f>
        <v>0</v>
      </c>
      <c r="V26" s="75" t="s">
        <v>95</v>
      </c>
    </row>
    <row r="27" customFormat="false" ht="12.75" hidden="false" customHeight="false" outlineLevel="0" collapsed="false">
      <c r="E27" s="76" t="s">
        <v>82</v>
      </c>
      <c r="J27" s="74"/>
      <c r="K27" s="74" t="n">
        <f aca="false">+'WE 2-8 EOL Data'!B32</f>
        <v>1617</v>
      </c>
      <c r="L27" s="74" t="n">
        <f aca="false">+'WE 2-15 EOL Data'!B32</f>
        <v>1786</v>
      </c>
      <c r="M27" s="74" t="n">
        <f aca="false">+'WE 2-22 EOL Data'!B32</f>
        <v>1587</v>
      </c>
      <c r="N27" s="74" t="n">
        <f aca="false">+'WE 2-28 EOL Data'!B32</f>
        <v>1409</v>
      </c>
      <c r="O27" s="74" t="n">
        <f aca="false">+'WE 3-7 EOL Data'!B32</f>
        <v>1753</v>
      </c>
      <c r="P27" s="74" t="n">
        <f aca="false">+'WE 3-14 EOL Data'!B32</f>
        <v>1693</v>
      </c>
      <c r="Q27" s="74" t="n">
        <f aca="false">+'WE 3-21 EOL Data'!B32</f>
        <v>1583</v>
      </c>
      <c r="R27" s="74" t="n">
        <f aca="false">+'WE 3-28 EOL Data'!B32</f>
        <v>1746</v>
      </c>
      <c r="S27" s="74" t="n">
        <f aca="false">+'WE 4-4 EOL Data'!B32</f>
        <v>1861</v>
      </c>
      <c r="T27" s="74" t="n">
        <v>0</v>
      </c>
      <c r="V27" s="75"/>
    </row>
    <row r="28" customFormat="false" ht="12.75" hidden="false" customHeight="false" outlineLevel="0" collapsed="false">
      <c r="E28" s="76" t="s">
        <v>83</v>
      </c>
      <c r="J28" s="74"/>
      <c r="K28" s="74" t="n">
        <f aca="false">+'WE 2-8 EOL Data'!B9</f>
        <v>1758</v>
      </c>
      <c r="L28" s="74" t="n">
        <f aca="false">+'WE 2-15 EOL Data'!B9</f>
        <v>1567</v>
      </c>
      <c r="M28" s="74" t="n">
        <f aca="false">+'WE 2-22 EOL Data'!B9</f>
        <v>1548</v>
      </c>
      <c r="N28" s="74" t="n">
        <f aca="false">+'WE 2-28 EOL Data'!B9</f>
        <v>1184</v>
      </c>
      <c r="O28" s="74" t="n">
        <f aca="false">+'WE 3-7 EOL Data'!B9</f>
        <v>1348</v>
      </c>
      <c r="P28" s="74" t="n">
        <f aca="false">+'WE 3-14 EOL Data'!B9</f>
        <v>1324</v>
      </c>
      <c r="Q28" s="74" t="n">
        <f aca="false">+'WE 3-21 EOL Data'!B9</f>
        <v>1314</v>
      </c>
      <c r="R28" s="74" t="n">
        <f aca="false">+'WE 3-28 EOL Data'!B9</f>
        <v>1074</v>
      </c>
      <c r="S28" s="74" t="n">
        <f aca="false">+'WE 4-4 EOL Data'!B9</f>
        <v>1131</v>
      </c>
      <c r="T28" s="74" t="n">
        <v>0</v>
      </c>
      <c r="V28" s="75"/>
    </row>
    <row r="29" customFormat="false" ht="12.75" hidden="false" customHeight="false" outlineLevel="0" collapsed="false">
      <c r="A29" s="71" t="s">
        <v>96</v>
      </c>
      <c r="B29" s="0" t="n">
        <v>3</v>
      </c>
      <c r="E29" s="0" t="s">
        <v>97</v>
      </c>
      <c r="F29" s="0" t="n">
        <f aca="false">+'template from individuals'!B49+'template from individuals'!C49</f>
        <v>52</v>
      </c>
      <c r="G29" s="0" t="n">
        <f aca="false">+'template from individuals'!D49+'template from individuals'!E49</f>
        <v>83</v>
      </c>
      <c r="H29" s="0" t="n">
        <f aca="false">+'template from individuals'!F49+'template from individuals'!G49</f>
        <v>84</v>
      </c>
      <c r="I29" s="35" t="n">
        <f aca="false">+'template from individuals'!H49+'template from individuals'!I49</f>
        <v>75</v>
      </c>
      <c r="J29" s="74" t="n">
        <f aca="false">+'WE 2-1 EOL Data'!B10+'WE 2-1 EOL Data'!B11+'WE 2-1 EOL Data'!B33+'WE 2-1 EOL Data'!B34</f>
        <v>83</v>
      </c>
      <c r="K29" s="74" t="n">
        <f aca="false">+'WE 2-8 EOL Data'!B10+'WE 2-8 EOL Data'!B33+'WE 2-8 EOL Data'!B11+'WE 2-8 EOL Data'!B34</f>
        <v>52</v>
      </c>
      <c r="L29" s="74" t="n">
        <f aca="false">+'WE 2-15 EOL Data'!$B10+'WE 2-15 EOL Data'!$B11+'WE 2-15 EOL Data'!$B33+'WE 2-15 EOL Data'!$B34</f>
        <v>58</v>
      </c>
      <c r="M29" s="74" t="n">
        <f aca="false">+'WE 2-22 EOL Data'!$B10+'WE 2-22 EOL Data'!$B11+'WE 2-22 EOL Data'!$B33+'WE 2-22 EOL Data'!$B34</f>
        <v>28</v>
      </c>
      <c r="N29" s="74" t="n">
        <f aca="false">+'WE 2-28 EOL Data'!B10+'WE 2-28 EOL Data'!B33+'WE 2-28 EOL Data'!B11+'WE 2-28 EOL Data'!B34</f>
        <v>12</v>
      </c>
      <c r="O29" s="74" t="n">
        <f aca="false">+'WE 3-7 EOL Data'!B10+'WE 3-7 EOL Data'!B11+'WE 3-7 EOL Data'!B33+'WE 3-7 EOL Data'!B34</f>
        <v>36</v>
      </c>
      <c r="P29" s="74" t="n">
        <f aca="false">+'WE 3-14 EOL Data'!B10+'WE 3-14 EOL Data'!B11+'WE 3-14 EOL Data'!B33+'WE 3-14 EOL Data'!B34</f>
        <v>20</v>
      </c>
      <c r="Q29" s="74" t="n">
        <f aca="false">+Q30+Q31</f>
        <v>33</v>
      </c>
      <c r="R29" s="74" t="n">
        <f aca="false">+R30+R31</f>
        <v>25</v>
      </c>
      <c r="S29" s="74" t="n">
        <f aca="false">+S30+S31</f>
        <v>20</v>
      </c>
      <c r="T29" s="74" t="n">
        <f aca="false">+T30+T31</f>
        <v>0</v>
      </c>
      <c r="V29" s="75" t="s">
        <v>98</v>
      </c>
    </row>
    <row r="30" customFormat="false" ht="12.75" hidden="false" customHeight="false" outlineLevel="0" collapsed="false">
      <c r="E30" s="76" t="s">
        <v>82</v>
      </c>
      <c r="J30" s="74"/>
      <c r="K30" s="74" t="n">
        <f aca="false">+'WE 2-8 EOL Data'!B33+'WE 2-8 EOL Data'!B34</f>
        <v>44</v>
      </c>
      <c r="L30" s="74" t="n">
        <f aca="false">+'WE 2-15 EOL Data'!B33+'WE 2-15 EOL Data'!B34</f>
        <v>36</v>
      </c>
      <c r="M30" s="74" t="n">
        <f aca="false">+'WE 2-22 EOL Data'!B33+'WE 2-22 EOL Data'!B34</f>
        <v>24</v>
      </c>
      <c r="N30" s="74" t="n">
        <f aca="false">+'WE 2-28 EOL Data'!B33+'WE 2-28 EOL Data'!B34</f>
        <v>9</v>
      </c>
      <c r="O30" s="74" t="n">
        <f aca="false">+'WE 3-7 EOL Data'!B33+'WE 3-7 EOL Data'!B34</f>
        <v>32</v>
      </c>
      <c r="P30" s="74" t="n">
        <f aca="false">+'WE 3-14 EOL Data'!B33+'WE 3-14 EOL Data'!B34</f>
        <v>15</v>
      </c>
      <c r="Q30" s="74" t="n">
        <f aca="false">+'WE 3-21 EOL Data'!B33+'WE 3-21 EOL Data'!B34</f>
        <v>32</v>
      </c>
      <c r="R30" s="74" t="n">
        <f aca="false">+'WE 3-28 EOL Data'!B33+'WE 3-28 EOL Data'!B34</f>
        <v>24</v>
      </c>
      <c r="S30" s="74" t="n">
        <f aca="false">+'WE 4-4 EOL Data'!B33+'WE 4-4 EOL Data'!B34</f>
        <v>17</v>
      </c>
      <c r="T30" s="74" t="n">
        <v>0</v>
      </c>
      <c r="V30" s="75"/>
    </row>
    <row r="31" customFormat="false" ht="12.75" hidden="false" customHeight="false" outlineLevel="0" collapsed="false">
      <c r="E31" s="76" t="s">
        <v>83</v>
      </c>
      <c r="J31" s="74"/>
      <c r="K31" s="74" t="n">
        <f aca="false">+'WE 2-8 EOL Data'!B10+'WE 2-8 EOL Data'!B11</f>
        <v>8</v>
      </c>
      <c r="L31" s="74" t="n">
        <f aca="false">+'WE 2-15 EOL Data'!B10+'WE 2-15 EOL Data'!B11</f>
        <v>22</v>
      </c>
      <c r="M31" s="74" t="n">
        <f aca="false">+'WE 2-22 EOL Data'!B10+'WE 2-22 EOL Data'!B11</f>
        <v>4</v>
      </c>
      <c r="N31" s="74" t="n">
        <f aca="false">+'WE 2-28 EOL Data'!B10+'WE 2-28 EOL Data'!B11</f>
        <v>3</v>
      </c>
      <c r="O31" s="74" t="n">
        <f aca="false">+'WE 3-7 EOL Data'!B10+'WE 3-7 EOL Data'!B11</f>
        <v>4</v>
      </c>
      <c r="P31" s="74" t="n">
        <f aca="false">+'WE 3-14 EOL Data'!B10+'WE 3-14 EOL Data'!B11</f>
        <v>5</v>
      </c>
      <c r="Q31" s="74" t="n">
        <f aca="false">+'WE 3-21 EOL Data'!B10+'WE 3-21 EOL Data'!B11</f>
        <v>1</v>
      </c>
      <c r="R31" s="74" t="n">
        <f aca="false">+'WE 3-28 EOL Data'!B10+'WE 3-28 EOL Data'!B11</f>
        <v>1</v>
      </c>
      <c r="S31" s="74" t="n">
        <f aca="false">+'WE 4-4 EOL Data'!B10+'WE 4-4 EOL Data'!B11</f>
        <v>3</v>
      </c>
      <c r="T31" s="74" t="n">
        <v>0</v>
      </c>
      <c r="V31" s="75"/>
    </row>
    <row r="32" customFormat="false" ht="12.75" hidden="false" customHeight="false" outlineLevel="0" collapsed="false">
      <c r="A32" s="71" t="s">
        <v>29</v>
      </c>
      <c r="B32" s="0" t="n">
        <v>2</v>
      </c>
      <c r="E32" s="0" t="s">
        <v>99</v>
      </c>
      <c r="F32" s="0" t="n">
        <f aca="false">+'template from individuals'!B46+'template from individuals'!C46</f>
        <v>13</v>
      </c>
      <c r="G32" s="0" t="n">
        <f aca="false">+'template from individuals'!D46+'template from individuals'!E46</f>
        <v>27</v>
      </c>
      <c r="H32" s="0" t="n">
        <f aca="false">+'template from individuals'!F46+'template from individuals'!G46</f>
        <v>37</v>
      </c>
      <c r="I32" s="35" t="n">
        <f aca="false">+'template from individuals'!H46+'template from individuals'!I46</f>
        <v>36</v>
      </c>
      <c r="J32" s="74" t="n">
        <f aca="false">+'WE 2-1 EOL Data'!B12+'WE 2-1 EOL Data'!B35</f>
        <v>19</v>
      </c>
      <c r="K32" s="74" t="n">
        <f aca="false">+'WE 2-8 EOL Data'!B12+'WE 2-8 EOL Data'!B35</f>
        <v>24</v>
      </c>
      <c r="L32" s="74" t="n">
        <f aca="false">+'WE 2-15 EOL Data'!$B12+'WE 2-15 EOL Data'!$B35</f>
        <v>39</v>
      </c>
      <c r="M32" s="74" t="n">
        <f aca="false">+'WE 2-22 EOL Data'!$B12+'WE 2-22 EOL Data'!$B35</f>
        <v>24</v>
      </c>
      <c r="N32" s="74" t="n">
        <f aca="false">+'WE 2-28 EOL Data'!B12+'WE 2-28 EOL Data'!B35</f>
        <v>18</v>
      </c>
      <c r="O32" s="74" t="n">
        <f aca="false">+'WE 3-7 EOL Data'!B12+'WE 3-7 EOL Data'!B35</f>
        <v>22</v>
      </c>
      <c r="P32" s="74" t="n">
        <f aca="false">+'WE 3-14 EOL Data'!B12+'WE 3-14 EOL Data'!B35</f>
        <v>11</v>
      </c>
      <c r="Q32" s="74" t="n">
        <f aca="false">+Q33+Q34</f>
        <v>17</v>
      </c>
      <c r="R32" s="74" t="n">
        <f aca="false">+R33+R34</f>
        <v>7</v>
      </c>
      <c r="S32" s="74" t="n">
        <f aca="false">+S33+S34</f>
        <v>10</v>
      </c>
      <c r="T32" s="74" t="n">
        <f aca="false">+T33+T34</f>
        <v>0</v>
      </c>
      <c r="V32" s="75" t="s">
        <v>100</v>
      </c>
    </row>
    <row r="33" customFormat="false" ht="12.75" hidden="false" customHeight="false" outlineLevel="0" collapsed="false">
      <c r="E33" s="76" t="s">
        <v>82</v>
      </c>
      <c r="J33" s="74"/>
      <c r="K33" s="74" t="n">
        <f aca="false">+'WE 2-8 EOL Data'!B35</f>
        <v>11</v>
      </c>
      <c r="L33" s="74" t="n">
        <f aca="false">+'WE 2-15 EOL Data'!B35</f>
        <v>29</v>
      </c>
      <c r="M33" s="74" t="n">
        <f aca="false">+'WE 2-22 EOL Data'!B35</f>
        <v>23</v>
      </c>
      <c r="N33" s="74" t="n">
        <f aca="false">+'WE 2-28 EOL Data'!B35</f>
        <v>14</v>
      </c>
      <c r="O33" s="74" t="n">
        <f aca="false">+'WE 3-7 EOL Data'!B35</f>
        <v>15</v>
      </c>
      <c r="P33" s="74" t="n">
        <f aca="false">+'WE 3-14 EOL Data'!B35</f>
        <v>9</v>
      </c>
      <c r="Q33" s="74" t="n">
        <f aca="false">+'WE 3-21 EOL Data'!B35</f>
        <v>12</v>
      </c>
      <c r="R33" s="74" t="n">
        <f aca="false">+'WE 3-28 EOL Data'!B35</f>
        <v>6</v>
      </c>
      <c r="S33" s="74" t="n">
        <f aca="false">+'WE 4-4 EOL Data'!B35</f>
        <v>10</v>
      </c>
      <c r="T33" s="74" t="n">
        <v>0</v>
      </c>
      <c r="V33" s="75"/>
    </row>
    <row r="34" customFormat="false" ht="12.75" hidden="false" customHeight="false" outlineLevel="0" collapsed="false">
      <c r="E34" s="76" t="s">
        <v>83</v>
      </c>
      <c r="J34" s="74"/>
      <c r="K34" s="74" t="n">
        <f aca="false">+'WE 2-8 EOL Data'!B12</f>
        <v>13</v>
      </c>
      <c r="L34" s="74" t="n">
        <f aca="false">+'WE 2-15 EOL Data'!B12</f>
        <v>10</v>
      </c>
      <c r="M34" s="74" t="n">
        <f aca="false">+'WE 2-22 EOL Data'!B12</f>
        <v>1</v>
      </c>
      <c r="N34" s="74" t="n">
        <f aca="false">+'WE 2-28 EOL Data'!B12</f>
        <v>4</v>
      </c>
      <c r="O34" s="74" t="n">
        <f aca="false">+'WE 3-7 EOL Data'!B12</f>
        <v>7</v>
      </c>
      <c r="P34" s="74" t="n">
        <f aca="false">+'WE 3-14 EOL Data'!B12</f>
        <v>2</v>
      </c>
      <c r="Q34" s="74" t="n">
        <f aca="false">+'WE 3-21 EOL Data'!B12</f>
        <v>5</v>
      </c>
      <c r="R34" s="74" t="n">
        <f aca="false">+'WE 3-28 EOL Data'!B12</f>
        <v>1</v>
      </c>
      <c r="S34" s="74" t="n">
        <f aca="false">+'WE 4-4 EOL Data'!B12</f>
        <v>0</v>
      </c>
      <c r="T34" s="74" t="n">
        <v>0</v>
      </c>
      <c r="V34" s="75"/>
    </row>
    <row r="35" customFormat="false" ht="12.75" hidden="false" customHeight="false" outlineLevel="0" collapsed="false">
      <c r="A35" s="71" t="s">
        <v>101</v>
      </c>
      <c r="B35" s="0" t="n">
        <v>65</v>
      </c>
      <c r="E35" s="0" t="s">
        <v>35</v>
      </c>
      <c r="F35" s="0" t="n">
        <f aca="false">+'template from individuals'!B48+'template from individuals'!C48</f>
        <v>2</v>
      </c>
      <c r="G35" s="0" t="n">
        <f aca="false">+'template from individuals'!D48+'template from individuals'!E48</f>
        <v>2</v>
      </c>
      <c r="H35" s="0" t="n">
        <f aca="false">+'template from individuals'!F48+'template from individuals'!G48</f>
        <v>14</v>
      </c>
      <c r="I35" s="35" t="n">
        <f aca="false">+'template from individuals'!H48+'template from individuals'!I48</f>
        <v>13</v>
      </c>
      <c r="J35" s="74" t="n">
        <f aca="false">+'WE 2-1 EOL Data'!B14+'WE 2-1 EOL Data'!B37</f>
        <v>14</v>
      </c>
      <c r="K35" s="74" t="n">
        <f aca="false">+'WE 2-8 EOL Data'!B14+'WE 2-8 EOL Data'!B37</f>
        <v>33</v>
      </c>
      <c r="L35" s="74" t="n">
        <f aca="false">+'WE 2-15 EOL Data'!$B14+'WE 2-15 EOL Data'!$B37</f>
        <v>20</v>
      </c>
      <c r="M35" s="74" t="n">
        <f aca="false">+'WE 2-22 EOL Data'!$B14+'WE 2-22 EOL Data'!$B37</f>
        <v>6</v>
      </c>
      <c r="N35" s="74" t="n">
        <f aca="false">+'WE 2-28 EOL Data'!B14+'WE 2-28 EOL Data'!B37</f>
        <v>3</v>
      </c>
      <c r="O35" s="74" t="n">
        <f aca="false">+'WE 3-7 EOL Data'!B14+'WE 3-7 EOL Data'!B37</f>
        <v>3</v>
      </c>
      <c r="P35" s="74" t="n">
        <f aca="false">+'WE 3-14 EOL Data'!B14+'WE 3-14 EOL Data'!B37</f>
        <v>16</v>
      </c>
      <c r="Q35" s="74" t="n">
        <f aca="false">+Q36+Q37</f>
        <v>16</v>
      </c>
      <c r="R35" s="74" t="n">
        <f aca="false">+R36+R37</f>
        <v>23</v>
      </c>
      <c r="S35" s="74" t="n">
        <f aca="false">+S36+S37</f>
        <v>17</v>
      </c>
      <c r="T35" s="74" t="n">
        <f aca="false">+T36+T37</f>
        <v>0</v>
      </c>
      <c r="V35" s="75" t="s">
        <v>102</v>
      </c>
    </row>
    <row r="36" customFormat="false" ht="12.75" hidden="false" customHeight="false" outlineLevel="0" collapsed="false">
      <c r="E36" s="76" t="s">
        <v>82</v>
      </c>
      <c r="J36" s="74"/>
      <c r="K36" s="74" t="n">
        <f aca="false">+'WE 2-8 EOL Data'!B37</f>
        <v>17</v>
      </c>
      <c r="L36" s="74" t="n">
        <f aca="false">+'WE 2-15 EOL Data'!B37</f>
        <v>12</v>
      </c>
      <c r="M36" s="74" t="n">
        <f aca="false">+'WE 2-22 EOL Data'!B37</f>
        <v>6</v>
      </c>
      <c r="N36" s="74" t="n">
        <f aca="false">+'WE 2-28 EOL Data'!B37</f>
        <v>3</v>
      </c>
      <c r="O36" s="74" t="n">
        <f aca="false">+'WE 3-7 EOL Data'!B37</f>
        <v>3</v>
      </c>
      <c r="P36" s="74" t="n">
        <f aca="false">+'WE 3-14 EOL Data'!B37</f>
        <v>7</v>
      </c>
      <c r="Q36" s="74" t="n">
        <f aca="false">+'WE 3-21 EOL Data'!B37</f>
        <v>14</v>
      </c>
      <c r="R36" s="74" t="n">
        <f aca="false">+'WE 3-28 EOL Data'!B14</f>
        <v>8</v>
      </c>
      <c r="S36" s="74" t="n">
        <f aca="false">+'WE 4-4 EOL Data'!B37</f>
        <v>9</v>
      </c>
      <c r="T36" s="74" t="n">
        <v>0</v>
      </c>
      <c r="V36" s="75"/>
    </row>
    <row r="37" customFormat="false" ht="12.75" hidden="false" customHeight="false" outlineLevel="0" collapsed="false">
      <c r="E37" s="76" t="s">
        <v>83</v>
      </c>
      <c r="J37" s="74"/>
      <c r="K37" s="74" t="n">
        <f aca="false">+'WE 2-8 EOL Data'!B14</f>
        <v>16</v>
      </c>
      <c r="L37" s="74" t="n">
        <f aca="false">+'WE 2-15 EOL Data'!B14</f>
        <v>8</v>
      </c>
      <c r="M37" s="74" t="n">
        <f aca="false">+'WE 2-22 EOL Data'!B14</f>
        <v>0</v>
      </c>
      <c r="N37" s="74" t="n">
        <f aca="false">+'WE 2-28 EOL Data'!B14</f>
        <v>0</v>
      </c>
      <c r="O37" s="74" t="n">
        <f aca="false">+'WE 3-7 EOL Data'!B14</f>
        <v>0</v>
      </c>
      <c r="P37" s="74" t="n">
        <f aca="false">+'WE 3-14 EOL Data'!B14</f>
        <v>9</v>
      </c>
      <c r="Q37" s="74" t="n">
        <f aca="false">+'WE 3-21 EOL Data'!B14</f>
        <v>2</v>
      </c>
      <c r="R37" s="74" t="n">
        <f aca="false">+'WE 3-28 EOL Data'!B37</f>
        <v>15</v>
      </c>
      <c r="S37" s="74" t="n">
        <f aca="false">+'WE 4-4 EOL Data'!B14</f>
        <v>8</v>
      </c>
      <c r="T37" s="74" t="n">
        <v>0</v>
      </c>
      <c r="V37" s="75"/>
    </row>
    <row r="38" customFormat="false" ht="12.75" hidden="false" customHeight="false" outlineLevel="0" collapsed="false">
      <c r="E38" s="0" t="s">
        <v>86</v>
      </c>
      <c r="J38" s="74"/>
      <c r="K38" s="77" t="n">
        <f aca="false">+(K37+K34+K31+K28+K25)/(K35+K32+K29+K26+K23)</f>
        <v>0.493538630739621</v>
      </c>
      <c r="L38" s="77" t="n">
        <f aca="false">+(L37+L34+L31+L28+L25)/(L35+L32+L29+L26+L23)</f>
        <v>0.447383073496659</v>
      </c>
      <c r="M38" s="77" t="n">
        <f aca="false">+(M37+M34+M31+M28+M25)/(M35+M32+M29+M26+M23)</f>
        <v>0.465667166416792</v>
      </c>
      <c r="N38" s="77" t="n">
        <f aca="false">+(N37+N34+N31+N28+N25)/(N35+N32+N29+N26+N23)</f>
        <v>0.43658357771261</v>
      </c>
      <c r="O38" s="77" t="n">
        <f aca="false">+(O37+O34+O31+O28+O25)/(O35+O32+O29+O26+O23)</f>
        <v>0.407374100719425</v>
      </c>
      <c r="P38" s="77" t="n">
        <f aca="false">+(P37+P34+P31+P28+P25)/(P35+P32+P29+P26+P23)</f>
        <v>0.366120218579235</v>
      </c>
      <c r="Q38" s="77" t="n">
        <f aca="false">+(Q37+Q34+Q31+Q28+Q25)/(Q35+Q32+Q29+Q26+Q23)</f>
        <v>0.404405016824717</v>
      </c>
      <c r="R38" s="77" t="n">
        <f aca="false">+(R37+R34+R31+R28+R25)/(R35+R32+R29+R26+R23)</f>
        <v>0.318354245695944</v>
      </c>
      <c r="S38" s="77" t="n">
        <f aca="false">+(S37+S34+S31+S28+S25)/(S35+S32+S29+S26+S23)</f>
        <v>0.319351230425056</v>
      </c>
      <c r="T38" s="77" t="e">
        <f aca="false">+(T37+T34+T31+T28+T25)/(T35+T32+T29+T26+T23)</f>
        <v>#DIV/0!</v>
      </c>
      <c r="V38" s="75"/>
    </row>
    <row r="39" customFormat="false" ht="12.75" hidden="false" customHeight="false" outlineLevel="0" collapsed="false">
      <c r="E39" s="78" t="s">
        <v>23</v>
      </c>
      <c r="J39" s="74"/>
      <c r="K39" s="77"/>
      <c r="L39" s="77"/>
      <c r="M39" s="77"/>
      <c r="N39" s="77"/>
      <c r="O39" s="77"/>
      <c r="P39" s="77"/>
      <c r="Q39" s="77"/>
      <c r="R39" s="77"/>
      <c r="S39" s="77"/>
      <c r="T39" s="77"/>
      <c r="V39" s="75"/>
    </row>
    <row r="40" customFormat="false" ht="12.75" hidden="false" customHeight="false" outlineLevel="0" collapsed="false">
      <c r="E40" s="78" t="s">
        <v>87</v>
      </c>
      <c r="J40" s="74"/>
      <c r="K40" s="79" t="n">
        <f aca="false">+K36+K33+K30+K27+K24</f>
        <v>1842</v>
      </c>
      <c r="L40" s="79" t="n">
        <f aca="false">+L36+L33+L30+L27+L24</f>
        <v>1985</v>
      </c>
      <c r="M40" s="79" t="n">
        <f aca="false">+M36+M33+M30+M27+M24</f>
        <v>1782</v>
      </c>
      <c r="N40" s="79" t="n">
        <f aca="false">+N36+N33+N30+N27+N24</f>
        <v>1537</v>
      </c>
      <c r="O40" s="79" t="n">
        <f aca="false">+O36+O33+O30+O27+O24</f>
        <v>1977</v>
      </c>
      <c r="P40" s="79" t="n">
        <f aca="false">+P36+P33+P30+P27+P24</f>
        <v>2320</v>
      </c>
      <c r="Q40" s="79" t="n">
        <f aca="false">+Q36+Q33+Q30+Q27+Q24</f>
        <v>1947</v>
      </c>
      <c r="R40" s="79" t="n">
        <f aca="false">+R36+R33+R30+R27+R24</f>
        <v>2336</v>
      </c>
      <c r="S40" s="79" t="n">
        <f aca="false">+S36+S33+S30+S27+S24</f>
        <v>2434</v>
      </c>
      <c r="T40" s="79" t="n">
        <f aca="false">+T36+T33+T30+T27+T24</f>
        <v>0</v>
      </c>
      <c r="V40" s="75"/>
    </row>
    <row r="41" customFormat="false" ht="12.75" hidden="false" customHeight="false" outlineLevel="0" collapsed="false">
      <c r="E41" s="78" t="s">
        <v>88</v>
      </c>
      <c r="J41" s="74"/>
      <c r="K41" s="79" t="n">
        <f aca="false">+K37+K34+K31+K28+K25</f>
        <v>1795</v>
      </c>
      <c r="L41" s="79" t="n">
        <f aca="false">+L37+L34+L31+L28+L25</f>
        <v>1607</v>
      </c>
      <c r="M41" s="79" t="n">
        <f aca="false">+M37+M34+M31+M28+M25</f>
        <v>1553</v>
      </c>
      <c r="N41" s="79" t="n">
        <f aca="false">+N37+N34+N31+N28+N25</f>
        <v>1191</v>
      </c>
      <c r="O41" s="79" t="n">
        <f aca="false">+O37+O34+O31+O28+O25</f>
        <v>1359</v>
      </c>
      <c r="P41" s="79" t="n">
        <f aca="false">+P37+P34+P31+P28+P25</f>
        <v>1340</v>
      </c>
      <c r="Q41" s="79" t="n">
        <f aca="false">+Q37+Q34+Q31+Q28+Q25</f>
        <v>1322</v>
      </c>
      <c r="R41" s="79" t="n">
        <f aca="false">+R37+R34+R31+R28+R25</f>
        <v>1091</v>
      </c>
      <c r="S41" s="79" t="n">
        <f aca="false">+S37+S34+S31+S28+S25</f>
        <v>1142</v>
      </c>
      <c r="T41" s="79" t="n">
        <f aca="false">+T37+T34+T31+T28+T25</f>
        <v>0</v>
      </c>
      <c r="V41" s="75"/>
    </row>
    <row r="42" customFormat="false" ht="15" hidden="false" customHeight="false" outlineLevel="0" collapsed="false">
      <c r="A42" s="71" t="s">
        <v>35</v>
      </c>
      <c r="B42" s="0" t="n">
        <v>10</v>
      </c>
      <c r="F42" s="73" t="s">
        <v>65</v>
      </c>
      <c r="G42" s="73" t="s">
        <v>66</v>
      </c>
      <c r="H42" s="73" t="s">
        <v>67</v>
      </c>
      <c r="I42" s="73" t="s">
        <v>68</v>
      </c>
      <c r="J42" s="73" t="s">
        <v>69</v>
      </c>
      <c r="K42" s="73" t="str">
        <f aca="false">+K22</f>
        <v>2/2 - 2/8</v>
      </c>
      <c r="L42" s="73" t="str">
        <f aca="false">+L22</f>
        <v>2/9 - 2/15</v>
      </c>
      <c r="M42" s="73" t="str">
        <f aca="false">+M22</f>
        <v>2/16 - 2/22</v>
      </c>
      <c r="N42" s="73" t="str">
        <f aca="false">+N22</f>
        <v>2/23 - 2/28</v>
      </c>
      <c r="O42" s="73" t="str">
        <f aca="false">+O22</f>
        <v>3/1 - 3/7</v>
      </c>
      <c r="P42" s="73" t="str">
        <f aca="false">+P22</f>
        <v>3/8 - 3/14</v>
      </c>
      <c r="Q42" s="73" t="str">
        <f aca="false">+Q22</f>
        <v>3/15 - 3/21</v>
      </c>
      <c r="R42" s="73" t="str">
        <f aca="false">+R22</f>
        <v>3/22 - 3/28</v>
      </c>
      <c r="S42" s="73" t="str">
        <f aca="false">+S22</f>
        <v>3/29 - 4/4</v>
      </c>
      <c r="T42" s="73" t="str">
        <f aca="false">+T22</f>
        <v>4/5 - 4/11</v>
      </c>
      <c r="V42" s="80"/>
    </row>
    <row r="43" customFormat="false" ht="12.75" hidden="false" customHeight="false" outlineLevel="0" collapsed="false">
      <c r="E43" s="0" t="s">
        <v>103</v>
      </c>
      <c r="F43" s="0" t="n">
        <f aca="false">+'template from individuals'!B56+'template from individuals'!C56</f>
        <v>5</v>
      </c>
      <c r="G43" s="0" t="n">
        <f aca="false">+'template from individuals'!D56+'template from individuals'!E56</f>
        <v>17</v>
      </c>
      <c r="H43" s="0" t="n">
        <f aca="false">+'template from individuals'!F56+'template from individuals'!G56</f>
        <v>9</v>
      </c>
      <c r="I43" s="35" t="n">
        <f aca="false">+'template from individuals'!H56+'template from individuals'!I56</f>
        <v>24</v>
      </c>
      <c r="J43" s="74" t="n">
        <f aca="false">+'EIM New Deals'!J12+'EIM New Deals'!K12+'EIM New Deals'!J28+'EIM New Deals'!K28</f>
        <v>4</v>
      </c>
      <c r="K43" s="74" t="n">
        <f aca="false">+'EIM New Deals'!L12+'EIM New Deals'!M12+'EIM New Deals'!L28+'EIM New Deals'!M28</f>
        <v>12</v>
      </c>
      <c r="L43" s="74" t="n">
        <f aca="false">+'EIM New Deals'!N$12+'EIM New Deals'!O$12+'EIM New Deals'!N$28+'EIM New Deals'!O$28</f>
        <v>30</v>
      </c>
      <c r="M43" s="74" t="n">
        <f aca="false">+'EIM New Deals'!P$12+'EIM New Deals'!Q$12+'EIM New Deals'!P$28+'EIM New Deals'!Q$28</f>
        <v>17</v>
      </c>
      <c r="N43" s="74" t="n">
        <f aca="false">+'EIM New Deals'!S12+'EIM New Deals'!R12+'EIM New Deals'!R28+'EIM New Deals'!S28</f>
        <v>18</v>
      </c>
      <c r="O43" s="74" t="n">
        <f aca="false">+'EIM New Deals'!T12+'EIM New Deals'!U12+'EIM New Deals'!T28+'EIM New Deals'!U28</f>
        <v>20</v>
      </c>
      <c r="P43" s="74" t="n">
        <f aca="false">+'EIM New Deals'!V12+'EIM New Deals'!W12+'EIM New Deals'!V28+'EIM New Deals'!W28</f>
        <v>46</v>
      </c>
      <c r="Q43" s="74" t="n">
        <f aca="false">+Q44+Q45</f>
        <v>25</v>
      </c>
      <c r="R43" s="74" t="n">
        <f aca="false">+R44+R45</f>
        <v>19</v>
      </c>
      <c r="S43" s="74" t="n">
        <f aca="false">+S44+S45</f>
        <v>25</v>
      </c>
      <c r="T43" s="74" t="n">
        <f aca="false">+T44+T45</f>
        <v>0</v>
      </c>
      <c r="V43" s="75" t="s">
        <v>95</v>
      </c>
    </row>
    <row r="44" customFormat="false" ht="12.75" hidden="false" customHeight="false" outlineLevel="0" collapsed="false">
      <c r="E44" s="76" t="s">
        <v>82</v>
      </c>
      <c r="J44" s="74"/>
      <c r="K44" s="74" t="n">
        <f aca="false">+'EIM New Deals'!M12+'EIM New Deals'!M28</f>
        <v>12</v>
      </c>
      <c r="L44" s="74" t="n">
        <f aca="false">+'EIM New Deals'!O12+'EIM New Deals'!O28</f>
        <v>30</v>
      </c>
      <c r="M44" s="74" t="n">
        <f aca="false">+'EIM New Deals'!Q12+'EIM New Deals'!Q28</f>
        <v>17</v>
      </c>
      <c r="N44" s="74" t="n">
        <f aca="false">+'EIM New Deals'!S12+'EIM New Deals'!S28</f>
        <v>18</v>
      </c>
      <c r="O44" s="74" t="n">
        <f aca="false">+'EIM New Deals'!U12+'EIM New Deals'!U28</f>
        <v>20</v>
      </c>
      <c r="P44" s="74" t="n">
        <f aca="false">+'EIM New Deals'!W12+'EIM New Deals'!W28</f>
        <v>44</v>
      </c>
      <c r="Q44" s="74" t="n">
        <f aca="false">+'EIM New Deals'!Y12+'EIM New Deals'!Y28</f>
        <v>24</v>
      </c>
      <c r="R44" s="74" t="n">
        <f aca="false">+'EIM New Deals'!AA12+'EIM New Deals'!AA28</f>
        <v>9</v>
      </c>
      <c r="S44" s="74" t="n">
        <f aca="false">+'EIM New Deals'!AC12+'EIM New Deals'!AC28</f>
        <v>24</v>
      </c>
      <c r="T44" s="74" t="n">
        <v>0</v>
      </c>
      <c r="V44" s="75"/>
    </row>
    <row r="45" customFormat="false" ht="12.75" hidden="false" customHeight="false" outlineLevel="0" collapsed="false">
      <c r="E45" s="76" t="s">
        <v>83</v>
      </c>
      <c r="J45" s="74"/>
      <c r="K45" s="74" t="n">
        <f aca="false">+'EIM New Deals'!L12+'EIM New Deals'!L28</f>
        <v>0</v>
      </c>
      <c r="L45" s="74" t="n">
        <f aca="false">+'EIM New Deals'!N12+'EIM New Deals'!N28</f>
        <v>0</v>
      </c>
      <c r="M45" s="74" t="n">
        <f aca="false">+'EIM New Deals'!P12+'EIM New Deals'!P28</f>
        <v>0</v>
      </c>
      <c r="N45" s="74" t="n">
        <f aca="false">+'EIM New Deals'!R12+'EIM New Deals'!R28</f>
        <v>0</v>
      </c>
      <c r="O45" s="74" t="n">
        <f aca="false">+'EIM New Deals'!T12+'EIM New Deals'!T28</f>
        <v>0</v>
      </c>
      <c r="P45" s="74" t="n">
        <f aca="false">+'EIM New Deals'!V12+'EIM New Deals'!V28</f>
        <v>2</v>
      </c>
      <c r="Q45" s="74" t="n">
        <f aca="false">+'EIM New Deals'!X12+'EIM New Deals'!X28</f>
        <v>1</v>
      </c>
      <c r="R45" s="74" t="n">
        <f aca="false">+'EIM New Deals'!Z12+'EIM New Deals'!Z28</f>
        <v>10</v>
      </c>
      <c r="S45" s="74" t="n">
        <f aca="false">+'EIM New Deals'!AB12+'EIM New Deals'!AB28</f>
        <v>1</v>
      </c>
      <c r="T45" s="74" t="n">
        <v>0</v>
      </c>
      <c r="V45" s="75"/>
    </row>
    <row r="46" customFormat="false" ht="12.75" hidden="false" customHeight="false" outlineLevel="0" collapsed="false">
      <c r="A46" s="71" t="s">
        <v>104</v>
      </c>
      <c r="B46" s="0" t="n">
        <v>0</v>
      </c>
      <c r="E46" s="0" t="s">
        <v>36</v>
      </c>
      <c r="F46" s="0" t="n">
        <f aca="false">+'template from individuals'!B57+'template from individuals'!C57</f>
        <v>6</v>
      </c>
      <c r="G46" s="0" t="n">
        <f aca="false">+'template from individuals'!D57+'template from individuals'!E57</f>
        <v>17</v>
      </c>
      <c r="H46" s="0" t="n">
        <f aca="false">+'template from individuals'!F57+'template from individuals'!G57</f>
        <v>24</v>
      </c>
      <c r="I46" s="35" t="n">
        <f aca="false">+'template from individuals'!H57+'template from individuals'!I57</f>
        <v>19</v>
      </c>
      <c r="J46" s="74" t="n">
        <f aca="false">+'EIM New Deals'!J13+'EIM New Deals'!K13+'EIM New Deals'!J29+'EIM New Deals'!K29</f>
        <v>29</v>
      </c>
      <c r="K46" s="74" t="n">
        <f aca="false">+'EIM New Deals'!L13+'EIM New Deals'!M13+'EIM New Deals'!L29+'EIM New Deals'!M29</f>
        <v>17</v>
      </c>
      <c r="L46" s="74" t="n">
        <f aca="false">+'EIM New Deals'!$N13+'EIM New Deals'!$O13+'EIM New Deals'!$N29+'EIM New Deals'!$O29</f>
        <v>15</v>
      </c>
      <c r="M46" s="74" t="n">
        <f aca="false">+'EIM New Deals'!P13+'EIM New Deals'!Q13+'EIM New Deals'!P29+'EIM New Deals'!Q29</f>
        <v>23</v>
      </c>
      <c r="N46" s="74" t="n">
        <f aca="false">+'EIM New Deals'!R13+'EIM New Deals'!S13+'EIM New Deals'!R29+'EIM New Deals'!S29</f>
        <v>57</v>
      </c>
      <c r="O46" s="74" t="n">
        <f aca="false">+'EIM New Deals'!T13+'EIM New Deals'!U13+'EIM New Deals'!T29+'EIM New Deals'!U29</f>
        <v>32</v>
      </c>
      <c r="P46" s="74" t="n">
        <f aca="false">+'EIM New Deals'!V13+'EIM New Deals'!W13+'EIM New Deals'!V29+'EIM New Deals'!W29</f>
        <v>26</v>
      </c>
      <c r="Q46" s="74" t="n">
        <f aca="false">+Q47+Q48</f>
        <v>40</v>
      </c>
      <c r="R46" s="74" t="n">
        <f aca="false">+R47+R48</f>
        <v>32</v>
      </c>
      <c r="S46" s="74" t="n">
        <f aca="false">+S47+S48</f>
        <v>30</v>
      </c>
      <c r="T46" s="74" t="n">
        <f aca="false">+T47+T48</f>
        <v>0</v>
      </c>
      <c r="V46" s="75" t="s">
        <v>95</v>
      </c>
    </row>
    <row r="47" customFormat="false" ht="12.75" hidden="false" customHeight="false" outlineLevel="0" collapsed="false">
      <c r="E47" s="76" t="s">
        <v>82</v>
      </c>
      <c r="J47" s="74"/>
      <c r="K47" s="74" t="n">
        <f aca="false">+'EIM New Deals'!M13+'EIM New Deals'!M29</f>
        <v>13</v>
      </c>
      <c r="L47" s="74" t="n">
        <f aca="false">+'EIM New Deals'!O13+'EIM New Deals'!O29</f>
        <v>12</v>
      </c>
      <c r="M47" s="74" t="n">
        <f aca="false">+'EIM New Deals'!Q13+'EIM New Deals'!Q29</f>
        <v>20</v>
      </c>
      <c r="N47" s="74" t="n">
        <f aca="false">+'EIM New Deals'!S13+'EIM New Deals'!S29</f>
        <v>52</v>
      </c>
      <c r="O47" s="74" t="n">
        <f aca="false">+'EIM New Deals'!U13+'EIM New Deals'!U29</f>
        <v>28</v>
      </c>
      <c r="P47" s="74" t="n">
        <f aca="false">+'EIM New Deals'!W13+'EIM New Deals'!W29</f>
        <v>17</v>
      </c>
      <c r="Q47" s="74" t="n">
        <f aca="false">+'EIM New Deals'!Y13+'EIM New Deals'!Y29</f>
        <v>38</v>
      </c>
      <c r="R47" s="74" t="n">
        <f aca="false">+'EIM New Deals'!AA13+'EIM New Deals'!AA29</f>
        <v>30</v>
      </c>
      <c r="S47" s="74" t="n">
        <f aca="false">+'EIM New Deals'!AC13+'EIM New Deals'!AC29</f>
        <v>27</v>
      </c>
      <c r="T47" s="74" t="n">
        <v>0</v>
      </c>
      <c r="V47" s="75"/>
    </row>
    <row r="48" customFormat="false" ht="12.75" hidden="false" customHeight="false" outlineLevel="0" collapsed="false">
      <c r="E48" s="76" t="s">
        <v>83</v>
      </c>
      <c r="J48" s="74"/>
      <c r="K48" s="74" t="n">
        <f aca="false">+'EIM New Deals'!L13+'EIM New Deals'!L29</f>
        <v>4</v>
      </c>
      <c r="L48" s="74" t="n">
        <f aca="false">+'EIM New Deals'!N13+'EIM New Deals'!N29</f>
        <v>3</v>
      </c>
      <c r="M48" s="74" t="n">
        <f aca="false">+'EIM New Deals'!P13+'EIM New Deals'!P29</f>
        <v>3</v>
      </c>
      <c r="N48" s="74" t="n">
        <f aca="false">+'EIM New Deals'!R13+'EIM New Deals'!R29</f>
        <v>5</v>
      </c>
      <c r="O48" s="74" t="n">
        <f aca="false">+'EIM New Deals'!T13+'EIM New Deals'!T29</f>
        <v>4</v>
      </c>
      <c r="P48" s="74" t="n">
        <f aca="false">+'EIM New Deals'!V13+'EIM New Deals'!V29</f>
        <v>9</v>
      </c>
      <c r="Q48" s="74" t="n">
        <f aca="false">+'EIM New Deals'!X13+'EIM New Deals'!X29</f>
        <v>2</v>
      </c>
      <c r="R48" s="74" t="n">
        <f aca="false">+'EIM New Deals'!Z13+'EIM New Deals'!Z29</f>
        <v>2</v>
      </c>
      <c r="S48" s="74" t="n">
        <f aca="false">+'EIM New Deals'!AB13+'EIM New Deals'!AB29</f>
        <v>3</v>
      </c>
      <c r="T48" s="74" t="n">
        <v>0</v>
      </c>
      <c r="V48" s="75"/>
    </row>
    <row r="49" customFormat="false" ht="12.75" hidden="false" customHeight="false" outlineLevel="0" collapsed="false">
      <c r="A49" s="71" t="s">
        <v>105</v>
      </c>
      <c r="B49" s="0" t="n">
        <v>0</v>
      </c>
      <c r="E49" s="0" t="s">
        <v>39</v>
      </c>
      <c r="F49" s="0" t="n">
        <f aca="false">+'template from individuals'!B55+'template from individuals'!C55</f>
        <v>86</v>
      </c>
      <c r="G49" s="0" t="n">
        <f aca="false">+'template from individuals'!D55+'template from individuals'!E55</f>
        <v>126</v>
      </c>
      <c r="H49" s="0" t="n">
        <f aca="false">+'template from individuals'!F55+'template from individuals'!G55</f>
        <v>103</v>
      </c>
      <c r="I49" s="35" t="n">
        <f aca="false">+'template from individuals'!H55+'template from individuals'!I55</f>
        <v>124</v>
      </c>
      <c r="J49" s="74" t="n">
        <f aca="false">+'EIM New Deals'!J11+'EIM New Deals'!K11+'EIM New Deals'!J27+'EIM New Deals'!K27</f>
        <v>86</v>
      </c>
      <c r="K49" s="74" t="n">
        <f aca="false">+'EIM New Deals'!L11+'EIM New Deals'!M11+'EIM New Deals'!L27+'EIM New Deals'!M27</f>
        <v>69</v>
      </c>
      <c r="L49" s="74" t="n">
        <f aca="false">+'EIM New Deals'!$N11+'EIM New Deals'!$O11+'EIM New Deals'!$N27+'EIM New Deals'!$O27</f>
        <v>38</v>
      </c>
      <c r="M49" s="74" t="n">
        <f aca="false">+'EIM New Deals'!P11+'EIM New Deals'!Q11+'EIM New Deals'!P27+'EIM New Deals'!Q27</f>
        <v>41</v>
      </c>
      <c r="N49" s="74" t="n">
        <f aca="false">+'EIM New Deals'!R11+'EIM New Deals'!S11+'EIM New Deals'!R27+'EIM New Deals'!S27</f>
        <v>69</v>
      </c>
      <c r="O49" s="74" t="n">
        <f aca="false">+'EIM New Deals'!T11+'EIM New Deals'!U11+'EIM New Deals'!T27+'EIM New Deals'!U27</f>
        <v>84</v>
      </c>
      <c r="P49" s="74" t="n">
        <f aca="false">+'EIM New Deals'!V11+'EIM New Deals'!W11+'EIM New Deals'!V27+'EIM New Deals'!W27</f>
        <v>80</v>
      </c>
      <c r="Q49" s="74" t="n">
        <f aca="false">+Q50+Q51</f>
        <v>94</v>
      </c>
      <c r="R49" s="74" t="n">
        <f aca="false">+R50+R51</f>
        <v>123</v>
      </c>
      <c r="S49" s="74" t="n">
        <f aca="false">+S50+S51</f>
        <v>145</v>
      </c>
      <c r="T49" s="74" t="n">
        <f aca="false">+T50+T51</f>
        <v>0</v>
      </c>
      <c r="V49" s="75" t="s">
        <v>95</v>
      </c>
    </row>
    <row r="50" customFormat="false" ht="12.75" hidden="false" customHeight="false" outlineLevel="0" collapsed="false">
      <c r="E50" s="76" t="s">
        <v>82</v>
      </c>
      <c r="J50" s="74"/>
      <c r="K50" s="74" t="n">
        <f aca="false">+'EIM New Deals'!M11+'EIM New Deals'!M27</f>
        <v>62</v>
      </c>
      <c r="L50" s="74" t="n">
        <f aca="false">+'EIM New Deals'!O11+'EIM New Deals'!O27</f>
        <v>34</v>
      </c>
      <c r="M50" s="74" t="n">
        <f aca="false">+'EIM New Deals'!Q11+'EIM New Deals'!Q27</f>
        <v>39</v>
      </c>
      <c r="N50" s="74" t="n">
        <f aca="false">+'EIM New Deals'!S11+'EIM New Deals'!S27</f>
        <v>64</v>
      </c>
      <c r="O50" s="74" t="n">
        <f aca="false">+'EIM New Deals'!U11+'EIM New Deals'!U27</f>
        <v>77</v>
      </c>
      <c r="P50" s="74" t="n">
        <f aca="false">+'EIM New Deals'!W11+'EIM New Deals'!W27</f>
        <v>73</v>
      </c>
      <c r="Q50" s="74" t="n">
        <f aca="false">+'EIM New Deals'!Y11+'EIM New Deals'!Y27</f>
        <v>89</v>
      </c>
      <c r="R50" s="74" t="n">
        <f aca="false">+'EIM New Deals'!AA11+'EIM New Deals'!AA27</f>
        <v>114</v>
      </c>
      <c r="S50" s="74" t="n">
        <f aca="false">+'EIM New Deals'!AC11+'EIM New Deals'!AC27</f>
        <v>142</v>
      </c>
      <c r="T50" s="74" t="n">
        <v>0</v>
      </c>
      <c r="V50" s="75"/>
    </row>
    <row r="51" customFormat="false" ht="12.75" hidden="false" customHeight="false" outlineLevel="0" collapsed="false">
      <c r="E51" s="76" t="s">
        <v>83</v>
      </c>
      <c r="J51" s="74"/>
      <c r="K51" s="74" t="n">
        <f aca="false">+'EIM New Deals'!L11+'EIM New Deals'!L27</f>
        <v>7</v>
      </c>
      <c r="L51" s="74" t="n">
        <f aca="false">+'EIM New Deals'!N11+'EIM New Deals'!N27</f>
        <v>4</v>
      </c>
      <c r="M51" s="74" t="n">
        <f aca="false">+'EIM New Deals'!P11+'EIM New Deals'!P27</f>
        <v>2</v>
      </c>
      <c r="N51" s="74" t="n">
        <f aca="false">+'EIM New Deals'!R11+'EIM New Deals'!R27</f>
        <v>5</v>
      </c>
      <c r="O51" s="74" t="n">
        <f aca="false">+'EIM New Deals'!T11+'EIM New Deals'!T27</f>
        <v>7</v>
      </c>
      <c r="P51" s="74" t="n">
        <f aca="false">+'EIM New Deals'!V11+'EIM New Deals'!V27</f>
        <v>7</v>
      </c>
      <c r="Q51" s="74" t="n">
        <f aca="false">+'EIM New Deals'!X11+'EIM New Deals'!X27</f>
        <v>5</v>
      </c>
      <c r="R51" s="74" t="n">
        <f aca="false">+'EIM New Deals'!Z11+'EIM New Deals'!Z27</f>
        <v>9</v>
      </c>
      <c r="S51" s="74" t="n">
        <f aca="false">+'EIM New Deals'!AB11+'EIM New Deals'!AB27</f>
        <v>3</v>
      </c>
      <c r="T51" s="74" t="n">
        <v>0</v>
      </c>
      <c r="V51" s="75"/>
    </row>
    <row r="52" customFormat="false" ht="12.75" hidden="false" customHeight="false" outlineLevel="0" collapsed="false">
      <c r="A52" s="71" t="s">
        <v>106</v>
      </c>
      <c r="B52" s="0" t="n">
        <v>0</v>
      </c>
      <c r="E52" s="0" t="s">
        <v>42</v>
      </c>
      <c r="F52" s="0" t="n">
        <f aca="false">+'template from individuals'!B58+'template from individuals'!C58</f>
        <v>0</v>
      </c>
      <c r="G52" s="0" t="n">
        <v>0</v>
      </c>
      <c r="H52" s="0" t="n">
        <v>0</v>
      </c>
      <c r="I52" s="35" t="n">
        <v>0</v>
      </c>
      <c r="J52" s="74" t="n">
        <f aca="false">+'EIM New Deals'!J14+'EIM New Deals'!K14+'EIM New Deals'!J30+'EIM New Deals'!K30</f>
        <v>1</v>
      </c>
      <c r="K52" s="74" t="n">
        <f aca="false">+'EIM New Deals'!L14+'EIM New Deals'!M14+'EIM New Deals'!L30+'EIM New Deals'!M30</f>
        <v>1</v>
      </c>
      <c r="L52" s="74" t="n">
        <f aca="false">+'EIM New Deals'!$N14+'EIM New Deals'!$O14+'EIM New Deals'!$N30+'EIM New Deals'!$O30</f>
        <v>2</v>
      </c>
      <c r="M52" s="74" t="n">
        <f aca="false">+'EIM New Deals'!P14+'EIM New Deals'!Q14+'EIM New Deals'!P30+'EIM New Deals'!Q30</f>
        <v>0</v>
      </c>
      <c r="N52" s="74" t="n">
        <f aca="false">+'EIM New Deals'!R14+'EIM New Deals'!S14+'EIM New Deals'!R30+'EIM New Deals'!S30</f>
        <v>1</v>
      </c>
      <c r="O52" s="74" t="n">
        <f aca="false">+'EIM New Deals'!T14+'EIM New Deals'!U14+'EIM New Deals'!T30+'EIM New Deals'!U30</f>
        <v>0</v>
      </c>
      <c r="P52" s="74" t="n">
        <f aca="false">+'EIM New Deals'!V14+'EIM New Deals'!W14+'EIM New Deals'!V30+'EIM New Deals'!W30</f>
        <v>0</v>
      </c>
      <c r="Q52" s="74" t="n">
        <f aca="false">+Q53+Q54</f>
        <v>2</v>
      </c>
      <c r="R52" s="74" t="n">
        <f aca="false">+R53+R54</f>
        <v>7</v>
      </c>
      <c r="S52" s="74" t="n">
        <f aca="false">+S53+S54</f>
        <v>1</v>
      </c>
      <c r="T52" s="74" t="n">
        <f aca="false">+T53+T54</f>
        <v>0</v>
      </c>
      <c r="V52" s="75" t="s">
        <v>95</v>
      </c>
    </row>
    <row r="53" customFormat="false" ht="12.75" hidden="false" customHeight="false" outlineLevel="0" collapsed="false">
      <c r="E53" s="76" t="s">
        <v>82</v>
      </c>
      <c r="J53" s="74"/>
      <c r="K53" s="74" t="n">
        <f aca="false">+'EIM New Deals'!M14+'EIM New Deals'!M30</f>
        <v>1</v>
      </c>
      <c r="L53" s="74" t="n">
        <f aca="false">+'EIM New Deals'!O14+'EIM New Deals'!O30</f>
        <v>2</v>
      </c>
      <c r="M53" s="74" t="n">
        <f aca="false">+'EIM New Deals'!Q14+'EIM New Deals'!Q30</f>
        <v>0</v>
      </c>
      <c r="N53" s="74" t="n">
        <f aca="false">+'EIM New Deals'!S14+'EIM New Deals'!S30</f>
        <v>1</v>
      </c>
      <c r="O53" s="74" t="n">
        <f aca="false">+'EIM New Deals'!U14+'EIM New Deals'!U30</f>
        <v>0</v>
      </c>
      <c r="P53" s="74" t="n">
        <f aca="false">+'EIM New Deals'!W14+'EIM New Deals'!W30</f>
        <v>0</v>
      </c>
      <c r="Q53" s="74" t="n">
        <f aca="false">+'EIM New Deals'!Y14+'EIM New Deals'!Y30</f>
        <v>2</v>
      </c>
      <c r="R53" s="74" t="n">
        <f aca="false">+'EIM New Deals'!AA14+'EIM New Deals'!AA30</f>
        <v>7</v>
      </c>
      <c r="S53" s="74" t="n">
        <f aca="false">+'EIM New Deals'!AC14+'EIM New Deals'!AC30</f>
        <v>1</v>
      </c>
      <c r="T53" s="74" t="n">
        <v>0</v>
      </c>
      <c r="V53" s="75"/>
    </row>
    <row r="54" customFormat="false" ht="12.75" hidden="false" customHeight="false" outlineLevel="0" collapsed="false">
      <c r="E54" s="76" t="s">
        <v>83</v>
      </c>
      <c r="J54" s="74"/>
      <c r="K54" s="74" t="n">
        <f aca="false">+'EIM New Deals'!L14+'EIM New Deals'!L30</f>
        <v>0</v>
      </c>
      <c r="L54" s="74" t="n">
        <f aca="false">+'EIM New Deals'!N14+'EIM New Deals'!N30</f>
        <v>0</v>
      </c>
      <c r="M54" s="74" t="n">
        <f aca="false">+'EIM New Deals'!P14+'EIM New Deals'!P30</f>
        <v>0</v>
      </c>
      <c r="N54" s="74" t="n">
        <f aca="false">+'EIM New Deals'!R14+'EIM New Deals'!R30</f>
        <v>0</v>
      </c>
      <c r="O54" s="74" t="n">
        <f aca="false">+'EIM New Deals'!T14+'EIM New Deals'!T30</f>
        <v>0</v>
      </c>
      <c r="P54" s="74" t="n">
        <f aca="false">+'EIM New Deals'!V14+'EIM New Deals'!V30</f>
        <v>0</v>
      </c>
      <c r="Q54" s="74" t="n">
        <f aca="false">+'EIM New Deals'!X14+'EIM New Deals'!X30</f>
        <v>0</v>
      </c>
      <c r="R54" s="74" t="n">
        <f aca="false">+'EIM New Deals'!Z14+'EIM New Deals'!Z30</f>
        <v>0</v>
      </c>
      <c r="S54" s="74" t="n">
        <f aca="false">+'EIM New Deals'!AB14+'EIM New Deals'!AB30</f>
        <v>0</v>
      </c>
      <c r="T54" s="74" t="n">
        <v>0</v>
      </c>
      <c r="V54" s="75"/>
    </row>
    <row r="55" customFormat="false" ht="12.75" hidden="false" customHeight="false" outlineLevel="0" collapsed="false">
      <c r="E55" s="0" t="s">
        <v>86</v>
      </c>
      <c r="J55" s="74"/>
      <c r="K55" s="77" t="n">
        <f aca="false">(K54+K51+K48+K45)/(K52+K49+K46+K43)</f>
        <v>0.111111111111111</v>
      </c>
      <c r="L55" s="77" t="n">
        <f aca="false">(L54+L51+L48+L45)/(L52+L49+L46+L43)</f>
        <v>0.0823529411764706</v>
      </c>
      <c r="M55" s="77" t="n">
        <f aca="false">(M54+M51+M48+M45)/(M52+M49+M46+M43)</f>
        <v>0.0617283950617284</v>
      </c>
      <c r="N55" s="77" t="n">
        <f aca="false">(N54+N51+N48+N45)/(N52+N49+N46+N43)</f>
        <v>0.0689655172413793</v>
      </c>
      <c r="O55" s="77" t="n">
        <f aca="false">(O54+O51+O48+O45)/(O52+O49+O46+O43)</f>
        <v>0.0808823529411765</v>
      </c>
      <c r="P55" s="77" t="n">
        <f aca="false">(P54+P51+P48+P45)/(P52+P49+P46+P43)</f>
        <v>0.118421052631579</v>
      </c>
      <c r="Q55" s="77" t="n">
        <f aca="false">(Q54+Q51+Q48+Q45)/(Q52+Q49+Q46+Q43)</f>
        <v>0.0496894409937888</v>
      </c>
      <c r="R55" s="77" t="n">
        <f aca="false">(R54+R51+R48+R45)/(R52+R49+R46+R43)</f>
        <v>0.116022099447514</v>
      </c>
      <c r="S55" s="77" t="n">
        <f aca="false">(S54+S51+S48+S45)/(S52+S49+S46+S43)</f>
        <v>0.0348258706467662</v>
      </c>
      <c r="T55" s="77" t="e">
        <f aca="false">(T54+T51+T48+T45)/(T52+T49+T46+T43)</f>
        <v>#DIV/0!</v>
      </c>
      <c r="V55" s="75"/>
    </row>
    <row r="56" customFormat="false" ht="12.75" hidden="false" customHeight="false" outlineLevel="0" collapsed="false">
      <c r="E56" s="78" t="s">
        <v>41</v>
      </c>
      <c r="J56" s="74"/>
      <c r="K56" s="77"/>
      <c r="L56" s="77"/>
      <c r="M56" s="77"/>
      <c r="N56" s="77"/>
      <c r="O56" s="77"/>
      <c r="P56" s="77"/>
      <c r="Q56" s="77"/>
      <c r="R56" s="77"/>
      <c r="S56" s="77"/>
      <c r="T56" s="77"/>
      <c r="V56" s="75"/>
    </row>
    <row r="57" customFormat="false" ht="12.75" hidden="false" customHeight="false" outlineLevel="0" collapsed="false">
      <c r="E57" s="78" t="s">
        <v>87</v>
      </c>
      <c r="J57" s="74"/>
      <c r="K57" s="79" t="n">
        <f aca="false">+K44+K47+K50+K53</f>
        <v>88</v>
      </c>
      <c r="L57" s="79" t="n">
        <f aca="false">+L44+L47+L50+L53</f>
        <v>78</v>
      </c>
      <c r="M57" s="79" t="n">
        <f aca="false">+M44+M47+M50+M53</f>
        <v>76</v>
      </c>
      <c r="N57" s="79" t="n">
        <f aca="false">+N44+N47+N50+N53</f>
        <v>135</v>
      </c>
      <c r="O57" s="79" t="n">
        <f aca="false">+O44+O47+O50+O53</f>
        <v>125</v>
      </c>
      <c r="P57" s="79" t="n">
        <f aca="false">+P44+P47+P50+P53</f>
        <v>134</v>
      </c>
      <c r="Q57" s="79" t="n">
        <f aca="false">+Q44+Q47+Q50+Q53</f>
        <v>153</v>
      </c>
      <c r="R57" s="79" t="n">
        <f aca="false">+R44+R47+R50+R53</f>
        <v>160</v>
      </c>
      <c r="S57" s="79" t="n">
        <f aca="false">+S44+S47+S50+S53</f>
        <v>194</v>
      </c>
      <c r="T57" s="79" t="n">
        <f aca="false">+T44+T47+T50+T53</f>
        <v>0</v>
      </c>
      <c r="V57" s="75"/>
    </row>
    <row r="58" customFormat="false" ht="12.75" hidden="false" customHeight="false" outlineLevel="0" collapsed="false">
      <c r="E58" s="78" t="s">
        <v>88</v>
      </c>
      <c r="J58" s="74"/>
      <c r="K58" s="79" t="n">
        <f aca="false">+K45+K48+K51+K54</f>
        <v>11</v>
      </c>
      <c r="L58" s="79" t="n">
        <f aca="false">+L45+L48+L51+L54</f>
        <v>7</v>
      </c>
      <c r="M58" s="79" t="n">
        <f aca="false">+M45+M48+M51+M54</f>
        <v>5</v>
      </c>
      <c r="N58" s="79" t="n">
        <f aca="false">+N45+N48+N51+N54</f>
        <v>10</v>
      </c>
      <c r="O58" s="79" t="n">
        <f aca="false">+O45+O48+O51+O54</f>
        <v>11</v>
      </c>
      <c r="P58" s="79" t="n">
        <f aca="false">+P45+P48+P51+P54</f>
        <v>18</v>
      </c>
      <c r="Q58" s="79" t="n">
        <f aca="false">+Q45+Q48+Q51+Q54</f>
        <v>8</v>
      </c>
      <c r="R58" s="79" t="n">
        <f aca="false">+R45+R48+R51+R54</f>
        <v>21</v>
      </c>
      <c r="S58" s="79" t="n">
        <f aca="false">+S45+S48+S51+S54</f>
        <v>7</v>
      </c>
      <c r="T58" s="79" t="n">
        <f aca="false">+T45+T48+T51+T54</f>
        <v>0</v>
      </c>
      <c r="V58" s="75"/>
    </row>
    <row r="59" customFormat="false" ht="12.75" hidden="false" customHeight="false" outlineLevel="0" collapsed="false">
      <c r="A59" s="71" t="s">
        <v>107</v>
      </c>
      <c r="B59" s="0" t="n">
        <v>1</v>
      </c>
      <c r="V59" s="80"/>
    </row>
    <row r="60" customFormat="false" ht="12.75" hidden="false" customHeight="false" outlineLevel="0" collapsed="false">
      <c r="A60" s="71" t="s">
        <v>14</v>
      </c>
      <c r="B60" s="0" t="n">
        <v>1300</v>
      </c>
      <c r="E60" s="72" t="s">
        <v>108</v>
      </c>
      <c r="V60" s="80"/>
    </row>
    <row r="61" customFormat="false" ht="15" hidden="false" customHeight="false" outlineLevel="0" collapsed="false">
      <c r="A61" s="71" t="s">
        <v>17</v>
      </c>
      <c r="B61" s="0" t="n">
        <v>250</v>
      </c>
      <c r="F61" s="73" t="s">
        <v>65</v>
      </c>
      <c r="G61" s="73" t="s">
        <v>66</v>
      </c>
      <c r="H61" s="73" t="s">
        <v>67</v>
      </c>
      <c r="I61" s="73" t="s">
        <v>68</v>
      </c>
      <c r="J61" s="73" t="s">
        <v>69</v>
      </c>
      <c r="K61" s="73" t="str">
        <f aca="false">+K42</f>
        <v>2/2 - 2/8</v>
      </c>
      <c r="L61" s="73" t="str">
        <f aca="false">+L42</f>
        <v>2/9 - 2/15</v>
      </c>
      <c r="M61" s="73" t="str">
        <f aca="false">+M42</f>
        <v>2/16 - 2/22</v>
      </c>
      <c r="N61" s="73" t="str">
        <f aca="false">+N42</f>
        <v>2/23 - 2/28</v>
      </c>
      <c r="O61" s="73" t="str">
        <f aca="false">+O42</f>
        <v>3/1 - 3/7</v>
      </c>
      <c r="P61" s="73" t="str">
        <f aca="false">+P42</f>
        <v>3/8 - 3/14</v>
      </c>
      <c r="Q61" s="73" t="str">
        <f aca="false">+Q42</f>
        <v>3/15 - 3/21</v>
      </c>
      <c r="R61" s="73" t="str">
        <f aca="false">+R42</f>
        <v>3/22 - 3/28</v>
      </c>
      <c r="S61" s="73" t="str">
        <f aca="false">+S42</f>
        <v>3/29 - 4/4</v>
      </c>
      <c r="T61" s="73" t="str">
        <f aca="false">+T42</f>
        <v>4/5 - 4/11</v>
      </c>
    </row>
    <row r="62" customFormat="false" ht="12.75" hidden="false" customHeight="false" outlineLevel="0" collapsed="false">
      <c r="A62" s="71" t="s">
        <v>109</v>
      </c>
      <c r="B62" s="0" t="n">
        <v>50</v>
      </c>
      <c r="E62" s="81" t="s">
        <v>110</v>
      </c>
      <c r="F62" s="68" t="n">
        <f aca="false">1758331589/1000000</f>
        <v>1758.331589</v>
      </c>
      <c r="G62" s="68" t="n">
        <f aca="false">3201106470/1000000</f>
        <v>3201.10647</v>
      </c>
      <c r="H62" s="35" t="n">
        <f aca="false">1942345461/1000000</f>
        <v>1942.345461</v>
      </c>
      <c r="I62" s="35" t="n">
        <f aca="false">4952206066/1000000</f>
        <v>4952.206066</v>
      </c>
      <c r="J62" s="82" t="n">
        <f aca="false">(+'WE 2-1 EOL Data'!C6+'WE 2-1 EOL Data'!C29)/1000000</f>
        <v>4273.27122</v>
      </c>
      <c r="K62" s="82" t="n">
        <f aca="false">(+'WE 2-8 EOL Data'!C6+'WE 2-8 EOL Data'!C29)/1000000</f>
        <v>3586.17836464</v>
      </c>
      <c r="L62" s="82" t="n">
        <f aca="false">(+'WE 2-15 EOL Data'!$C6+'WE 2-15 EOL Data'!$C29)/1000000</f>
        <v>4250.73800221</v>
      </c>
      <c r="M62" s="82" t="n">
        <f aca="false">(+'WE 2-22 EOL Data'!$C6+'WE 2-22 EOL Data'!$C29)/1000000</f>
        <v>2865.687651</v>
      </c>
      <c r="N62" s="82" t="n">
        <f aca="false">(+'WE 2-28 EOL Data'!C6+'WE 2-28 EOL Data'!C29)/1000000</f>
        <v>3382.07865119</v>
      </c>
      <c r="O62" s="82" t="n">
        <f aca="false">(+'WE 3-7 EOL Data'!C6+'WE 3-7 EOL Data'!C29)/1000000</f>
        <v>4310.06590286</v>
      </c>
      <c r="P62" s="82" t="n">
        <f aca="false">(+'WE 3-14 EOL Data'!C6+'WE 3-14 EOL Data'!C29)/1000000</f>
        <v>3630.70079056</v>
      </c>
      <c r="Q62" s="82" t="n">
        <f aca="false">(+'WE 3-21 EOL Data'!C6+'WE 3-21 EOL Data'!C29)/1000000</f>
        <v>3471.97347516</v>
      </c>
      <c r="R62" s="82" t="n">
        <f aca="false">(+'WE 3-28 EOL Data'!C6+'WE 3-28 EOL Data'!C29)/1000000</f>
        <v>4935.35787992</v>
      </c>
      <c r="S62" s="82" t="n">
        <f aca="false">(+'WE 4-4 EOL Data'!C6+'WE 4-4 EOL Data'!C29)/1000000</f>
        <v>4600.91699527</v>
      </c>
      <c r="T62" s="82" t="n">
        <f aca="false">(+'WE 3-21 EOL Data'!F6+'WE 3-21 EOL Data'!F29)/1000000</f>
        <v>0</v>
      </c>
    </row>
    <row r="63" customFormat="false" ht="13.5" hidden="false" customHeight="true" outlineLevel="0" collapsed="false">
      <c r="A63" s="71" t="s">
        <v>39</v>
      </c>
      <c r="B63" s="0" t="n">
        <v>0</v>
      </c>
      <c r="E63" s="81" t="s">
        <v>111</v>
      </c>
      <c r="F63" s="68" t="n">
        <f aca="false">16046241/1000000</f>
        <v>16.046241</v>
      </c>
      <c r="G63" s="68" t="n">
        <f aca="false">52662791/1000000</f>
        <v>52.662791</v>
      </c>
      <c r="H63" s="35" t="n">
        <f aca="false">48150655/1000000</f>
        <v>48.150655</v>
      </c>
      <c r="I63" s="35" t="n">
        <f aca="false">37589241/1000000</f>
        <v>37.589241</v>
      </c>
      <c r="J63" s="82" t="n">
        <f aca="false">(+'WE 2-1 EOL Data'!C7+'WE 2-1 EOL Data'!C30)/1000000</f>
        <v>53.945233</v>
      </c>
      <c r="K63" s="82" t="n">
        <f aca="false">(+'WE 2-8 EOL Data'!C7+'WE 2-8 EOL Data'!C30)/1000000</f>
        <v>51.39996514</v>
      </c>
      <c r="L63" s="82" t="n">
        <f aca="false">(+'WE 2-15 EOL Data'!$C7+'WE 2-15 EOL Data'!$C30)/1000000</f>
        <v>49.09131919</v>
      </c>
      <c r="M63" s="82" t="n">
        <f aca="false">(+'WE 2-22 EOL Data'!$C7+'WE 2-22 EOL Data'!$C30)/1000000</f>
        <v>37.99049</v>
      </c>
      <c r="N63" s="82" t="n">
        <f aca="false">(+'WE 2-28 EOL Data'!C7+'WE 2-28 EOL Data'!C30)/1000000</f>
        <v>43.64763638</v>
      </c>
      <c r="O63" s="82" t="n">
        <f aca="false">(+'WE 3-7 EOL Data'!C7+'WE 3-7 EOL Data'!C30)/1000000</f>
        <v>49.60126031</v>
      </c>
      <c r="P63" s="82" t="n">
        <f aca="false">(+'WE 3-14 EOL Data'!C7+'WE 3-14 EOL Data'!C30)/1000000</f>
        <v>52.89541797</v>
      </c>
      <c r="Q63" s="82" t="n">
        <f aca="false">(+'WE 3-21 EOL Data'!C7+'WE 3-21 EOL Data'!C30)/1000000</f>
        <v>49.57737548</v>
      </c>
      <c r="R63" s="82" t="n">
        <f aca="false">(+'WE 3-28 EOL Data'!C7+'WE 3-28 EOL Data'!C30)/1000000</f>
        <v>47.20059154</v>
      </c>
      <c r="S63" s="82" t="n">
        <f aca="false">(+'WE 4-4 EOL Data'!C7+'WE 4-4 EOL Data'!C30)/1000000</f>
        <v>51.5222653</v>
      </c>
      <c r="T63" s="82" t="n">
        <f aca="false">(+'WE 3-21 EOL Data'!F7+'WE 3-21 EOL Data'!F30)/1000000</f>
        <v>0</v>
      </c>
    </row>
    <row r="64" customFormat="false" ht="15" hidden="false" customHeight="false" outlineLevel="0" collapsed="false">
      <c r="A64" s="71" t="s">
        <v>17</v>
      </c>
      <c r="B64" s="0" t="n">
        <v>250</v>
      </c>
      <c r="F64" s="73" t="s">
        <v>65</v>
      </c>
      <c r="G64" s="73" t="s">
        <v>66</v>
      </c>
      <c r="H64" s="73" t="s">
        <v>67</v>
      </c>
      <c r="I64" s="73" t="s">
        <v>68</v>
      </c>
      <c r="J64" s="73" t="s">
        <v>69</v>
      </c>
      <c r="K64" s="73" t="str">
        <f aca="false">+K61</f>
        <v>2/2 - 2/8</v>
      </c>
      <c r="L64" s="73" t="str">
        <f aca="false">+L61</f>
        <v>2/9 - 2/15</v>
      </c>
      <c r="M64" s="73" t="str">
        <f aca="false">+M61</f>
        <v>2/16 - 2/22</v>
      </c>
      <c r="N64" s="73" t="str">
        <f aca="false">+N61</f>
        <v>2/23 - 2/28</v>
      </c>
      <c r="O64" s="73" t="str">
        <f aca="false">+O61</f>
        <v>3/1 - 3/7</v>
      </c>
      <c r="P64" s="73" t="str">
        <f aca="false">+P61</f>
        <v>3/8 - 3/14</v>
      </c>
      <c r="Q64" s="73" t="str">
        <f aca="false">+Q61</f>
        <v>3/15 - 3/21</v>
      </c>
      <c r="R64" s="73" t="str">
        <f aca="false">+R61</f>
        <v>3/22 - 3/28</v>
      </c>
      <c r="S64" s="73" t="str">
        <f aca="false">+S61</f>
        <v>3/29 - 4/4</v>
      </c>
      <c r="T64" s="73" t="str">
        <f aca="false">+T61</f>
        <v>4/5 - 4/11</v>
      </c>
    </row>
    <row r="65" customFormat="false" ht="12.75" hidden="false" customHeight="false" outlineLevel="0" collapsed="false">
      <c r="E65" s="0" t="s">
        <v>112</v>
      </c>
      <c r="F65" s="68" t="n">
        <f aca="false">'template from eol'!C58</f>
        <v>60842.5918</v>
      </c>
      <c r="G65" s="68" t="n">
        <f aca="false">'template from eol'!E58</f>
        <v>36861.7698</v>
      </c>
      <c r="H65" s="35" t="n">
        <f aca="false">'template from eol'!G58</f>
        <v>213594.8932</v>
      </c>
      <c r="I65" s="35" t="n">
        <f aca="false">'template from eol'!I58</f>
        <v>19607.183</v>
      </c>
      <c r="J65" s="0" t="n">
        <f aca="false">+'WE 2-1 EOL Data'!C58</f>
        <v>25872</v>
      </c>
      <c r="K65" s="83" t="n">
        <f aca="false">+'WE 2-8 EOL Data'!C58</f>
        <v>106865.9</v>
      </c>
      <c r="L65" s="83" t="n">
        <f aca="false">+'WE 2-15 EOL Data'!$C58</f>
        <v>11962.5</v>
      </c>
      <c r="M65" s="83" t="n">
        <f aca="false">+'WE 2-22 EOL Data'!$C58</f>
        <v>56612</v>
      </c>
      <c r="N65" s="83" t="n">
        <f aca="false">+'WE 2-28 EOL Data'!C58</f>
        <v>163303.196</v>
      </c>
      <c r="O65" s="83" t="n">
        <f aca="false">+'WE 3-7 EOL Data'!C58</f>
        <v>120983.16</v>
      </c>
      <c r="P65" s="83" t="n">
        <f aca="false">+'WE 3-14 EOL Data'!C58</f>
        <v>92583.55</v>
      </c>
      <c r="Q65" s="83" t="n">
        <f aca="false">+'WE 3-21 EOL Data'!C58</f>
        <v>275762.31</v>
      </c>
      <c r="R65" s="83" t="n">
        <f aca="false">+'WE 3-28 EOL Data'!C58</f>
        <v>169228.08</v>
      </c>
      <c r="S65" s="83" t="n">
        <f aca="false">+'WE 4-4 EOL Data'!C58</f>
        <v>203727</v>
      </c>
      <c r="T65" s="83" t="n">
        <f aca="false">+'WE 3-21 EOL Data'!F58</f>
        <v>0</v>
      </c>
      <c r="V65" s="83"/>
    </row>
    <row r="66" customFormat="false" ht="12.75" hidden="false" customHeight="false" outlineLevel="0" collapsed="false">
      <c r="A66" s="71" t="s">
        <v>33</v>
      </c>
      <c r="B66" s="0" t="n">
        <v>0</v>
      </c>
      <c r="E66" s="0" t="s">
        <v>33</v>
      </c>
      <c r="F66" s="68"/>
      <c r="G66" s="68"/>
      <c r="H66" s="35"/>
    </row>
    <row r="67" customFormat="false" ht="12.75" hidden="false" customHeight="false" outlineLevel="0" collapsed="false">
      <c r="A67" s="71" t="s">
        <v>36</v>
      </c>
      <c r="B67" s="0" t="n">
        <v>5</v>
      </c>
      <c r="E67" s="0" t="s">
        <v>36</v>
      </c>
      <c r="F67" s="68"/>
      <c r="G67" s="68"/>
      <c r="H67" s="35"/>
    </row>
    <row r="68" customFormat="false" ht="12.75" hidden="false" customHeight="false" outlineLevel="0" collapsed="false">
      <c r="A68" s="71" t="s">
        <v>42</v>
      </c>
      <c r="B68" s="0" t="n">
        <v>0</v>
      </c>
      <c r="E68" s="0" t="s">
        <v>39</v>
      </c>
      <c r="F68" s="68"/>
      <c r="G68" s="68"/>
      <c r="H68" s="35"/>
    </row>
    <row r="69" customFormat="false" ht="12.75" hidden="false" customHeight="false" outlineLevel="0" collapsed="false">
      <c r="E69" s="0" t="s">
        <v>42</v>
      </c>
      <c r="F69" s="68"/>
      <c r="G69" s="68"/>
      <c r="H69" s="35"/>
    </row>
    <row r="70" customFormat="false" ht="15" hidden="false" customHeight="false" outlineLevel="0" collapsed="false">
      <c r="A70" s="71" t="s">
        <v>17</v>
      </c>
      <c r="B70" s="0" t="n">
        <v>250</v>
      </c>
      <c r="F70" s="73" t="s">
        <v>65</v>
      </c>
      <c r="G70" s="73" t="s">
        <v>66</v>
      </c>
      <c r="H70" s="73" t="s">
        <v>67</v>
      </c>
      <c r="I70" s="73" t="s">
        <v>68</v>
      </c>
      <c r="J70" s="73" t="s">
        <v>69</v>
      </c>
      <c r="K70" s="73" t="str">
        <f aca="false">+K64</f>
        <v>2/2 - 2/8</v>
      </c>
      <c r="L70" s="73" t="str">
        <f aca="false">+L64</f>
        <v>2/9 - 2/15</v>
      </c>
      <c r="M70" s="73" t="str">
        <f aca="false">+M64</f>
        <v>2/16 - 2/22</v>
      </c>
      <c r="N70" s="73" t="str">
        <f aca="false">+N64</f>
        <v>2/23 - 2/28</v>
      </c>
      <c r="O70" s="73" t="str">
        <f aca="false">+O64</f>
        <v>3/1 - 3/7</v>
      </c>
      <c r="P70" s="73" t="str">
        <f aca="false">+P64</f>
        <v>3/8 - 3/14</v>
      </c>
      <c r="Q70" s="73" t="str">
        <f aca="false">+Q64</f>
        <v>3/15 - 3/21</v>
      </c>
      <c r="R70" s="73" t="str">
        <f aca="false">+R64</f>
        <v>3/22 - 3/28</v>
      </c>
      <c r="S70" s="73" t="str">
        <f aca="false">+S64</f>
        <v>3/29 - 4/4</v>
      </c>
      <c r="T70" s="73" t="str">
        <f aca="false">+T64</f>
        <v>4/5 - 4/11</v>
      </c>
    </row>
    <row r="71" customFormat="false" ht="12.75" hidden="false" customHeight="false" outlineLevel="0" collapsed="false">
      <c r="E71" s="0" t="s">
        <v>113</v>
      </c>
      <c r="F71" s="68" t="n">
        <f aca="false">90430383/1000</f>
        <v>90430.383</v>
      </c>
      <c r="G71" s="68" t="n">
        <f aca="false">172783348/1000</f>
        <v>172783.348</v>
      </c>
      <c r="H71" s="35" t="n">
        <f aca="false">107852720/1000</f>
        <v>107852.72</v>
      </c>
      <c r="I71" s="35" t="n">
        <f aca="false">150981588/1000</f>
        <v>150981.588</v>
      </c>
      <c r="J71" s="82" t="n">
        <f aca="false">(+'WE 2-1 EOL Data'!C9+'WE 2-1 EOL Data'!C32)/1000</f>
        <v>171949.351</v>
      </c>
      <c r="K71" s="82" t="n">
        <f aca="false">(+'WE 2-8 EOL Data'!C9+'WE 2-8 EOL Data'!C32)/1000</f>
        <v>154397.51923</v>
      </c>
      <c r="L71" s="82" t="n">
        <f aca="false">(+'WE 2-15 EOL Data'!$C9+'WE 2-15 EOL Data'!$C32)/1000</f>
        <v>174794.27447</v>
      </c>
      <c r="M71" s="82" t="n">
        <f aca="false">(+'WE 2-22 EOL Data'!$C9+'WE 2-22 EOL Data'!$C32)/1000</f>
        <v>147649.834</v>
      </c>
      <c r="N71" s="82" t="n">
        <f aca="false">(+'WE 2-28 EOL Data'!C9+'WE 2-28 EOL Data'!C32)/1000</f>
        <v>147313.01308</v>
      </c>
      <c r="O71" s="82" t="n">
        <f aca="false">(+'WE 3-7 EOL Data'!C32+'WE 3-7 EOL Data'!C9)/1000</f>
        <v>163597.30816</v>
      </c>
      <c r="P71" s="82" t="n">
        <f aca="false">(+'WE 3-14 EOL Data'!C9+'WE 3-14 EOL Data'!C32)/1000</f>
        <v>183852.27507</v>
      </c>
      <c r="Q71" s="82" t="n">
        <f aca="false">(+'WE 3-21 EOL Data'!C9+'WE 3-21 EOL Data'!C32)/1000</f>
        <v>210839.72177</v>
      </c>
      <c r="R71" s="82" t="n">
        <f aca="false">(+'WE 3-28 EOL Data'!C9+'WE 3-28 EOL Data'!C32)/1000</f>
        <v>193742.82989</v>
      </c>
      <c r="S71" s="82" t="n">
        <f aca="false">(+'WE 4-4 EOL Data'!C9+'WE 4-4 EOL Data'!C32)/1000</f>
        <v>195484.8911</v>
      </c>
      <c r="T71" s="82" t="n">
        <f aca="false">(+'WE 3-21 EOL Data'!F9+'WE 3-21 EOL Data'!F32)/1000</f>
        <v>0</v>
      </c>
    </row>
    <row r="72" customFormat="false" ht="12.75" hidden="false" customHeight="false" outlineLevel="0" collapsed="false">
      <c r="A72" s="84" t="s">
        <v>23</v>
      </c>
      <c r="B72" s="84"/>
      <c r="C72" s="84"/>
      <c r="D72" s="84"/>
      <c r="E72" s="0" t="s">
        <v>114</v>
      </c>
      <c r="F72" s="35" t="n">
        <f aca="false">(1745341+1242373)/1000</f>
        <v>2987.714</v>
      </c>
      <c r="G72" s="35" t="n">
        <f aca="false">(2854306+534627)/1000</f>
        <v>3388.933</v>
      </c>
      <c r="H72" s="35" t="n">
        <f aca="false">(3053119+1631000)/1000</f>
        <v>4684.119</v>
      </c>
      <c r="I72" s="35" t="n">
        <f aca="false">(1974010+1990000)/1000</f>
        <v>3964.01</v>
      </c>
      <c r="J72" s="82" t="n">
        <f aca="false">(+'WE 2-1 EOL Data'!C10+'WE 2-1 EOL Data'!C11+'WE 2-1 EOL Data'!C33+'WE 2-1 EOL Data'!C34)/1000</f>
        <v>6572.327</v>
      </c>
      <c r="K72" s="82" t="n">
        <f aca="false">(+'WE 2-8 EOL Data'!C10+'WE 2-8 EOL Data'!C11+'WE 2-8 EOL Data'!C33+'WE 2-8 EOL Data'!C34)/1000</f>
        <v>5662.489</v>
      </c>
      <c r="L72" s="82" t="n">
        <f aca="false">(+'WE 2-15 EOL Data'!$C10+'WE 2-15 EOL Data'!$C11+'WE 2-15 EOL Data'!$C33+'WE 2-15 EOL Data'!$C34)/1000</f>
        <v>4037.94996</v>
      </c>
      <c r="M72" s="82" t="n">
        <f aca="false">(+'WE 2-22 EOL Data'!$C10+'WE 2-22 EOL Data'!$C11+'WE 2-22 EOL Data'!$C33+'WE 2-22 EOL Data'!$C34)/1000</f>
        <v>2425.5</v>
      </c>
      <c r="N72" s="82" t="n">
        <f aca="false">(+'WE 2-28 EOL Data'!C10+'WE 2-28 EOL Data'!C11+'WE 2-28 EOL Data'!C33+'WE 2-28 EOL Data'!C34)/1000</f>
        <v>818.5</v>
      </c>
      <c r="O72" s="82" t="n">
        <f aca="false">(+'WE 3-7 EOL Data'!C10+'WE 3-7 EOL Data'!C33)/1000</f>
        <v>2748.70002</v>
      </c>
      <c r="P72" s="82" t="n">
        <f aca="false">(+'WE 3-14 EOL Data'!C10+'WE 3-14 EOL Data'!C11+'WE 3-14 EOL Data'!C33+'WE 3-14 EOL Data'!C34)/1000</f>
        <v>1955.00008</v>
      </c>
      <c r="Q72" s="82" t="n">
        <f aca="false">(+'WE 3-21 EOL Data'!C10+'WE 3-21 EOL Data'!C11+'WE 3-21 EOL Data'!C33+'WE 3-21 EOL Data'!C34)/1000</f>
        <v>1257.95</v>
      </c>
      <c r="R72" s="82" t="n">
        <f aca="false">(+'WE 3-28 EOL Data'!C11+'WE 3-28 EOL Data'!C10+'WE 3-28 EOL Data'!C33+'WE 3-28 EOL Data'!C34)/1000</f>
        <v>3280.003</v>
      </c>
      <c r="S72" s="82" t="n">
        <f aca="false">(+'WE 4-4 EOL Data'!C10+'WE 4-4 EOL Data'!C11+'WE 4-4 EOL Data'!C33+'WE 4-4 EOL Data'!C34)/1000</f>
        <v>1233</v>
      </c>
      <c r="T72" s="82" t="n">
        <f aca="false">(+'WE 3-21 EOL Data'!F10+'WE 3-21 EOL Data'!F11+'WE 3-21 EOL Data'!F33+'WE 3-21 EOL Data'!F34)/1000</f>
        <v>0</v>
      </c>
    </row>
    <row r="73" customFormat="false" ht="12.75" hidden="false" customHeight="false" outlineLevel="0" collapsed="false">
      <c r="A73" s="85" t="s">
        <v>27</v>
      </c>
      <c r="B73" s="0" t="n">
        <v>45</v>
      </c>
      <c r="C73" s="0" t="n">
        <v>40</v>
      </c>
      <c r="D73" s="0" t="n">
        <v>55</v>
      </c>
      <c r="E73" s="0" t="s">
        <v>115</v>
      </c>
      <c r="F73" s="35" t="n">
        <v>5</v>
      </c>
      <c r="G73" s="35" t="n">
        <v>5</v>
      </c>
      <c r="H73" s="35" t="n">
        <f aca="false">34100/1000</f>
        <v>34.1</v>
      </c>
      <c r="I73" s="35" t="n">
        <f aca="false">107570/1000</f>
        <v>107.57</v>
      </c>
      <c r="J73" s="82" t="n">
        <f aca="false">(+'WE 2-1 EOL Data'!C14+'WE 2-1 EOL Data'!C37)/1000</f>
        <v>46.35</v>
      </c>
      <c r="K73" s="82" t="n">
        <f aca="false">(+'WE 2-8 EOL Data'!C14+'WE 2-8 EOL Data'!C37)/1000</f>
        <v>100.1</v>
      </c>
      <c r="L73" s="82" t="n">
        <f aca="false">(+'WE 2-15 EOL Data'!$C14+'WE 2-15 EOL Data'!$C37)/1000</f>
        <v>40</v>
      </c>
      <c r="M73" s="82" t="n">
        <f aca="false">(+'WE 2-22 EOL Data'!$C14+'WE 2-22 EOL Data'!$C37)/1000</f>
        <v>37.5</v>
      </c>
      <c r="N73" s="82" t="n">
        <f aca="false">(+'WE 2-28 EOL Data'!C14+'WE 2-28 EOL Data'!C37)/1000</f>
        <v>7.5</v>
      </c>
      <c r="O73" s="82" t="n">
        <f aca="false">(+'WE 3-7 EOL Data'!C14+'WE 3-7 EOL Data'!C37)/1000</f>
        <v>5.2</v>
      </c>
      <c r="P73" s="82" t="n">
        <f aca="false">(+'WE 3-14 EOL Data'!C37+'WE 3-14 EOL Data'!C14)/1000</f>
        <v>32.85</v>
      </c>
      <c r="Q73" s="82" t="n">
        <f aca="false">(+'WE 3-21 EOL Data'!C14+'WE 3-21 EOL Data'!C37)/1000</f>
        <v>72.05</v>
      </c>
      <c r="R73" s="82" t="n">
        <f aca="false">(+'WE 3-28 EOL Data'!C14+'WE 3-28 EOL Data'!C37)/1000</f>
        <v>101.95</v>
      </c>
      <c r="S73" s="82" t="n">
        <f aca="false">(+'WE 4-4 EOL Data'!C14+'WE 4-4 EOL Data'!C37)/1000</f>
        <v>179</v>
      </c>
      <c r="T73" s="82" t="n">
        <f aca="false">(+'WE 3-21 EOL Data'!F14+'WE 3-21 EOL Data'!F37)/1000</f>
        <v>0</v>
      </c>
    </row>
    <row r="74" customFormat="false" ht="12.75" hidden="false" customHeight="false" outlineLevel="0" collapsed="false">
      <c r="A74" s="85" t="s">
        <v>25</v>
      </c>
      <c r="B74" s="0" t="n">
        <v>150</v>
      </c>
      <c r="C74" s="0" t="n">
        <v>120</v>
      </c>
      <c r="D74" s="0" t="n">
        <v>125</v>
      </c>
      <c r="E74" s="0" t="s">
        <v>116</v>
      </c>
      <c r="F74" s="35" t="n">
        <v>49250</v>
      </c>
      <c r="G74" s="35" t="n">
        <v>45350</v>
      </c>
      <c r="H74" s="35" t="n">
        <v>120900</v>
      </c>
      <c r="I74" s="35" t="n">
        <v>115500</v>
      </c>
      <c r="J74" s="82" t="n">
        <f aca="false">+'WE 2-1 EOL Data'!C12+'WE 2-1 EOL Data'!C35</f>
        <v>56000</v>
      </c>
      <c r="K74" s="82" t="n">
        <f aca="false">+'WE 2-8 EOL Data'!C12+'WE 2-8 EOL Data'!C35</f>
        <v>103400</v>
      </c>
      <c r="L74" s="82" t="n">
        <f aca="false">+'WE 2-15 EOL Data'!$C12+'WE 2-15 EOL Data'!$C35</f>
        <v>143000</v>
      </c>
      <c r="M74" s="82" t="n">
        <f aca="false">+'WE 2-22 EOL Data'!$C12+'WE 2-22 EOL Data'!$C35</f>
        <v>377800</v>
      </c>
      <c r="N74" s="82" t="n">
        <f aca="false">+'WE 2-28 EOL Data'!C12+'WE 2-28 EOL Data'!C35</f>
        <v>69200</v>
      </c>
      <c r="O74" s="82" t="n">
        <f aca="false">+'WE 3-7 EOL Data'!C12+'WE 3-7 EOL Data'!C35</f>
        <v>99600</v>
      </c>
      <c r="P74" s="82" t="n">
        <f aca="false">+'WE 3-14 EOL Data'!C12+'WE 3-14 EOL Data'!C35</f>
        <v>45600</v>
      </c>
      <c r="Q74" s="82" t="n">
        <f aca="false">+'WE 3-21 EOL Data'!C12+'WE 3-21 EOL Data'!C35</f>
        <v>54000</v>
      </c>
      <c r="R74" s="82" t="n">
        <f aca="false">+'WE 3-28 EOL Data'!C12+'WE 3-28 EOL Data'!C35</f>
        <v>25800</v>
      </c>
      <c r="S74" s="82" t="n">
        <f aca="false">+'WE 4-4 EOL Data'!C12+'WE 4-4 EOL Data'!C35</f>
        <v>50000</v>
      </c>
      <c r="T74" s="82" t="n">
        <f aca="false">+'WE 3-21 EOL Data'!F12+'WE 3-21 EOL Data'!F35</f>
        <v>0</v>
      </c>
      <c r="V74" s="82"/>
    </row>
    <row r="75" customFormat="false" ht="12.75" hidden="false" customHeight="false" outlineLevel="0" collapsed="false">
      <c r="E75" s="0" t="s">
        <v>117</v>
      </c>
      <c r="F75" s="68" t="n">
        <v>6275000</v>
      </c>
      <c r="G75" s="68" t="n">
        <v>6398750</v>
      </c>
      <c r="H75" s="35" t="n">
        <v>3718000</v>
      </c>
      <c r="I75" s="35" t="n">
        <v>6618000</v>
      </c>
      <c r="J75" s="82" t="n">
        <f aca="false">+'WE 2-1 EOL Data'!C13+'WE 2-1 EOL Data'!C36</f>
        <v>5632500</v>
      </c>
      <c r="K75" s="82" t="n">
        <f aca="false">+'WE 2-8 EOL Data'!C13+'WE 2-8 EOL Data'!C36</f>
        <v>8754250</v>
      </c>
      <c r="L75" s="82" t="n">
        <f aca="false">+'WE 2-15 EOL Data'!$C13+'WE 2-15 EOL Data'!$C36</f>
        <v>4975000</v>
      </c>
      <c r="M75" s="82" t="n">
        <f aca="false">+'WE 2-22 EOL Data'!$C13+'WE 2-22 EOL Data'!$C36</f>
        <v>5786000</v>
      </c>
      <c r="N75" s="82" t="n">
        <f aca="false">+'WE 2-28 EOL Data'!C13+'WE 2-28 EOL Data'!C36</f>
        <v>4422278</v>
      </c>
      <c r="O75" s="82" t="n">
        <f aca="false">+'WE 3-7 EOL Data'!C13+'WE 3-7 EOL Data'!C36</f>
        <v>4982000</v>
      </c>
      <c r="P75" s="82" t="n">
        <f aca="false">+'WE 3-14 EOL Data'!C13+'WE 3-14 EOL Data'!C36</f>
        <v>17863222</v>
      </c>
      <c r="Q75" s="82" t="n">
        <f aca="false">+'WE 3-21 EOL Data'!C13+'WE 3-21 EOL Data'!C36</f>
        <v>8685000</v>
      </c>
      <c r="R75" s="82" t="n">
        <f aca="false">+'WE 3-28 EOL Data'!C13+'WE 3-28 EOL Data'!C36</f>
        <v>0</v>
      </c>
      <c r="S75" s="82" t="n">
        <f aca="false">+'WE 4-4 EOL Data'!C13+'WE 4-4 EOL Data'!C36</f>
        <v>0</v>
      </c>
      <c r="T75" s="82" t="n">
        <f aca="false">+'WE 3-21 EOL Data'!F13+'WE 3-21 EOL Data'!F36</f>
        <v>0</v>
      </c>
      <c r="V75" s="82"/>
    </row>
    <row r="76" customFormat="false" ht="12.75" hidden="false" customHeight="false" outlineLevel="0" collapsed="false">
      <c r="A76" s="85" t="s">
        <v>32</v>
      </c>
      <c r="B76" s="0" t="n">
        <v>2</v>
      </c>
      <c r="C76" s="0" t="n">
        <v>5</v>
      </c>
      <c r="D76" s="0" t="n">
        <v>2</v>
      </c>
    </row>
    <row r="77" customFormat="false" ht="12.75" hidden="false" customHeight="false" outlineLevel="0" collapsed="false">
      <c r="A77" s="85" t="s">
        <v>35</v>
      </c>
      <c r="B77" s="0" t="n">
        <v>2</v>
      </c>
      <c r="C77" s="0" t="n">
        <v>1</v>
      </c>
      <c r="D77" s="0" t="n">
        <v>10</v>
      </c>
      <c r="V77" s="35"/>
    </row>
    <row r="78" customFormat="false" ht="12.75" hidden="false" customHeight="false" outlineLevel="0" collapsed="false">
      <c r="A78" s="84" t="s">
        <v>118</v>
      </c>
    </row>
    <row r="79" customFormat="false" ht="12.75" hidden="false" customHeight="false" outlineLevel="0" collapsed="false">
      <c r="A79" s="85" t="s">
        <v>14</v>
      </c>
      <c r="B79" s="0" t="n">
        <v>11000</v>
      </c>
      <c r="C79" s="0" t="n">
        <v>12500</v>
      </c>
      <c r="D79" s="0" t="n">
        <v>12000</v>
      </c>
    </row>
    <row r="80" customFormat="false" ht="12.75" hidden="false" customHeight="false" outlineLevel="0" collapsed="false">
      <c r="A80" s="85" t="s">
        <v>17</v>
      </c>
      <c r="B80" s="0" t="n">
        <v>5500</v>
      </c>
      <c r="C80" s="0" t="n">
        <v>5000</v>
      </c>
      <c r="D80" s="0" t="n">
        <v>4055</v>
      </c>
    </row>
    <row r="81" customFormat="false" ht="12.75" hidden="false" customHeight="false" outlineLevel="0" collapsed="false">
      <c r="A81" s="84" t="s">
        <v>41</v>
      </c>
    </row>
    <row r="82" customFormat="false" ht="12.75" hidden="false" customHeight="false" outlineLevel="0" collapsed="false">
      <c r="A82" s="85" t="s">
        <v>33</v>
      </c>
      <c r="B82" s="0" t="n">
        <v>25</v>
      </c>
      <c r="C82" s="0" t="n">
        <v>52</v>
      </c>
      <c r="D82" s="0" t="n">
        <v>30</v>
      </c>
    </row>
    <row r="83" customFormat="false" ht="12.75" hidden="false" customHeight="false" outlineLevel="0" collapsed="false">
      <c r="A83" s="85" t="s">
        <v>36</v>
      </c>
      <c r="B83" s="0" t="n">
        <v>10</v>
      </c>
      <c r="C83" s="0" t="n">
        <v>42</v>
      </c>
      <c r="D83" s="0" t="n">
        <v>50</v>
      </c>
    </row>
    <row r="84" customFormat="false" ht="12.75" hidden="false" customHeight="false" outlineLevel="0" collapsed="false">
      <c r="A84" s="85" t="s">
        <v>39</v>
      </c>
      <c r="B84" s="0" t="n">
        <v>8</v>
      </c>
      <c r="C84" s="0" t="n">
        <v>8</v>
      </c>
      <c r="D84" s="0" t="n">
        <v>8</v>
      </c>
    </row>
    <row r="85" customFormat="false" ht="12.75" hidden="false" customHeight="false" outlineLevel="0" collapsed="false">
      <c r="A85" s="85" t="s">
        <v>42</v>
      </c>
      <c r="B85" s="0" t="n">
        <v>3</v>
      </c>
      <c r="C85" s="0" t="n">
        <v>1</v>
      </c>
      <c r="D85" s="0" t="n">
        <v>4</v>
      </c>
    </row>
    <row r="87" customFormat="false" ht="12.75" hidden="false" customHeight="false" outlineLevel="0" collapsed="false">
      <c r="A87" s="0" t="s">
        <v>119</v>
      </c>
      <c r="B87" s="0" t="s">
        <v>120</v>
      </c>
      <c r="C87" s="0" t="s">
        <v>121</v>
      </c>
      <c r="D87" s="0" t="s">
        <v>122</v>
      </c>
      <c r="E87" s="86" t="s">
        <v>1</v>
      </c>
      <c r="F87" s="86"/>
    </row>
    <row r="88" customFormat="false" ht="12.75" hidden="false" customHeight="false" outlineLevel="0" collapsed="false">
      <c r="A88" s="84" t="s">
        <v>123</v>
      </c>
      <c r="B88" s="81" t="s">
        <v>81</v>
      </c>
      <c r="C88" s="0" t="s">
        <v>14</v>
      </c>
      <c r="D88" s="81" t="n">
        <v>1350</v>
      </c>
      <c r="E88" s="0" t="n">
        <f aca="false">B79</f>
        <v>11000</v>
      </c>
    </row>
    <row r="89" customFormat="false" ht="12.75" hidden="false" customHeight="false" outlineLevel="0" collapsed="false">
      <c r="A89" s="84" t="s">
        <v>123</v>
      </c>
      <c r="B89" s="81" t="s">
        <v>85</v>
      </c>
      <c r="C89" s="0" t="s">
        <v>17</v>
      </c>
      <c r="D89" s="81" t="n">
        <v>180</v>
      </c>
      <c r="E89" s="0" t="n">
        <v>5500</v>
      </c>
    </row>
    <row r="90" customFormat="false" ht="12.75" hidden="false" customHeight="false" outlineLevel="0" collapsed="false">
      <c r="A90" s="84" t="s">
        <v>123</v>
      </c>
      <c r="B90" s="81" t="s">
        <v>124</v>
      </c>
      <c r="C90" s="0" t="s">
        <v>39</v>
      </c>
      <c r="D90" s="81" t="n">
        <v>8</v>
      </c>
      <c r="E90" s="0" t="n">
        <v>8</v>
      </c>
    </row>
    <row r="91" customFormat="false" ht="12.75" hidden="false" customHeight="false" outlineLevel="0" collapsed="false">
      <c r="A91" s="84" t="s">
        <v>123</v>
      </c>
      <c r="B91" s="81" t="s">
        <v>125</v>
      </c>
      <c r="C91" s="0" t="s">
        <v>33</v>
      </c>
      <c r="D91" s="81" t="n">
        <v>15</v>
      </c>
      <c r="E91" s="0" t="n">
        <v>25</v>
      </c>
    </row>
    <row r="92" customFormat="false" ht="12.75" hidden="false" customHeight="false" outlineLevel="0" collapsed="false">
      <c r="A92" s="84" t="s">
        <v>123</v>
      </c>
      <c r="B92" s="81" t="s">
        <v>126</v>
      </c>
      <c r="C92" s="0" t="s">
        <v>42</v>
      </c>
      <c r="D92" s="81" t="n">
        <v>5</v>
      </c>
      <c r="E92" s="0" t="n">
        <v>3</v>
      </c>
    </row>
    <row r="93" customFormat="false" ht="12.75" hidden="false" customHeight="false" outlineLevel="0" collapsed="false">
      <c r="A93" s="84" t="s">
        <v>123</v>
      </c>
      <c r="B93" s="81" t="s">
        <v>127</v>
      </c>
      <c r="C93" s="0" t="s">
        <v>36</v>
      </c>
      <c r="D93" s="81" t="n">
        <v>10</v>
      </c>
      <c r="E93" s="0" t="n">
        <v>10</v>
      </c>
    </row>
    <row r="94" customFormat="false" ht="12.75" hidden="false" customHeight="false" outlineLevel="0" collapsed="false">
      <c r="A94" s="84" t="s">
        <v>123</v>
      </c>
      <c r="B94" s="81" t="s">
        <v>128</v>
      </c>
      <c r="C94" s="0" t="s">
        <v>129</v>
      </c>
      <c r="D94" s="81" t="n">
        <v>45</v>
      </c>
      <c r="E94" s="0" t="n">
        <v>45</v>
      </c>
    </row>
    <row r="95" customFormat="false" ht="12.75" hidden="false" customHeight="false" outlineLevel="0" collapsed="false">
      <c r="A95" s="84" t="s">
        <v>123</v>
      </c>
      <c r="B95" s="81" t="s">
        <v>130</v>
      </c>
      <c r="C95" s="0" t="s">
        <v>29</v>
      </c>
      <c r="D95" s="81" t="n">
        <v>2</v>
      </c>
      <c r="E95" s="0" t="n">
        <v>2</v>
      </c>
    </row>
    <row r="96" customFormat="false" ht="12.75" hidden="false" customHeight="false" outlineLevel="0" collapsed="false">
      <c r="A96" s="71" t="s">
        <v>131</v>
      </c>
      <c r="B96" s="81" t="s">
        <v>81</v>
      </c>
      <c r="C96" s="0" t="s">
        <v>14</v>
      </c>
      <c r="D96" s="81" t="n">
        <v>1505</v>
      </c>
      <c r="E96" s="0" t="n">
        <f aca="false">C79</f>
        <v>12500</v>
      </c>
    </row>
    <row r="97" customFormat="false" ht="12.75" hidden="false" customHeight="false" outlineLevel="0" collapsed="false">
      <c r="A97" s="71" t="s">
        <v>131</v>
      </c>
      <c r="B97" s="81" t="s">
        <v>85</v>
      </c>
      <c r="C97" s="0" t="s">
        <v>17</v>
      </c>
      <c r="D97" s="81" t="n">
        <v>175</v>
      </c>
      <c r="E97" s="0" t="n">
        <v>5000</v>
      </c>
    </row>
    <row r="98" customFormat="false" ht="12.75" hidden="false" customHeight="false" outlineLevel="0" collapsed="false">
      <c r="A98" s="71" t="s">
        <v>131</v>
      </c>
      <c r="B98" s="81" t="s">
        <v>124</v>
      </c>
      <c r="C98" s="0" t="s">
        <v>39</v>
      </c>
      <c r="D98" s="81" t="n">
        <v>10</v>
      </c>
      <c r="E98" s="0" t="n">
        <v>8</v>
      </c>
    </row>
    <row r="99" customFormat="false" ht="12.75" hidden="false" customHeight="false" outlineLevel="0" collapsed="false">
      <c r="A99" s="71" t="s">
        <v>131</v>
      </c>
      <c r="B99" s="81" t="s">
        <v>125</v>
      </c>
      <c r="C99" s="0" t="s">
        <v>33</v>
      </c>
      <c r="D99" s="81" t="n">
        <v>25</v>
      </c>
      <c r="E99" s="0" t="n">
        <v>52</v>
      </c>
    </row>
    <row r="100" customFormat="false" ht="12.75" hidden="false" customHeight="false" outlineLevel="0" collapsed="false">
      <c r="A100" s="71" t="s">
        <v>131</v>
      </c>
      <c r="B100" s="81" t="s">
        <v>126</v>
      </c>
      <c r="C100" s="0" t="s">
        <v>42</v>
      </c>
      <c r="D100" s="81" t="n">
        <v>7</v>
      </c>
      <c r="E100" s="0" t="n">
        <v>1</v>
      </c>
    </row>
    <row r="101" customFormat="false" ht="12.75" hidden="false" customHeight="false" outlineLevel="0" collapsed="false">
      <c r="A101" s="71" t="s">
        <v>131</v>
      </c>
      <c r="B101" s="81" t="s">
        <v>127</v>
      </c>
      <c r="C101" s="0" t="s">
        <v>36</v>
      </c>
      <c r="D101" s="81" t="n">
        <v>30</v>
      </c>
      <c r="E101" s="0" t="n">
        <v>42</v>
      </c>
    </row>
    <row r="102" customFormat="false" ht="12.75" hidden="false" customHeight="false" outlineLevel="0" collapsed="false">
      <c r="A102" s="71" t="s">
        <v>131</v>
      </c>
      <c r="B102" s="81" t="s">
        <v>128</v>
      </c>
      <c r="C102" s="0" t="s">
        <v>129</v>
      </c>
      <c r="D102" s="81" t="n">
        <v>32</v>
      </c>
      <c r="E102" s="0" t="n">
        <v>40</v>
      </c>
    </row>
    <row r="103" customFormat="false" ht="12.75" hidden="false" customHeight="false" outlineLevel="0" collapsed="false">
      <c r="A103" s="71" t="s">
        <v>131</v>
      </c>
      <c r="B103" s="81" t="s">
        <v>130</v>
      </c>
      <c r="C103" s="0" t="s">
        <v>29</v>
      </c>
      <c r="D103" s="81" t="n">
        <v>2</v>
      </c>
      <c r="E103" s="0" t="n">
        <v>1</v>
      </c>
    </row>
    <row r="104" customFormat="false" ht="12.75" hidden="false" customHeight="false" outlineLevel="0" collapsed="false">
      <c r="A104" s="71" t="s">
        <v>132</v>
      </c>
      <c r="B104" s="81" t="s">
        <v>81</v>
      </c>
      <c r="C104" s="0" t="s">
        <v>14</v>
      </c>
      <c r="D104" s="0" t="n">
        <v>1600</v>
      </c>
      <c r="E104" s="0" t="n">
        <f aca="false">D79</f>
        <v>12000</v>
      </c>
    </row>
    <row r="105" customFormat="false" ht="12.75" hidden="false" customHeight="false" outlineLevel="0" collapsed="false">
      <c r="A105" s="71" t="s">
        <v>132</v>
      </c>
      <c r="B105" s="81" t="s">
        <v>85</v>
      </c>
      <c r="C105" s="0" t="s">
        <v>17</v>
      </c>
      <c r="D105" s="0" t="n">
        <v>190</v>
      </c>
      <c r="E105" s="0" t="n">
        <v>4055</v>
      </c>
    </row>
    <row r="106" customFormat="false" ht="12.75" hidden="false" customHeight="false" outlineLevel="0" collapsed="false">
      <c r="A106" s="71" t="s">
        <v>132</v>
      </c>
      <c r="B106" s="81" t="s">
        <v>124</v>
      </c>
      <c r="C106" s="0" t="s">
        <v>39</v>
      </c>
      <c r="D106" s="0" t="n">
        <v>10</v>
      </c>
      <c r="E106" s="0" t="n">
        <v>8</v>
      </c>
    </row>
    <row r="107" customFormat="false" ht="12.75" hidden="false" customHeight="false" outlineLevel="0" collapsed="false">
      <c r="A107" s="71" t="s">
        <v>132</v>
      </c>
      <c r="B107" s="81" t="s">
        <v>125</v>
      </c>
      <c r="C107" s="0" t="s">
        <v>33</v>
      </c>
      <c r="D107" s="0" t="n">
        <v>25</v>
      </c>
      <c r="E107" s="0" t="n">
        <v>30</v>
      </c>
    </row>
    <row r="108" customFormat="false" ht="12.75" hidden="false" customHeight="false" outlineLevel="0" collapsed="false">
      <c r="A108" s="71" t="s">
        <v>132</v>
      </c>
      <c r="B108" s="81" t="s">
        <v>126</v>
      </c>
      <c r="C108" s="0" t="s">
        <v>42</v>
      </c>
      <c r="D108" s="0" t="n">
        <v>8</v>
      </c>
      <c r="E108" s="0" t="n">
        <v>4</v>
      </c>
    </row>
    <row r="109" customFormat="false" ht="12.75" hidden="false" customHeight="false" outlineLevel="0" collapsed="false">
      <c r="A109" s="71" t="s">
        <v>132</v>
      </c>
      <c r="B109" s="81" t="s">
        <v>127</v>
      </c>
      <c r="C109" s="0" t="s">
        <v>36</v>
      </c>
      <c r="D109" s="0" t="n">
        <v>40</v>
      </c>
      <c r="E109" s="0" t="n">
        <v>50</v>
      </c>
    </row>
    <row r="110" customFormat="false" ht="12.75" hidden="false" customHeight="false" outlineLevel="0" collapsed="false">
      <c r="A110" s="71" t="s">
        <v>132</v>
      </c>
      <c r="B110" s="81" t="s">
        <v>128</v>
      </c>
      <c r="C110" s="0" t="s">
        <v>129</v>
      </c>
      <c r="D110" s="0" t="n">
        <v>37</v>
      </c>
      <c r="E110" s="0" t="n">
        <v>55</v>
      </c>
    </row>
    <row r="111" customFormat="false" ht="12.75" hidden="false" customHeight="false" outlineLevel="0" collapsed="false">
      <c r="A111" s="71" t="s">
        <v>132</v>
      </c>
      <c r="B111" s="81" t="s">
        <v>130</v>
      </c>
      <c r="C111" s="0" t="s">
        <v>29</v>
      </c>
      <c r="D111" s="0" t="n">
        <v>2</v>
      </c>
      <c r="E111" s="0" t="n">
        <v>2</v>
      </c>
    </row>
  </sheetData>
  <printOptions headings="false" gridLines="false" gridLinesSet="true" horizontalCentered="false" verticalCentered="false"/>
  <pageMargins left="0" right="0" top="0.5" bottom="0.5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Y4" activePane="bottomRight" state="frozen"/>
      <selection pane="topLeft" activeCell="A1" activeCellId="0" sqref="A1"/>
      <selection pane="topRight" activeCell="Y1" activeCellId="0" sqref="Y1"/>
      <selection pane="bottomLeft" activeCell="A4" activeCellId="0" sqref="A4"/>
      <selection pane="bottomRight" activeCell="S10" activeCellId="0" sqref="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3.5" hidden="false" customHeight="false" outlineLevel="0" collapsed="false">
      <c r="A1" s="87" t="s">
        <v>133</v>
      </c>
      <c r="B1" s="88" t="s">
        <v>134</v>
      </c>
      <c r="C1" s="88"/>
      <c r="D1" s="88"/>
      <c r="E1" s="88"/>
      <c r="F1" s="88"/>
      <c r="G1" s="88"/>
      <c r="H1" s="88"/>
      <c r="I1" s="88"/>
      <c r="J1" s="88" t="s">
        <v>135</v>
      </c>
      <c r="K1" s="88"/>
      <c r="L1" s="88"/>
      <c r="M1" s="88"/>
      <c r="N1" s="88"/>
      <c r="O1" s="88"/>
      <c r="P1" s="88"/>
      <c r="Q1" s="88"/>
      <c r="R1" s="89"/>
      <c r="S1" s="90"/>
      <c r="T1" s="88" t="s">
        <v>136</v>
      </c>
      <c r="U1" s="88"/>
      <c r="V1" s="88"/>
      <c r="W1" s="88"/>
      <c r="X1" s="88"/>
      <c r="Y1" s="88"/>
      <c r="Z1" s="88"/>
      <c r="AA1" s="88"/>
      <c r="AB1" s="88" t="s">
        <v>137</v>
      </c>
      <c r="AC1" s="88"/>
      <c r="AD1" s="88"/>
      <c r="AE1" s="88"/>
      <c r="AF1" s="88"/>
      <c r="AG1" s="88"/>
      <c r="AH1" s="88"/>
      <c r="AI1" s="88"/>
    </row>
    <row r="2" customFormat="false" ht="12.75" hidden="false" customHeight="false" outlineLevel="0" collapsed="false">
      <c r="A2" s="87"/>
      <c r="B2" s="91" t="s">
        <v>138</v>
      </c>
      <c r="C2" s="91"/>
      <c r="D2" s="92" t="s">
        <v>139</v>
      </c>
      <c r="E2" s="92"/>
      <c r="F2" s="92" t="s">
        <v>140</v>
      </c>
      <c r="G2" s="92"/>
      <c r="H2" s="93" t="s">
        <v>141</v>
      </c>
      <c r="I2" s="93"/>
      <c r="J2" s="94" t="s">
        <v>142</v>
      </c>
      <c r="K2" s="94"/>
      <c r="L2" s="92" t="s">
        <v>143</v>
      </c>
      <c r="M2" s="92"/>
      <c r="N2" s="92" t="s">
        <v>144</v>
      </c>
      <c r="O2" s="92"/>
      <c r="P2" s="92" t="s">
        <v>145</v>
      </c>
      <c r="Q2" s="92"/>
      <c r="R2" s="93" t="s">
        <v>146</v>
      </c>
      <c r="S2" s="93"/>
      <c r="T2" s="91" t="s">
        <v>147</v>
      </c>
      <c r="U2" s="91"/>
      <c r="V2" s="92" t="s">
        <v>148</v>
      </c>
      <c r="W2" s="92"/>
      <c r="X2" s="92" t="s">
        <v>149</v>
      </c>
      <c r="Y2" s="92"/>
      <c r="Z2" s="93" t="s">
        <v>146</v>
      </c>
      <c r="AA2" s="93"/>
      <c r="AB2" s="91" t="s">
        <v>138</v>
      </c>
      <c r="AC2" s="91"/>
      <c r="AD2" s="92" t="s">
        <v>139</v>
      </c>
      <c r="AE2" s="92"/>
      <c r="AF2" s="92" t="s">
        <v>140</v>
      </c>
      <c r="AG2" s="92"/>
      <c r="AH2" s="93" t="s">
        <v>141</v>
      </c>
      <c r="AI2" s="93"/>
    </row>
    <row r="3" customFormat="false" ht="13.5" hidden="false" customHeight="false" outlineLevel="0" collapsed="false">
      <c r="A3" s="87"/>
      <c r="B3" s="95" t="s">
        <v>83</v>
      </c>
      <c r="C3" s="96" t="s">
        <v>150</v>
      </c>
      <c r="D3" s="96" t="s">
        <v>83</v>
      </c>
      <c r="E3" s="96" t="s">
        <v>150</v>
      </c>
      <c r="F3" s="96" t="s">
        <v>83</v>
      </c>
      <c r="G3" s="96" t="s">
        <v>150</v>
      </c>
      <c r="H3" s="96" t="s">
        <v>83</v>
      </c>
      <c r="I3" s="97" t="s">
        <v>150</v>
      </c>
      <c r="J3" s="98" t="s">
        <v>83</v>
      </c>
      <c r="K3" s="96" t="s">
        <v>150</v>
      </c>
      <c r="L3" s="96" t="s">
        <v>83</v>
      </c>
      <c r="M3" s="96" t="s">
        <v>150</v>
      </c>
      <c r="N3" s="96" t="s">
        <v>83</v>
      </c>
      <c r="O3" s="96" t="s">
        <v>150</v>
      </c>
      <c r="P3" s="96" t="s">
        <v>83</v>
      </c>
      <c r="Q3" s="96" t="s">
        <v>150</v>
      </c>
      <c r="R3" s="96" t="s">
        <v>83</v>
      </c>
      <c r="S3" s="97" t="s">
        <v>150</v>
      </c>
      <c r="T3" s="95" t="s">
        <v>83</v>
      </c>
      <c r="U3" s="96" t="s">
        <v>150</v>
      </c>
      <c r="V3" s="96" t="s">
        <v>83</v>
      </c>
      <c r="W3" s="96" t="s">
        <v>150</v>
      </c>
      <c r="X3" s="96" t="s">
        <v>83</v>
      </c>
      <c r="Y3" s="96" t="s">
        <v>150</v>
      </c>
      <c r="Z3" s="96" t="s">
        <v>83</v>
      </c>
      <c r="AA3" s="97" t="s">
        <v>150</v>
      </c>
      <c r="AB3" s="95" t="s">
        <v>83</v>
      </c>
      <c r="AC3" s="96" t="s">
        <v>150</v>
      </c>
      <c r="AD3" s="96" t="s">
        <v>83</v>
      </c>
      <c r="AE3" s="96" t="s">
        <v>150</v>
      </c>
      <c r="AF3" s="96" t="s">
        <v>83</v>
      </c>
      <c r="AG3" s="96" t="s">
        <v>150</v>
      </c>
      <c r="AH3" s="96" t="s">
        <v>83</v>
      </c>
      <c r="AI3" s="97" t="s">
        <v>150</v>
      </c>
    </row>
    <row r="4" customFormat="false" ht="13.5" hidden="false" customHeight="false" outlineLevel="0" collapsed="false">
      <c r="A4" s="99" t="s">
        <v>151</v>
      </c>
      <c r="B4" s="100"/>
      <c r="C4" s="100"/>
      <c r="D4" s="100"/>
      <c r="E4" s="100"/>
      <c r="F4" s="100"/>
      <c r="G4" s="100"/>
      <c r="H4" s="100"/>
      <c r="I4" s="101"/>
      <c r="J4" s="100"/>
      <c r="K4" s="100"/>
      <c r="L4" s="100"/>
      <c r="M4" s="100"/>
      <c r="N4" s="100"/>
      <c r="O4" s="100"/>
      <c r="P4" s="100"/>
      <c r="Q4" s="100"/>
      <c r="R4" s="100"/>
      <c r="S4" s="101"/>
      <c r="T4" s="102"/>
      <c r="U4" s="100"/>
      <c r="V4" s="100"/>
      <c r="W4" s="100"/>
      <c r="X4" s="100"/>
      <c r="Y4" s="100"/>
      <c r="Z4" s="100"/>
      <c r="AA4" s="101"/>
      <c r="AB4" s="102"/>
      <c r="AC4" s="100"/>
      <c r="AD4" s="100"/>
      <c r="AE4" s="100"/>
      <c r="AF4" s="100"/>
      <c r="AG4" s="100"/>
      <c r="AH4" s="100"/>
      <c r="AI4" s="101"/>
    </row>
    <row r="5" customFormat="false" ht="13.5" hidden="false" customHeight="false" outlineLevel="0" collapsed="false">
      <c r="A5" s="103" t="s">
        <v>118</v>
      </c>
      <c r="B5" s="104"/>
      <c r="C5" s="104"/>
      <c r="D5" s="104"/>
      <c r="E5" s="104"/>
      <c r="F5" s="104"/>
      <c r="G5" s="104"/>
      <c r="H5" s="104"/>
      <c r="I5" s="105"/>
      <c r="J5" s="104"/>
      <c r="K5" s="104"/>
      <c r="L5" s="104"/>
      <c r="M5" s="104"/>
      <c r="N5" s="104"/>
      <c r="O5" s="104"/>
      <c r="P5" s="104"/>
      <c r="Q5" s="104"/>
      <c r="R5" s="104"/>
      <c r="S5" s="105"/>
      <c r="T5" s="106"/>
      <c r="U5" s="104"/>
      <c r="V5" s="104"/>
      <c r="W5" s="104"/>
      <c r="X5" s="104"/>
      <c r="Y5" s="104"/>
      <c r="Z5" s="104"/>
      <c r="AA5" s="105"/>
      <c r="AB5" s="106"/>
      <c r="AC5" s="104"/>
      <c r="AD5" s="104"/>
      <c r="AE5" s="104"/>
      <c r="AF5" s="104"/>
      <c r="AG5" s="104"/>
      <c r="AH5" s="104"/>
      <c r="AI5" s="105"/>
    </row>
    <row r="6" customFormat="false" ht="12.75" hidden="false" customHeight="false" outlineLevel="0" collapsed="false">
      <c r="A6" s="107" t="s">
        <v>152</v>
      </c>
      <c r="B6" s="108"/>
      <c r="C6" s="108"/>
      <c r="D6" s="108"/>
      <c r="E6" s="108"/>
      <c r="F6" s="108"/>
      <c r="G6" s="108"/>
      <c r="H6" s="108"/>
      <c r="I6" s="109"/>
      <c r="J6" s="110"/>
      <c r="K6" s="108"/>
      <c r="L6" s="108"/>
      <c r="M6" s="108"/>
      <c r="N6" s="108"/>
      <c r="O6" s="108"/>
      <c r="P6" s="108"/>
      <c r="Q6" s="108"/>
      <c r="R6" s="110"/>
      <c r="S6" s="109"/>
      <c r="T6" s="111"/>
      <c r="U6" s="108"/>
      <c r="V6" s="108"/>
      <c r="W6" s="108"/>
      <c r="X6" s="108"/>
      <c r="Y6" s="108"/>
      <c r="Z6" s="108"/>
      <c r="AA6" s="109"/>
      <c r="AB6" s="111"/>
      <c r="AC6" s="108"/>
      <c r="AD6" s="108"/>
      <c r="AE6" s="108"/>
      <c r="AF6" s="108"/>
      <c r="AG6" s="108"/>
      <c r="AH6" s="108"/>
      <c r="AI6" s="109"/>
    </row>
    <row r="7" customFormat="false" ht="12.75" hidden="false" customHeight="false" outlineLevel="0" collapsed="false">
      <c r="A7" s="112" t="s">
        <v>153</v>
      </c>
      <c r="B7" s="113"/>
      <c r="C7" s="113"/>
      <c r="D7" s="113"/>
      <c r="E7" s="113"/>
      <c r="F7" s="113"/>
      <c r="G7" s="113"/>
      <c r="H7" s="113"/>
      <c r="I7" s="114"/>
      <c r="J7" s="115"/>
      <c r="K7" s="113"/>
      <c r="L7" s="113"/>
      <c r="M7" s="113"/>
      <c r="N7" s="113"/>
      <c r="O7" s="113"/>
      <c r="P7" s="113"/>
      <c r="Q7" s="113"/>
      <c r="R7" s="115"/>
      <c r="S7" s="114"/>
      <c r="T7" s="116"/>
      <c r="U7" s="113"/>
      <c r="V7" s="113"/>
      <c r="W7" s="113"/>
      <c r="X7" s="113"/>
      <c r="Y7" s="113"/>
      <c r="Z7" s="113"/>
      <c r="AA7" s="114"/>
      <c r="AB7" s="116"/>
      <c r="AC7" s="113"/>
      <c r="AD7" s="113"/>
      <c r="AE7" s="113"/>
      <c r="AF7" s="113"/>
      <c r="AG7" s="113"/>
      <c r="AH7" s="113"/>
      <c r="AI7" s="114"/>
    </row>
    <row r="8" customFormat="false" ht="12.75" hidden="false" customHeight="false" outlineLevel="0" collapsed="false">
      <c r="A8" s="112" t="s">
        <v>154</v>
      </c>
      <c r="B8" s="113"/>
      <c r="C8" s="113"/>
      <c r="D8" s="113"/>
      <c r="E8" s="113"/>
      <c r="F8" s="113"/>
      <c r="G8" s="113"/>
      <c r="H8" s="113"/>
      <c r="I8" s="114"/>
      <c r="J8" s="115"/>
      <c r="K8" s="113"/>
      <c r="L8" s="113"/>
      <c r="M8" s="113"/>
      <c r="N8" s="113"/>
      <c r="O8" s="113"/>
      <c r="P8" s="113"/>
      <c r="Q8" s="113"/>
      <c r="R8" s="115"/>
      <c r="S8" s="114"/>
      <c r="T8" s="116"/>
      <c r="U8" s="113"/>
      <c r="V8" s="113"/>
      <c r="W8" s="113"/>
      <c r="X8" s="113"/>
      <c r="Y8" s="113"/>
      <c r="Z8" s="113"/>
      <c r="AA8" s="114"/>
      <c r="AB8" s="116"/>
      <c r="AC8" s="113"/>
      <c r="AD8" s="113"/>
      <c r="AE8" s="113"/>
      <c r="AF8" s="113"/>
      <c r="AG8" s="113"/>
      <c r="AH8" s="113"/>
      <c r="AI8" s="114"/>
    </row>
    <row r="9" customFormat="false" ht="13.5" hidden="false" customHeight="false" outlineLevel="0" collapsed="false">
      <c r="A9" s="117" t="s">
        <v>155</v>
      </c>
      <c r="B9" s="118"/>
      <c r="C9" s="118"/>
      <c r="D9" s="118"/>
      <c r="E9" s="118"/>
      <c r="F9" s="118"/>
      <c r="G9" s="118"/>
      <c r="H9" s="118"/>
      <c r="I9" s="119"/>
      <c r="J9" s="120"/>
      <c r="K9" s="118"/>
      <c r="L9" s="118"/>
      <c r="M9" s="118"/>
      <c r="N9" s="118"/>
      <c r="O9" s="118"/>
      <c r="P9" s="118"/>
      <c r="Q9" s="118"/>
      <c r="R9" s="120"/>
      <c r="S9" s="119"/>
      <c r="T9" s="121"/>
      <c r="U9" s="118"/>
      <c r="V9" s="118"/>
      <c r="W9" s="118"/>
      <c r="X9" s="118"/>
      <c r="Y9" s="118"/>
      <c r="Z9" s="118"/>
      <c r="AA9" s="119"/>
      <c r="AB9" s="121"/>
      <c r="AC9" s="118"/>
      <c r="AD9" s="118"/>
      <c r="AE9" s="118"/>
      <c r="AF9" s="118"/>
      <c r="AG9" s="118"/>
      <c r="AH9" s="118"/>
      <c r="AI9" s="119"/>
    </row>
    <row r="10" customFormat="false" ht="13.5" hidden="false" customHeight="false" outlineLevel="0" collapsed="false">
      <c r="A10" s="122" t="s">
        <v>41</v>
      </c>
      <c r="B10" s="123"/>
      <c r="C10" s="123"/>
      <c r="D10" s="123"/>
      <c r="E10" s="123"/>
      <c r="F10" s="123"/>
      <c r="G10" s="123"/>
      <c r="H10" s="123"/>
      <c r="I10" s="124"/>
      <c r="J10" s="123"/>
      <c r="K10" s="123"/>
      <c r="L10" s="123"/>
      <c r="M10" s="123"/>
      <c r="N10" s="123"/>
      <c r="O10" s="123"/>
      <c r="P10" s="123"/>
      <c r="Q10" s="123"/>
      <c r="R10" s="123"/>
      <c r="S10" s="124"/>
      <c r="T10" s="125"/>
      <c r="U10" s="123"/>
      <c r="V10" s="123"/>
      <c r="W10" s="123"/>
      <c r="X10" s="123"/>
      <c r="Y10" s="123"/>
      <c r="Z10" s="123"/>
      <c r="AA10" s="124"/>
      <c r="AB10" s="125"/>
      <c r="AC10" s="123"/>
      <c r="AD10" s="123"/>
      <c r="AE10" s="123"/>
      <c r="AF10" s="123"/>
      <c r="AG10" s="123"/>
      <c r="AH10" s="123"/>
      <c r="AI10" s="124"/>
    </row>
    <row r="11" customFormat="false" ht="12.75" hidden="false" customHeight="false" outlineLevel="0" collapsed="false">
      <c r="A11" s="107" t="s">
        <v>39</v>
      </c>
      <c r="B11" s="108" t="n">
        <v>0</v>
      </c>
      <c r="C11" s="108" t="n">
        <v>23</v>
      </c>
      <c r="D11" s="108" t="n">
        <v>0</v>
      </c>
      <c r="E11" s="108" t="n">
        <v>7</v>
      </c>
      <c r="F11" s="108" t="n">
        <v>0</v>
      </c>
      <c r="G11" s="108" t="n">
        <v>10</v>
      </c>
      <c r="H11" s="108" t="n">
        <v>0</v>
      </c>
      <c r="I11" s="109" t="n">
        <v>19</v>
      </c>
      <c r="J11" s="110" t="n">
        <v>0</v>
      </c>
      <c r="K11" s="108" t="n">
        <v>19</v>
      </c>
      <c r="L11" s="108" t="n">
        <v>0</v>
      </c>
      <c r="M11" s="108" t="n">
        <v>24</v>
      </c>
      <c r="N11" s="108" t="n">
        <v>0</v>
      </c>
      <c r="O11" s="108" t="n">
        <v>8</v>
      </c>
      <c r="P11" s="108" t="n">
        <v>0</v>
      </c>
      <c r="Q11" s="108" t="n">
        <v>9</v>
      </c>
      <c r="R11" s="110" t="n">
        <v>0</v>
      </c>
      <c r="S11" s="109" t="n">
        <v>14</v>
      </c>
      <c r="T11" s="111" t="n">
        <v>0</v>
      </c>
      <c r="U11" s="108" t="n">
        <v>22</v>
      </c>
      <c r="V11" s="108" t="n">
        <v>0</v>
      </c>
      <c r="W11" s="108" t="n">
        <v>28</v>
      </c>
      <c r="X11" s="108" t="n">
        <v>0</v>
      </c>
      <c r="Y11" s="108" t="n">
        <v>27</v>
      </c>
      <c r="Z11" s="108" t="n">
        <v>0</v>
      </c>
      <c r="AA11" s="109" t="n">
        <v>13</v>
      </c>
      <c r="AB11" s="111" t="n">
        <v>0</v>
      </c>
      <c r="AC11" s="108" t="n">
        <v>23</v>
      </c>
      <c r="AD11" s="108"/>
      <c r="AE11" s="108"/>
      <c r="AF11" s="108"/>
      <c r="AG11" s="108"/>
      <c r="AH11" s="108"/>
      <c r="AI11" s="109"/>
    </row>
    <row r="12" customFormat="false" ht="12.75" hidden="false" customHeight="false" outlineLevel="0" collapsed="false">
      <c r="A12" s="112" t="s">
        <v>33</v>
      </c>
      <c r="B12" s="113" t="n">
        <v>0</v>
      </c>
      <c r="C12" s="113" t="n">
        <v>2</v>
      </c>
      <c r="D12" s="113" t="n">
        <v>2</v>
      </c>
      <c r="E12" s="113" t="n">
        <v>0</v>
      </c>
      <c r="F12" s="113" t="n">
        <v>0</v>
      </c>
      <c r="G12" s="113" t="n">
        <v>2</v>
      </c>
      <c r="H12" s="113" t="n">
        <v>0</v>
      </c>
      <c r="I12" s="114" t="n">
        <v>2</v>
      </c>
      <c r="J12" s="115" t="n">
        <v>0</v>
      </c>
      <c r="K12" s="113" t="n">
        <v>0</v>
      </c>
      <c r="L12" s="113" t="n">
        <v>0</v>
      </c>
      <c r="M12" s="113" t="n">
        <v>10</v>
      </c>
      <c r="N12" s="113" t="n">
        <v>0</v>
      </c>
      <c r="O12" s="113" t="n">
        <v>12</v>
      </c>
      <c r="P12" s="113" t="n">
        <v>0</v>
      </c>
      <c r="Q12" s="113" t="n">
        <v>0</v>
      </c>
      <c r="R12" s="115" t="n">
        <v>0</v>
      </c>
      <c r="S12" s="114" t="n">
        <v>0</v>
      </c>
      <c r="T12" s="116" t="n">
        <v>0</v>
      </c>
      <c r="U12" s="113" t="n">
        <v>0</v>
      </c>
      <c r="V12" s="113" t="n">
        <v>0</v>
      </c>
      <c r="W12" s="113" t="n">
        <v>1</v>
      </c>
      <c r="X12" s="113" t="n">
        <v>0</v>
      </c>
      <c r="Y12" s="113" t="n">
        <v>0</v>
      </c>
      <c r="Z12" s="113" t="n">
        <v>5</v>
      </c>
      <c r="AA12" s="114" t="n">
        <v>0</v>
      </c>
      <c r="AB12" s="116" t="n">
        <v>0</v>
      </c>
      <c r="AC12" s="113" t="n">
        <v>1</v>
      </c>
      <c r="AD12" s="113"/>
      <c r="AE12" s="113"/>
      <c r="AF12" s="113"/>
      <c r="AG12" s="113"/>
      <c r="AH12" s="113"/>
      <c r="AI12" s="114"/>
    </row>
    <row r="13" customFormat="false" ht="12.75" hidden="false" customHeight="false" outlineLevel="0" collapsed="false">
      <c r="A13" s="112" t="s">
        <v>156</v>
      </c>
      <c r="B13" s="113" t="n">
        <v>0</v>
      </c>
      <c r="C13" s="113" t="n">
        <v>1</v>
      </c>
      <c r="D13" s="113" t="n">
        <v>0</v>
      </c>
      <c r="E13" s="113" t="n">
        <v>4</v>
      </c>
      <c r="F13" s="113" t="n">
        <v>0</v>
      </c>
      <c r="G13" s="113" t="n">
        <v>12</v>
      </c>
      <c r="H13" s="113" t="n">
        <v>0</v>
      </c>
      <c r="I13" s="114" t="n">
        <v>10</v>
      </c>
      <c r="J13" s="115" t="n">
        <v>0</v>
      </c>
      <c r="K13" s="113" t="n">
        <v>4</v>
      </c>
      <c r="L13" s="113" t="n">
        <v>0</v>
      </c>
      <c r="M13" s="113" t="n">
        <v>0</v>
      </c>
      <c r="N13" s="113" t="n">
        <v>0</v>
      </c>
      <c r="O13" s="113" t="n">
        <v>0</v>
      </c>
      <c r="P13" s="113" t="n">
        <v>0</v>
      </c>
      <c r="Q13" s="113" t="n">
        <v>2</v>
      </c>
      <c r="R13" s="115" t="n">
        <v>0</v>
      </c>
      <c r="S13" s="114" t="n">
        <v>11</v>
      </c>
      <c r="T13" s="116" t="n">
        <v>0</v>
      </c>
      <c r="U13" s="113" t="n">
        <v>17</v>
      </c>
      <c r="V13" s="113" t="n">
        <v>0</v>
      </c>
      <c r="W13" s="113" t="n">
        <v>7</v>
      </c>
      <c r="X13" s="113" t="n">
        <v>0</v>
      </c>
      <c r="Y13" s="113" t="n">
        <v>3</v>
      </c>
      <c r="Z13" s="113" t="n">
        <v>2</v>
      </c>
      <c r="AA13" s="114" t="n">
        <v>1</v>
      </c>
      <c r="AB13" s="116" t="n">
        <v>0</v>
      </c>
      <c r="AC13" s="113" t="n">
        <v>3</v>
      </c>
      <c r="AD13" s="113"/>
      <c r="AE13" s="113"/>
      <c r="AF13" s="113"/>
      <c r="AG13" s="113"/>
      <c r="AH13" s="113"/>
      <c r="AI13" s="114"/>
    </row>
    <row r="14" customFormat="false" ht="13.5" hidden="false" customHeight="false" outlineLevel="0" collapsed="false">
      <c r="A14" s="117" t="s">
        <v>42</v>
      </c>
      <c r="B14" s="118" t="n">
        <v>0</v>
      </c>
      <c r="C14" s="118" t="n">
        <v>0</v>
      </c>
      <c r="D14" s="118" t="n">
        <v>0</v>
      </c>
      <c r="E14" s="118" t="n">
        <v>0</v>
      </c>
      <c r="F14" s="118" t="n">
        <v>0</v>
      </c>
      <c r="G14" s="118" t="n">
        <v>0</v>
      </c>
      <c r="H14" s="118" t="n">
        <v>0</v>
      </c>
      <c r="I14" s="119" t="n">
        <v>0</v>
      </c>
      <c r="J14" s="120" t="n">
        <v>0</v>
      </c>
      <c r="K14" s="118" t="n">
        <v>1</v>
      </c>
      <c r="L14" s="118" t="n">
        <v>0</v>
      </c>
      <c r="M14" s="118" t="n">
        <v>0</v>
      </c>
      <c r="N14" s="118" t="n">
        <v>0</v>
      </c>
      <c r="O14" s="118" t="n">
        <v>0</v>
      </c>
      <c r="P14" s="118" t="n">
        <v>0</v>
      </c>
      <c r="Q14" s="118" t="n">
        <v>0</v>
      </c>
      <c r="R14" s="120" t="n">
        <v>0</v>
      </c>
      <c r="S14" s="119" t="n">
        <v>0</v>
      </c>
      <c r="T14" s="121" t="n">
        <v>0</v>
      </c>
      <c r="U14" s="118" t="n">
        <v>0</v>
      </c>
      <c r="V14" s="118" t="n">
        <v>0</v>
      </c>
      <c r="W14" s="118" t="n">
        <v>0</v>
      </c>
      <c r="X14" s="118" t="n">
        <v>0</v>
      </c>
      <c r="Y14" s="118" t="n">
        <v>0</v>
      </c>
      <c r="Z14" s="118" t="n">
        <v>0</v>
      </c>
      <c r="AA14" s="119" t="n">
        <v>0</v>
      </c>
      <c r="AB14" s="121" t="n">
        <v>0</v>
      </c>
      <c r="AC14" s="118" t="n">
        <v>0</v>
      </c>
      <c r="AD14" s="118"/>
      <c r="AE14" s="118"/>
      <c r="AF14" s="118"/>
      <c r="AG14" s="118"/>
      <c r="AH14" s="118"/>
      <c r="AI14" s="119"/>
    </row>
    <row r="15" customFormat="false" ht="13.5" hidden="false" customHeight="false" outlineLevel="0" collapsed="false">
      <c r="A15" s="126" t="s">
        <v>23</v>
      </c>
      <c r="B15" s="127"/>
      <c r="C15" s="127"/>
      <c r="D15" s="127"/>
      <c r="E15" s="127"/>
      <c r="F15" s="127"/>
      <c r="G15" s="127"/>
      <c r="H15" s="127"/>
      <c r="I15" s="128"/>
      <c r="J15" s="127"/>
      <c r="K15" s="127"/>
      <c r="L15" s="127"/>
      <c r="M15" s="127"/>
      <c r="N15" s="127"/>
      <c r="O15" s="127"/>
      <c r="P15" s="127"/>
      <c r="Q15" s="127"/>
      <c r="R15" s="127"/>
      <c r="S15" s="128"/>
      <c r="T15" s="129"/>
      <c r="U15" s="127"/>
      <c r="V15" s="127"/>
      <c r="W15" s="127"/>
      <c r="X15" s="127"/>
      <c r="Y15" s="127"/>
      <c r="Z15" s="127"/>
      <c r="AA15" s="128"/>
      <c r="AB15" s="129"/>
      <c r="AC15" s="127"/>
      <c r="AD15" s="127"/>
      <c r="AE15" s="127"/>
      <c r="AF15" s="127"/>
      <c r="AG15" s="127"/>
      <c r="AH15" s="127"/>
      <c r="AI15" s="128"/>
    </row>
    <row r="16" customFormat="false" ht="12.75" hidden="false" customHeight="false" outlineLevel="0" collapsed="false">
      <c r="A16" s="107" t="s">
        <v>25</v>
      </c>
      <c r="B16" s="108"/>
      <c r="C16" s="108"/>
      <c r="D16" s="108"/>
      <c r="E16" s="108"/>
      <c r="F16" s="108"/>
      <c r="G16" s="108"/>
      <c r="H16" s="108"/>
      <c r="I16" s="109"/>
      <c r="J16" s="110"/>
      <c r="K16" s="108"/>
      <c r="L16" s="108"/>
      <c r="M16" s="108"/>
      <c r="N16" s="108"/>
      <c r="O16" s="108"/>
      <c r="P16" s="108"/>
      <c r="Q16" s="108"/>
      <c r="R16" s="110"/>
      <c r="S16" s="109"/>
      <c r="T16" s="111"/>
      <c r="U16" s="108"/>
      <c r="V16" s="108"/>
      <c r="W16" s="108"/>
      <c r="X16" s="108"/>
      <c r="Y16" s="108"/>
      <c r="Z16" s="108"/>
      <c r="AA16" s="109"/>
      <c r="AB16" s="111"/>
      <c r="AC16" s="108"/>
      <c r="AD16" s="108"/>
      <c r="AE16" s="108"/>
      <c r="AF16" s="108"/>
      <c r="AG16" s="108"/>
      <c r="AH16" s="108"/>
      <c r="AI16" s="109"/>
    </row>
    <row r="17" customFormat="false" ht="12.75" hidden="false" customHeight="false" outlineLevel="0" collapsed="false">
      <c r="A17" s="112" t="s">
        <v>32</v>
      </c>
      <c r="B17" s="113"/>
      <c r="C17" s="113"/>
      <c r="D17" s="113"/>
      <c r="E17" s="113"/>
      <c r="F17" s="113"/>
      <c r="G17" s="113"/>
      <c r="H17" s="113"/>
      <c r="I17" s="114"/>
      <c r="J17" s="115"/>
      <c r="K17" s="113"/>
      <c r="L17" s="113"/>
      <c r="M17" s="113"/>
      <c r="N17" s="113"/>
      <c r="O17" s="113"/>
      <c r="P17" s="113"/>
      <c r="Q17" s="113"/>
      <c r="R17" s="115"/>
      <c r="S17" s="114"/>
      <c r="T17" s="116"/>
      <c r="U17" s="113"/>
      <c r="V17" s="113"/>
      <c r="W17" s="113"/>
      <c r="X17" s="113"/>
      <c r="Y17" s="113"/>
      <c r="Z17" s="113"/>
      <c r="AA17" s="114"/>
      <c r="AB17" s="116"/>
      <c r="AC17" s="113"/>
      <c r="AD17" s="113"/>
      <c r="AE17" s="113"/>
      <c r="AF17" s="113"/>
      <c r="AG17" s="113"/>
      <c r="AH17" s="113"/>
      <c r="AI17" s="114"/>
    </row>
    <row r="18" customFormat="false" ht="12.75" hidden="false" customHeight="false" outlineLevel="0" collapsed="false">
      <c r="A18" s="112" t="s">
        <v>27</v>
      </c>
      <c r="B18" s="113"/>
      <c r="C18" s="113"/>
      <c r="D18" s="113"/>
      <c r="E18" s="113"/>
      <c r="F18" s="113"/>
      <c r="G18" s="113"/>
      <c r="H18" s="113"/>
      <c r="I18" s="114"/>
      <c r="J18" s="115"/>
      <c r="K18" s="113"/>
      <c r="L18" s="113"/>
      <c r="M18" s="113"/>
      <c r="N18" s="113"/>
      <c r="O18" s="113"/>
      <c r="P18" s="113"/>
      <c r="Q18" s="113"/>
      <c r="R18" s="115"/>
      <c r="S18" s="114"/>
      <c r="T18" s="116"/>
      <c r="U18" s="113"/>
      <c r="V18" s="113"/>
      <c r="W18" s="113"/>
      <c r="X18" s="113"/>
      <c r="Y18" s="113"/>
      <c r="Z18" s="113"/>
      <c r="AA18" s="114"/>
      <c r="AB18" s="116"/>
      <c r="AC18" s="113"/>
      <c r="AD18" s="113"/>
      <c r="AE18" s="113"/>
      <c r="AF18" s="113"/>
      <c r="AG18" s="113"/>
      <c r="AH18" s="113"/>
      <c r="AI18" s="114"/>
    </row>
    <row r="19" customFormat="false" ht="13.5" hidden="false" customHeight="false" outlineLevel="0" collapsed="false">
      <c r="A19" s="117" t="s">
        <v>35</v>
      </c>
      <c r="B19" s="118"/>
      <c r="C19" s="118"/>
      <c r="D19" s="118"/>
      <c r="E19" s="118"/>
      <c r="F19" s="118"/>
      <c r="G19" s="118"/>
      <c r="H19" s="118"/>
      <c r="I19" s="119"/>
      <c r="J19" s="120"/>
      <c r="K19" s="118"/>
      <c r="L19" s="118"/>
      <c r="M19" s="118"/>
      <c r="N19" s="118"/>
      <c r="O19" s="118"/>
      <c r="P19" s="118"/>
      <c r="Q19" s="118"/>
      <c r="R19" s="120"/>
      <c r="S19" s="119"/>
      <c r="T19" s="121"/>
      <c r="U19" s="118"/>
      <c r="V19" s="118"/>
      <c r="W19" s="118"/>
      <c r="X19" s="118"/>
      <c r="Y19" s="118"/>
      <c r="Z19" s="118"/>
      <c r="AA19" s="119"/>
      <c r="AB19" s="121"/>
      <c r="AC19" s="118"/>
      <c r="AD19" s="118"/>
      <c r="AE19" s="118"/>
      <c r="AF19" s="118"/>
      <c r="AG19" s="118"/>
      <c r="AH19" s="118"/>
      <c r="AI19" s="119"/>
    </row>
    <row r="20" customFormat="false" ht="13.5" hidden="false" customHeight="false" outlineLevel="0" collapsed="false">
      <c r="A20" s="99" t="s">
        <v>157</v>
      </c>
      <c r="B20" s="130"/>
      <c r="C20" s="130"/>
      <c r="D20" s="130"/>
      <c r="E20" s="130"/>
      <c r="F20" s="130"/>
      <c r="G20" s="130"/>
      <c r="H20" s="130"/>
      <c r="I20" s="131"/>
      <c r="J20" s="130"/>
      <c r="K20" s="130"/>
      <c r="L20" s="130"/>
      <c r="M20" s="130"/>
      <c r="N20" s="130"/>
      <c r="O20" s="130"/>
      <c r="P20" s="130"/>
      <c r="Q20" s="130"/>
      <c r="R20" s="130"/>
      <c r="S20" s="131"/>
      <c r="T20" s="132"/>
      <c r="U20" s="130"/>
      <c r="V20" s="130"/>
      <c r="W20" s="130"/>
      <c r="X20" s="130"/>
      <c r="Y20" s="130"/>
      <c r="Z20" s="130"/>
      <c r="AA20" s="131"/>
      <c r="AB20" s="132"/>
      <c r="AC20" s="130"/>
      <c r="AD20" s="130"/>
      <c r="AE20" s="130"/>
      <c r="AF20" s="130"/>
      <c r="AG20" s="130"/>
      <c r="AH20" s="130"/>
      <c r="AI20" s="131"/>
    </row>
    <row r="21" customFormat="false" ht="13.5" hidden="false" customHeight="false" outlineLevel="0" collapsed="false">
      <c r="A21" s="126" t="s">
        <v>118</v>
      </c>
      <c r="B21" s="127"/>
      <c r="C21" s="127"/>
      <c r="D21" s="127"/>
      <c r="E21" s="127"/>
      <c r="F21" s="127"/>
      <c r="G21" s="127"/>
      <c r="H21" s="127"/>
      <c r="I21" s="128"/>
      <c r="J21" s="127"/>
      <c r="K21" s="127"/>
      <c r="L21" s="127"/>
      <c r="M21" s="127"/>
      <c r="N21" s="127"/>
      <c r="O21" s="127"/>
      <c r="P21" s="127"/>
      <c r="Q21" s="127"/>
      <c r="R21" s="127"/>
      <c r="S21" s="128"/>
      <c r="T21" s="129"/>
      <c r="U21" s="127"/>
      <c r="V21" s="127"/>
      <c r="W21" s="127"/>
      <c r="X21" s="127"/>
      <c r="Y21" s="127"/>
      <c r="Z21" s="127"/>
      <c r="AA21" s="128"/>
      <c r="AB21" s="129"/>
      <c r="AC21" s="127"/>
      <c r="AD21" s="127"/>
      <c r="AE21" s="127"/>
      <c r="AF21" s="127"/>
      <c r="AG21" s="127"/>
      <c r="AH21" s="127"/>
      <c r="AI21" s="128"/>
    </row>
    <row r="22" customFormat="false" ht="12.75" hidden="false" customHeight="false" outlineLevel="0" collapsed="false">
      <c r="A22" s="133" t="s">
        <v>153</v>
      </c>
      <c r="B22" s="134"/>
      <c r="C22" s="134"/>
      <c r="D22" s="134"/>
      <c r="E22" s="134"/>
      <c r="F22" s="134"/>
      <c r="G22" s="134"/>
      <c r="H22" s="134"/>
      <c r="I22" s="135"/>
      <c r="J22" s="136"/>
      <c r="K22" s="134"/>
      <c r="L22" s="134"/>
      <c r="M22" s="134"/>
      <c r="N22" s="134"/>
      <c r="O22" s="134"/>
      <c r="P22" s="134"/>
      <c r="Q22" s="134"/>
      <c r="R22" s="136"/>
      <c r="S22" s="135"/>
      <c r="T22" s="137"/>
      <c r="U22" s="134"/>
      <c r="V22" s="134"/>
      <c r="W22" s="134"/>
      <c r="X22" s="134"/>
      <c r="Y22" s="134"/>
      <c r="Z22" s="134"/>
      <c r="AA22" s="135"/>
      <c r="AB22" s="137"/>
      <c r="AC22" s="134"/>
      <c r="AD22" s="134"/>
      <c r="AE22" s="134"/>
      <c r="AF22" s="134"/>
      <c r="AG22" s="134"/>
      <c r="AH22" s="134"/>
      <c r="AI22" s="135"/>
    </row>
    <row r="23" customFormat="false" ht="12.75" hidden="false" customHeight="false" outlineLevel="0" collapsed="false">
      <c r="A23" s="112" t="s">
        <v>152</v>
      </c>
      <c r="B23" s="113"/>
      <c r="C23" s="113"/>
      <c r="D23" s="113"/>
      <c r="E23" s="113"/>
      <c r="F23" s="113"/>
      <c r="G23" s="113"/>
      <c r="H23" s="113"/>
      <c r="I23" s="114"/>
      <c r="J23" s="115"/>
      <c r="K23" s="113"/>
      <c r="L23" s="113"/>
      <c r="M23" s="113"/>
      <c r="N23" s="113"/>
      <c r="O23" s="113"/>
      <c r="P23" s="113"/>
      <c r="Q23" s="113"/>
      <c r="R23" s="115"/>
      <c r="S23" s="114"/>
      <c r="T23" s="116"/>
      <c r="U23" s="113"/>
      <c r="V23" s="113"/>
      <c r="W23" s="113"/>
      <c r="X23" s="113"/>
      <c r="Y23" s="113"/>
      <c r="Z23" s="113"/>
      <c r="AA23" s="114"/>
      <c r="AB23" s="116"/>
      <c r="AC23" s="113"/>
      <c r="AD23" s="113"/>
      <c r="AE23" s="113"/>
      <c r="AF23" s="113"/>
      <c r="AG23" s="113"/>
      <c r="AH23" s="113"/>
      <c r="AI23" s="114"/>
    </row>
    <row r="24" customFormat="false" ht="12.75" hidden="false" customHeight="false" outlineLevel="0" collapsed="false">
      <c r="A24" s="112" t="s">
        <v>154</v>
      </c>
      <c r="B24" s="113"/>
      <c r="C24" s="113"/>
      <c r="D24" s="113"/>
      <c r="E24" s="113"/>
      <c r="F24" s="113"/>
      <c r="G24" s="113"/>
      <c r="H24" s="113"/>
      <c r="I24" s="114"/>
      <c r="J24" s="115"/>
      <c r="K24" s="113"/>
      <c r="L24" s="113"/>
      <c r="M24" s="113"/>
      <c r="N24" s="113"/>
      <c r="O24" s="113"/>
      <c r="P24" s="113"/>
      <c r="Q24" s="113"/>
      <c r="R24" s="115"/>
      <c r="S24" s="114"/>
      <c r="T24" s="116"/>
      <c r="U24" s="113"/>
      <c r="V24" s="113"/>
      <c r="W24" s="113"/>
      <c r="X24" s="113"/>
      <c r="Y24" s="113"/>
      <c r="Z24" s="113"/>
      <c r="AA24" s="114"/>
      <c r="AB24" s="116"/>
      <c r="AC24" s="113"/>
      <c r="AD24" s="113"/>
      <c r="AE24" s="113"/>
      <c r="AF24" s="113"/>
      <c r="AG24" s="113"/>
      <c r="AH24" s="113"/>
      <c r="AI24" s="114"/>
    </row>
    <row r="25" customFormat="false" ht="13.5" hidden="false" customHeight="false" outlineLevel="0" collapsed="false">
      <c r="A25" s="138" t="s">
        <v>155</v>
      </c>
      <c r="B25" s="139"/>
      <c r="C25" s="139"/>
      <c r="D25" s="139"/>
      <c r="E25" s="139"/>
      <c r="F25" s="139"/>
      <c r="G25" s="139"/>
      <c r="H25" s="139"/>
      <c r="I25" s="140"/>
      <c r="J25" s="141"/>
      <c r="K25" s="139"/>
      <c r="L25" s="139"/>
      <c r="M25" s="139"/>
      <c r="N25" s="139"/>
      <c r="O25" s="139"/>
      <c r="P25" s="139"/>
      <c r="Q25" s="139"/>
      <c r="R25" s="141"/>
      <c r="S25" s="140"/>
      <c r="T25" s="142"/>
      <c r="U25" s="139"/>
      <c r="V25" s="139"/>
      <c r="W25" s="139"/>
      <c r="X25" s="139"/>
      <c r="Y25" s="139"/>
      <c r="Z25" s="139"/>
      <c r="AA25" s="140"/>
      <c r="AB25" s="142"/>
      <c r="AC25" s="139"/>
      <c r="AD25" s="139"/>
      <c r="AE25" s="139"/>
      <c r="AF25" s="139"/>
      <c r="AG25" s="139"/>
      <c r="AH25" s="139"/>
      <c r="AI25" s="140"/>
    </row>
    <row r="26" customFormat="false" ht="13.5" hidden="false" customHeight="false" outlineLevel="0" collapsed="false">
      <c r="A26" s="126" t="s">
        <v>41</v>
      </c>
      <c r="B26" s="127"/>
      <c r="C26" s="127"/>
      <c r="D26" s="127"/>
      <c r="E26" s="127"/>
      <c r="F26" s="127"/>
      <c r="G26" s="127"/>
      <c r="H26" s="127"/>
      <c r="I26" s="128"/>
      <c r="J26" s="127"/>
      <c r="K26" s="127"/>
      <c r="L26" s="127"/>
      <c r="M26" s="127"/>
      <c r="N26" s="127"/>
      <c r="O26" s="127"/>
      <c r="P26" s="127"/>
      <c r="Q26" s="127"/>
      <c r="R26" s="127"/>
      <c r="S26" s="128"/>
      <c r="T26" s="129"/>
      <c r="U26" s="127"/>
      <c r="V26" s="127"/>
      <c r="W26" s="127"/>
      <c r="X26" s="127"/>
      <c r="Y26" s="127"/>
      <c r="Z26" s="127"/>
      <c r="AA26" s="128"/>
      <c r="AB26" s="129"/>
      <c r="AC26" s="127"/>
      <c r="AD26" s="127"/>
      <c r="AE26" s="127"/>
      <c r="AF26" s="127"/>
      <c r="AG26" s="127"/>
      <c r="AH26" s="127"/>
      <c r="AI26" s="128"/>
    </row>
    <row r="27" customFormat="false" ht="12.75" hidden="false" customHeight="false" outlineLevel="0" collapsed="false">
      <c r="A27" s="133" t="s">
        <v>39</v>
      </c>
      <c r="B27" s="134" t="n">
        <v>1</v>
      </c>
      <c r="C27" s="134" t="n">
        <v>62</v>
      </c>
      <c r="D27" s="134" t="n">
        <v>12</v>
      </c>
      <c r="E27" s="134" t="n">
        <v>107</v>
      </c>
      <c r="F27" s="134" t="n">
        <v>10</v>
      </c>
      <c r="G27" s="134" t="n">
        <v>83</v>
      </c>
      <c r="H27" s="134" t="n">
        <v>2</v>
      </c>
      <c r="I27" s="135" t="n">
        <v>103</v>
      </c>
      <c r="J27" s="136" t="n">
        <v>5</v>
      </c>
      <c r="K27" s="134" t="n">
        <v>62</v>
      </c>
      <c r="L27" s="134" t="n">
        <v>7</v>
      </c>
      <c r="M27" s="134" t="n">
        <v>38</v>
      </c>
      <c r="N27" s="134" t="n">
        <v>4</v>
      </c>
      <c r="O27" s="134" t="n">
        <v>26</v>
      </c>
      <c r="P27" s="134" t="n">
        <v>2</v>
      </c>
      <c r="Q27" s="134" t="n">
        <v>30</v>
      </c>
      <c r="R27" s="136" t="n">
        <v>5</v>
      </c>
      <c r="S27" s="135" t="n">
        <v>50</v>
      </c>
      <c r="T27" s="137" t="n">
        <v>7</v>
      </c>
      <c r="U27" s="134" t="n">
        <v>55</v>
      </c>
      <c r="V27" s="134" t="n">
        <v>7</v>
      </c>
      <c r="W27" s="134" t="n">
        <v>45</v>
      </c>
      <c r="X27" s="134" t="n">
        <v>5</v>
      </c>
      <c r="Y27" s="134" t="n">
        <v>62</v>
      </c>
      <c r="Z27" s="134" t="n">
        <v>9</v>
      </c>
      <c r="AA27" s="135" t="n">
        <v>101</v>
      </c>
      <c r="AB27" s="137" t="n">
        <v>3</v>
      </c>
      <c r="AC27" s="134" t="n">
        <v>119</v>
      </c>
      <c r="AD27" s="134"/>
      <c r="AE27" s="134"/>
      <c r="AF27" s="134"/>
      <c r="AG27" s="134"/>
      <c r="AH27" s="134"/>
      <c r="AI27" s="135"/>
    </row>
    <row r="28" customFormat="false" ht="12.75" hidden="false" customHeight="false" outlineLevel="0" collapsed="false">
      <c r="A28" s="112" t="s">
        <v>33</v>
      </c>
      <c r="B28" s="113" t="n">
        <v>0</v>
      </c>
      <c r="C28" s="113" t="n">
        <v>3</v>
      </c>
      <c r="D28" s="113" t="n">
        <v>0</v>
      </c>
      <c r="E28" s="113" t="n">
        <v>15</v>
      </c>
      <c r="F28" s="113" t="n">
        <v>1</v>
      </c>
      <c r="G28" s="113" t="n">
        <v>6</v>
      </c>
      <c r="H28" s="113" t="n">
        <v>0</v>
      </c>
      <c r="I28" s="114" t="n">
        <v>22</v>
      </c>
      <c r="J28" s="115" t="n">
        <v>0</v>
      </c>
      <c r="K28" s="113" t="n">
        <v>4</v>
      </c>
      <c r="L28" s="113" t="n">
        <v>0</v>
      </c>
      <c r="M28" s="113" t="n">
        <v>2</v>
      </c>
      <c r="N28" s="113" t="n">
        <v>0</v>
      </c>
      <c r="O28" s="113" t="n">
        <v>18</v>
      </c>
      <c r="P28" s="113" t="n">
        <v>0</v>
      </c>
      <c r="Q28" s="113" t="n">
        <v>17</v>
      </c>
      <c r="R28" s="115" t="n">
        <v>0</v>
      </c>
      <c r="S28" s="114" t="n">
        <v>18</v>
      </c>
      <c r="T28" s="116" t="n">
        <v>0</v>
      </c>
      <c r="U28" s="113" t="n">
        <v>20</v>
      </c>
      <c r="V28" s="113" t="n">
        <v>2</v>
      </c>
      <c r="W28" s="113" t="n">
        <v>43</v>
      </c>
      <c r="X28" s="113" t="n">
        <v>1</v>
      </c>
      <c r="Y28" s="113" t="n">
        <v>24</v>
      </c>
      <c r="Z28" s="113" t="n">
        <v>5</v>
      </c>
      <c r="AA28" s="114" t="n">
        <v>9</v>
      </c>
      <c r="AB28" s="116" t="n">
        <v>1</v>
      </c>
      <c r="AC28" s="113" t="n">
        <v>23</v>
      </c>
      <c r="AD28" s="113"/>
      <c r="AE28" s="113"/>
      <c r="AF28" s="113"/>
      <c r="AG28" s="113"/>
      <c r="AH28" s="113"/>
      <c r="AI28" s="114"/>
    </row>
    <row r="29" customFormat="false" ht="12.75" hidden="false" customHeight="false" outlineLevel="0" collapsed="false">
      <c r="A29" s="112" t="s">
        <v>156</v>
      </c>
      <c r="B29" s="113" t="n">
        <v>4</v>
      </c>
      <c r="C29" s="113" t="n">
        <v>1</v>
      </c>
      <c r="D29" s="113" t="n">
        <v>3</v>
      </c>
      <c r="E29" s="113" t="n">
        <v>10</v>
      </c>
      <c r="F29" s="113" t="n">
        <v>0</v>
      </c>
      <c r="G29" s="113" t="n">
        <v>12</v>
      </c>
      <c r="H29" s="113" t="n">
        <v>0</v>
      </c>
      <c r="I29" s="114" t="n">
        <v>9</v>
      </c>
      <c r="J29" s="115" t="n">
        <v>2</v>
      </c>
      <c r="K29" s="113" t="n">
        <v>23</v>
      </c>
      <c r="L29" s="113" t="n">
        <v>4</v>
      </c>
      <c r="M29" s="113" t="n">
        <v>13</v>
      </c>
      <c r="N29" s="113" t="n">
        <v>3</v>
      </c>
      <c r="O29" s="113" t="n">
        <v>12</v>
      </c>
      <c r="P29" s="113" t="n">
        <v>3</v>
      </c>
      <c r="Q29" s="113" t="n">
        <v>18</v>
      </c>
      <c r="R29" s="115" t="n">
        <v>5</v>
      </c>
      <c r="S29" s="114" t="n">
        <v>41</v>
      </c>
      <c r="T29" s="116" t="n">
        <v>4</v>
      </c>
      <c r="U29" s="113" t="n">
        <v>11</v>
      </c>
      <c r="V29" s="113" t="n">
        <v>9</v>
      </c>
      <c r="W29" s="113" t="n">
        <v>10</v>
      </c>
      <c r="X29" s="113" t="n">
        <v>2</v>
      </c>
      <c r="Y29" s="113" t="n">
        <v>35</v>
      </c>
      <c r="Z29" s="113" t="n">
        <v>0</v>
      </c>
      <c r="AA29" s="114" t="n">
        <v>29</v>
      </c>
      <c r="AB29" s="116" t="n">
        <v>3</v>
      </c>
      <c r="AC29" s="113" t="n">
        <v>24</v>
      </c>
      <c r="AD29" s="113"/>
      <c r="AE29" s="113"/>
      <c r="AF29" s="113"/>
      <c r="AG29" s="113"/>
      <c r="AH29" s="113"/>
      <c r="AI29" s="114"/>
    </row>
    <row r="30" customFormat="false" ht="13.5" hidden="false" customHeight="false" outlineLevel="0" collapsed="false">
      <c r="A30" s="138" t="s">
        <v>42</v>
      </c>
      <c r="B30" s="139" t="n">
        <v>0</v>
      </c>
      <c r="C30" s="139" t="n">
        <v>0</v>
      </c>
      <c r="D30" s="139" t="n">
        <v>0</v>
      </c>
      <c r="E30" s="139" t="n">
        <v>0</v>
      </c>
      <c r="F30" s="139" t="n">
        <v>0</v>
      </c>
      <c r="G30" s="139" t="n">
        <v>0</v>
      </c>
      <c r="H30" s="139" t="n">
        <v>0</v>
      </c>
      <c r="I30" s="140" t="n">
        <v>0</v>
      </c>
      <c r="J30" s="141" t="n">
        <v>0</v>
      </c>
      <c r="K30" s="139" t="n">
        <v>0</v>
      </c>
      <c r="L30" s="139" t="n">
        <v>0</v>
      </c>
      <c r="M30" s="139" t="n">
        <v>1</v>
      </c>
      <c r="N30" s="139" t="n">
        <v>0</v>
      </c>
      <c r="O30" s="139" t="n">
        <v>2</v>
      </c>
      <c r="P30" s="139" t="n">
        <v>0</v>
      </c>
      <c r="Q30" s="139" t="n">
        <v>0</v>
      </c>
      <c r="R30" s="141" t="n">
        <v>0</v>
      </c>
      <c r="S30" s="140" t="n">
        <v>1</v>
      </c>
      <c r="T30" s="142" t="n">
        <v>0</v>
      </c>
      <c r="U30" s="139" t="n">
        <v>0</v>
      </c>
      <c r="V30" s="139" t="n">
        <v>0</v>
      </c>
      <c r="W30" s="139" t="n">
        <v>0</v>
      </c>
      <c r="X30" s="139" t="n">
        <v>0</v>
      </c>
      <c r="Y30" s="139" t="n">
        <v>2</v>
      </c>
      <c r="Z30" s="139" t="n">
        <v>0</v>
      </c>
      <c r="AA30" s="140" t="n">
        <v>7</v>
      </c>
      <c r="AB30" s="142" t="n">
        <v>0</v>
      </c>
      <c r="AC30" s="139" t="n">
        <v>1</v>
      </c>
      <c r="AD30" s="139"/>
      <c r="AE30" s="139"/>
      <c r="AF30" s="139"/>
      <c r="AG30" s="139"/>
      <c r="AH30" s="139"/>
      <c r="AI30" s="140"/>
    </row>
    <row r="31" customFormat="false" ht="13.5" hidden="false" customHeight="false" outlineLevel="0" collapsed="false">
      <c r="A31" s="126" t="s">
        <v>23</v>
      </c>
      <c r="B31" s="127"/>
      <c r="C31" s="127"/>
      <c r="D31" s="127"/>
      <c r="E31" s="127"/>
      <c r="F31" s="127"/>
      <c r="G31" s="127"/>
      <c r="H31" s="127"/>
      <c r="I31" s="128"/>
      <c r="J31" s="127"/>
      <c r="K31" s="127"/>
      <c r="L31" s="127"/>
      <c r="M31" s="127"/>
      <c r="N31" s="127"/>
      <c r="O31" s="127"/>
      <c r="P31" s="127"/>
      <c r="Q31" s="127"/>
      <c r="R31" s="127"/>
      <c r="S31" s="128"/>
      <c r="T31" s="129"/>
      <c r="U31" s="127"/>
      <c r="V31" s="127"/>
      <c r="W31" s="127"/>
      <c r="X31" s="127"/>
      <c r="Y31" s="127"/>
      <c r="Z31" s="127"/>
      <c r="AA31" s="128"/>
      <c r="AB31" s="129"/>
      <c r="AC31" s="127"/>
      <c r="AD31" s="127"/>
      <c r="AE31" s="127"/>
      <c r="AF31" s="127"/>
      <c r="AG31" s="127"/>
      <c r="AH31" s="127"/>
      <c r="AI31" s="128"/>
    </row>
    <row r="32" customFormat="false" ht="12.75" hidden="false" customHeight="false" outlineLevel="0" collapsed="false">
      <c r="A32" s="107" t="s">
        <v>27</v>
      </c>
      <c r="B32" s="108"/>
      <c r="C32" s="108"/>
      <c r="D32" s="108"/>
      <c r="E32" s="108"/>
      <c r="F32" s="108"/>
      <c r="G32" s="108"/>
      <c r="H32" s="108"/>
      <c r="I32" s="109"/>
      <c r="J32" s="110"/>
      <c r="K32" s="108"/>
      <c r="L32" s="108"/>
      <c r="M32" s="108"/>
      <c r="N32" s="108"/>
      <c r="O32" s="108"/>
      <c r="P32" s="108"/>
      <c r="Q32" s="108"/>
      <c r="R32" s="110"/>
      <c r="S32" s="109"/>
      <c r="T32" s="111"/>
      <c r="U32" s="108"/>
      <c r="V32" s="108"/>
      <c r="W32" s="108"/>
      <c r="X32" s="108"/>
      <c r="Y32" s="108"/>
      <c r="Z32" s="108"/>
      <c r="AA32" s="109"/>
      <c r="AB32" s="111"/>
      <c r="AC32" s="108"/>
      <c r="AD32" s="108"/>
      <c r="AE32" s="108"/>
      <c r="AF32" s="108"/>
      <c r="AG32" s="108"/>
      <c r="AH32" s="108"/>
      <c r="AI32" s="109"/>
    </row>
    <row r="33" customFormat="false" ht="13.5" hidden="false" customHeight="false" outlineLevel="0" collapsed="false">
      <c r="A33" s="117" t="s">
        <v>29</v>
      </c>
      <c r="B33" s="118"/>
      <c r="C33" s="118"/>
      <c r="D33" s="118"/>
      <c r="E33" s="118"/>
      <c r="F33" s="118"/>
      <c r="G33" s="118"/>
      <c r="H33" s="118"/>
      <c r="I33" s="119"/>
      <c r="J33" s="120"/>
      <c r="K33" s="118"/>
      <c r="L33" s="118"/>
      <c r="M33" s="118"/>
      <c r="N33" s="118"/>
      <c r="O33" s="118"/>
      <c r="P33" s="118"/>
      <c r="Q33" s="118"/>
      <c r="R33" s="120"/>
      <c r="S33" s="119"/>
      <c r="T33" s="121"/>
      <c r="U33" s="118"/>
      <c r="V33" s="118"/>
      <c r="W33" s="118"/>
      <c r="X33" s="118"/>
      <c r="Y33" s="118"/>
      <c r="Z33" s="118"/>
      <c r="AA33" s="119"/>
      <c r="AB33" s="121"/>
      <c r="AC33" s="118"/>
      <c r="AD33" s="118"/>
      <c r="AE33" s="118"/>
      <c r="AF33" s="118"/>
      <c r="AG33" s="118"/>
      <c r="AH33" s="118"/>
      <c r="AI33" s="119"/>
    </row>
  </sheetData>
  <mergeCells count="22">
    <mergeCell ref="A1:A3"/>
    <mergeCell ref="B1:I1"/>
    <mergeCell ref="J1:Q1"/>
    <mergeCell ref="T1:AA1"/>
    <mergeCell ref="AB1:AI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5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3" t="s">
        <v>83</v>
      </c>
    </row>
    <row r="2" customFormat="false" ht="12.75" hidden="false" customHeight="false" outlineLevel="0" collapsed="false">
      <c r="B2" s="144" t="s">
        <v>158</v>
      </c>
      <c r="C2" s="144"/>
      <c r="D2" s="145" t="s">
        <v>159</v>
      </c>
    </row>
    <row r="3" customFormat="false" ht="12.75" hidden="false" customHeight="false" outlineLevel="0" collapsed="false">
      <c r="A3" s="146" t="s">
        <v>160</v>
      </c>
      <c r="B3" s="69" t="s">
        <v>1</v>
      </c>
      <c r="C3" s="69" t="s">
        <v>161</v>
      </c>
      <c r="D3" s="147" t="s">
        <v>122</v>
      </c>
    </row>
    <row r="4" customFormat="false" ht="12.75" hidden="false" customHeight="false" outlineLevel="0" collapsed="false">
      <c r="A4" s="84"/>
      <c r="B4" s="84"/>
      <c r="C4" s="84"/>
    </row>
    <row r="5" customFormat="false" ht="12.75" hidden="false" customHeight="false" outlineLevel="0" collapsed="false">
      <c r="A5" s="78" t="s">
        <v>11</v>
      </c>
      <c r="B5" s="148"/>
      <c r="C5" s="148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9" t="s">
        <v>14</v>
      </c>
      <c r="B6" s="150" t="n">
        <v>10211</v>
      </c>
      <c r="C6" s="35" t="n">
        <v>1100132468</v>
      </c>
      <c r="D6" s="74" t="s">
        <v>81</v>
      </c>
      <c r="E6" s="86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9" t="s">
        <v>17</v>
      </c>
      <c r="B7" s="150" t="n">
        <v>1796</v>
      </c>
      <c r="C7" s="35" t="n">
        <v>15451320</v>
      </c>
      <c r="D7" s="74" t="s">
        <v>85</v>
      </c>
      <c r="E7" s="86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78" t="s">
        <v>23</v>
      </c>
      <c r="B8" s="151"/>
      <c r="C8" s="152"/>
      <c r="D8" s="74"/>
      <c r="E8" s="8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9" t="s">
        <v>27</v>
      </c>
      <c r="B9" s="150" t="n">
        <v>1548</v>
      </c>
      <c r="C9" s="79" t="n">
        <v>40624000</v>
      </c>
      <c r="D9" s="74" t="s">
        <v>92</v>
      </c>
      <c r="E9" s="8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9" t="s">
        <v>29</v>
      </c>
      <c r="B10" s="150" t="n">
        <v>1</v>
      </c>
      <c r="C10" s="79" t="n">
        <v>37500</v>
      </c>
      <c r="D10" s="74" t="s">
        <v>95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9" t="s">
        <v>162</v>
      </c>
      <c r="B11" s="150" t="n">
        <v>3</v>
      </c>
      <c r="C11" s="79" t="n">
        <v>135000</v>
      </c>
      <c r="D11" s="74" t="s">
        <v>95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9" t="s">
        <v>32</v>
      </c>
      <c r="B12" s="150" t="n">
        <v>1</v>
      </c>
      <c r="C12" s="79" t="n">
        <v>300</v>
      </c>
      <c r="D12" s="74" t="s">
        <v>98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25</v>
      </c>
      <c r="B13" s="150" t="n">
        <v>0</v>
      </c>
      <c r="C13" s="150" t="n">
        <v>0</v>
      </c>
      <c r="D13" s="74" t="s">
        <v>100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9" t="s">
        <v>35</v>
      </c>
      <c r="B14" s="150" t="n">
        <v>0</v>
      </c>
      <c r="C14" s="150" t="n">
        <v>0</v>
      </c>
      <c r="D14" s="74" t="s">
        <v>102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78" t="s">
        <v>41</v>
      </c>
      <c r="B15" s="151"/>
      <c r="C15" s="152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9" t="s">
        <v>163</v>
      </c>
      <c r="B16" s="150" t="n">
        <v>0</v>
      </c>
      <c r="C16" s="150" t="n">
        <v>0</v>
      </c>
      <c r="D16" s="74" t="s">
        <v>95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9" t="s">
        <v>42</v>
      </c>
      <c r="B17" s="150" t="n">
        <v>0</v>
      </c>
      <c r="C17" s="150" t="n">
        <v>0</v>
      </c>
      <c r="D17" s="74" t="s">
        <v>95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150"/>
      <c r="C18" s="150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150"/>
      <c r="C19" s="150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4" t="s">
        <v>164</v>
      </c>
      <c r="B20" s="151" t="n">
        <v>6</v>
      </c>
      <c r="C20" s="151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150"/>
      <c r="C21" s="150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150"/>
      <c r="C22" s="150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150"/>
      <c r="C23" s="150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3" t="s">
        <v>150</v>
      </c>
      <c r="B24" s="154"/>
      <c r="C24" s="154"/>
    </row>
    <row r="25" customFormat="false" ht="12.75" hidden="false" customHeight="false" outlineLevel="0" collapsed="false">
      <c r="B25" s="155" t="str">
        <f aca="false">B2</f>
        <v>Week ending 2/22</v>
      </c>
      <c r="C25" s="155"/>
      <c r="D25" s="145" t="s">
        <v>159</v>
      </c>
    </row>
    <row r="26" customFormat="false" ht="12.75" hidden="false" customHeight="false" outlineLevel="0" collapsed="false">
      <c r="A26" s="146" t="s">
        <v>160</v>
      </c>
      <c r="B26" s="156" t="s">
        <v>1</v>
      </c>
      <c r="C26" s="156" t="s">
        <v>161</v>
      </c>
      <c r="D26" s="147" t="s">
        <v>122</v>
      </c>
    </row>
    <row r="27" customFormat="false" ht="12.75" hidden="false" customHeight="false" outlineLevel="0" collapsed="false">
      <c r="A27" s="84"/>
      <c r="B27" s="157"/>
      <c r="C27" s="157"/>
    </row>
    <row r="28" customFormat="false" ht="12.75" hidden="false" customHeight="false" outlineLevel="0" collapsed="false">
      <c r="A28" s="78" t="s">
        <v>11</v>
      </c>
      <c r="B28" s="150"/>
      <c r="C28" s="150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9" t="s">
        <v>14</v>
      </c>
      <c r="B29" s="150" t="n">
        <v>2449</v>
      </c>
      <c r="C29" s="150" t="n">
        <v>1765555183</v>
      </c>
      <c r="D29" s="74" t="s">
        <v>81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9" t="s">
        <v>17</v>
      </c>
      <c r="B30" s="150" t="n">
        <v>1860</v>
      </c>
      <c r="C30" s="150" t="n">
        <v>22539170</v>
      </c>
      <c r="D30" s="74" t="s">
        <v>85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78" t="s">
        <v>23</v>
      </c>
      <c r="B31" s="151"/>
      <c r="C31" s="150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9" t="s">
        <v>27</v>
      </c>
      <c r="B32" s="150" t="n">
        <v>1587</v>
      </c>
      <c r="C32" s="150" t="n">
        <v>107025834</v>
      </c>
      <c r="D32" s="74" t="s">
        <v>92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9" t="s">
        <v>29</v>
      </c>
      <c r="B33" s="150" t="n">
        <v>14</v>
      </c>
      <c r="C33" s="150" t="n">
        <v>1613000</v>
      </c>
      <c r="D33" s="74" t="s">
        <v>95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9" t="s">
        <v>162</v>
      </c>
      <c r="B34" s="150" t="n">
        <v>10</v>
      </c>
      <c r="C34" s="150" t="n">
        <v>640000</v>
      </c>
      <c r="D34" s="74" t="s">
        <v>95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9" t="s">
        <v>32</v>
      </c>
      <c r="B35" s="150" t="n">
        <v>23</v>
      </c>
      <c r="C35" s="150" t="n">
        <v>377500</v>
      </c>
      <c r="D35" s="74" t="s">
        <v>98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9" t="s">
        <v>25</v>
      </c>
      <c r="B36" s="150" t="n">
        <v>142</v>
      </c>
      <c r="C36" s="150" t="n">
        <v>5786000</v>
      </c>
      <c r="D36" s="74" t="s">
        <v>100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9" t="s">
        <v>35</v>
      </c>
      <c r="B37" s="150" t="n">
        <v>6</v>
      </c>
      <c r="C37" s="150" t="n">
        <v>37500</v>
      </c>
      <c r="D37" s="74" t="s">
        <v>102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78" t="s">
        <v>41</v>
      </c>
      <c r="B38" s="151"/>
      <c r="C38" s="150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9" t="s">
        <v>163</v>
      </c>
      <c r="B39" s="150" t="n">
        <v>72</v>
      </c>
      <c r="C39" s="150" t="n">
        <v>56436</v>
      </c>
      <c r="D39" s="74" t="s">
        <v>95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9" t="s">
        <v>42</v>
      </c>
      <c r="B40" s="150" t="n">
        <v>0</v>
      </c>
      <c r="C40" s="150" t="n">
        <v>0</v>
      </c>
      <c r="D40" s="74" t="s">
        <v>95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9"/>
      <c r="B41" s="150"/>
      <c r="C41" s="150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150"/>
      <c r="C42" s="150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150"/>
      <c r="C43" s="150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3" t="s">
        <v>165</v>
      </c>
      <c r="B44" s="154"/>
      <c r="C44" s="154"/>
    </row>
    <row r="45" customFormat="false" ht="12.75" hidden="false" customHeight="false" outlineLevel="0" collapsed="false">
      <c r="B45" s="144" t="str">
        <f aca="false">B2</f>
        <v>Week ending 2/22</v>
      </c>
      <c r="C45" s="144"/>
      <c r="D45" s="145" t="s">
        <v>159</v>
      </c>
    </row>
    <row r="46" customFormat="false" ht="12.75" hidden="false" customHeight="false" outlineLevel="0" collapsed="false">
      <c r="A46" s="146" t="s">
        <v>160</v>
      </c>
      <c r="B46" s="69" t="s">
        <v>1</v>
      </c>
      <c r="C46" s="69" t="s">
        <v>161</v>
      </c>
      <c r="D46" s="147" t="s">
        <v>122</v>
      </c>
    </row>
    <row r="48" customFormat="false" ht="12.75" hidden="false" customHeight="false" outlineLevel="0" collapsed="false">
      <c r="A48" s="78" t="s">
        <v>41</v>
      </c>
      <c r="B48" s="35"/>
      <c r="C48" s="35"/>
    </row>
    <row r="49" customFormat="false" ht="12.75" hidden="false" customHeight="false" outlineLevel="0" collapsed="false">
      <c r="A49" s="149" t="s">
        <v>39</v>
      </c>
      <c r="B49" s="35" t="n">
        <v>4</v>
      </c>
      <c r="C49" s="35" t="n">
        <v>176000</v>
      </c>
      <c r="D49" s="0" t="s">
        <v>166</v>
      </c>
    </row>
    <row r="50" customFormat="false" ht="12.75" hidden="false" customHeight="false" outlineLevel="0" collapsed="false">
      <c r="A50" s="149" t="s">
        <v>33</v>
      </c>
      <c r="B50" s="35"/>
      <c r="C50" s="35"/>
    </row>
    <row r="51" customFormat="false" ht="12.75" hidden="false" customHeight="false" outlineLevel="0" collapsed="false">
      <c r="A51" s="149" t="s">
        <v>156</v>
      </c>
      <c r="B51" s="35"/>
      <c r="C51" s="35"/>
      <c r="D51" s="0" t="s">
        <v>167</v>
      </c>
    </row>
    <row r="53" customFormat="false" ht="12.75" hidden="false" customHeight="false" outlineLevel="0" collapsed="false">
      <c r="A53" s="84" t="s">
        <v>168</v>
      </c>
      <c r="B53" s="84" t="n">
        <v>1</v>
      </c>
      <c r="C53" s="84"/>
    </row>
    <row r="55" customFormat="false" ht="12.75" hidden="false" customHeight="false" outlineLevel="0" collapsed="false">
      <c r="A55" s="81" t="s">
        <v>169</v>
      </c>
      <c r="C55" s="158" t="n">
        <f aca="false">C49/1000</f>
        <v>176</v>
      </c>
    </row>
    <row r="58" customFormat="false" ht="12.75" hidden="false" customHeight="false" outlineLevel="0" collapsed="false">
      <c r="A58" s="78" t="s">
        <v>170</v>
      </c>
      <c r="B58" s="84"/>
      <c r="C58" s="159" t="n">
        <f aca="false">C55+C51+C40+C39+C17+C16</f>
        <v>56612</v>
      </c>
      <c r="D58" s="84"/>
      <c r="E58" s="84"/>
      <c r="F58" s="84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pane xSplit="1" ySplit="0" topLeftCell="B1" activePane="topRight" state="frozen"/>
      <selection pane="topLeft" activeCell="A8" activeCellId="0" sqref="A8"/>
      <selection pane="topRight" activeCell="X7" activeCellId="0" sqref="X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45.13"/>
  </cols>
  <sheetData>
    <row r="1" customFormat="false" ht="23.25" hidden="false" customHeight="false" outlineLevel="0" collapsed="false">
      <c r="A1" s="143" t="s">
        <v>83</v>
      </c>
    </row>
    <row r="2" customFormat="false" ht="12.75" hidden="false" customHeight="false" outlineLevel="0" collapsed="false">
      <c r="B2" s="144" t="s">
        <v>171</v>
      </c>
      <c r="C2" s="144"/>
      <c r="D2" s="145" t="s">
        <v>159</v>
      </c>
    </row>
    <row r="3" customFormat="false" ht="12.75" hidden="false" customHeight="false" outlineLevel="0" collapsed="false">
      <c r="A3" s="146" t="s">
        <v>160</v>
      </c>
      <c r="B3" s="69" t="s">
        <v>1</v>
      </c>
      <c r="C3" s="69" t="s">
        <v>161</v>
      </c>
      <c r="D3" s="147" t="s">
        <v>122</v>
      </c>
    </row>
    <row r="4" customFormat="false" ht="12.75" hidden="false" customHeight="false" outlineLevel="0" collapsed="false">
      <c r="A4" s="84"/>
      <c r="B4" s="84"/>
      <c r="C4" s="84"/>
    </row>
    <row r="5" customFormat="false" ht="12.75" hidden="false" customHeight="false" outlineLevel="0" collapsed="false">
      <c r="A5" s="78" t="s">
        <v>11</v>
      </c>
      <c r="B5" s="148"/>
      <c r="C5" s="148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9" t="s">
        <v>14</v>
      </c>
      <c r="B6" s="150" t="n">
        <v>12043</v>
      </c>
      <c r="C6" s="35" t="n">
        <v>1626706705</v>
      </c>
      <c r="D6" s="74" t="s">
        <v>81</v>
      </c>
      <c r="E6" s="86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9" t="s">
        <v>17</v>
      </c>
      <c r="B7" s="150" t="n">
        <v>1776</v>
      </c>
      <c r="C7" s="35" t="n">
        <v>19123325</v>
      </c>
      <c r="D7" s="74" t="s">
        <v>85</v>
      </c>
      <c r="E7" s="86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78" t="s">
        <v>23</v>
      </c>
      <c r="B8" s="151"/>
      <c r="C8" s="152"/>
      <c r="D8" s="74"/>
      <c r="E8" s="8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9" t="s">
        <v>27</v>
      </c>
      <c r="B9" s="150" t="n">
        <v>1184</v>
      </c>
      <c r="C9" s="79" t="n">
        <v>33587500.01</v>
      </c>
      <c r="D9" s="74" t="s">
        <v>92</v>
      </c>
      <c r="E9" s="8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9" t="s">
        <v>29</v>
      </c>
      <c r="B10" s="150" t="n">
        <v>1</v>
      </c>
      <c r="C10" s="79" t="n">
        <v>23250</v>
      </c>
      <c r="D10" s="74" t="s">
        <v>95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9" t="s">
        <v>162</v>
      </c>
      <c r="B11" s="150" t="n">
        <v>2</v>
      </c>
      <c r="C11" s="79" t="n">
        <v>90000</v>
      </c>
      <c r="D11" s="74" t="s">
        <v>95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9" t="s">
        <v>32</v>
      </c>
      <c r="B12" s="150" t="n">
        <v>4</v>
      </c>
      <c r="C12" s="79" t="n">
        <v>1200</v>
      </c>
      <c r="D12" s="74" t="s">
        <v>98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25</v>
      </c>
      <c r="B13" s="150" t="n">
        <v>0</v>
      </c>
      <c r="C13" s="150" t="n">
        <v>0</v>
      </c>
      <c r="D13" s="74" t="s">
        <v>100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9" t="s">
        <v>35</v>
      </c>
      <c r="B14" s="150" t="n">
        <v>0</v>
      </c>
      <c r="C14" s="150" t="n">
        <v>0</v>
      </c>
      <c r="D14" s="74" t="s">
        <v>102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78" t="s">
        <v>41</v>
      </c>
      <c r="B15" s="151"/>
      <c r="C15" s="152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9" t="s">
        <v>163</v>
      </c>
      <c r="B16" s="150" t="n">
        <v>0</v>
      </c>
      <c r="C16" s="150" t="n">
        <v>0</v>
      </c>
      <c r="D16" s="74" t="s">
        <v>95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9" t="s">
        <v>42</v>
      </c>
      <c r="B17" s="150" t="n">
        <v>0</v>
      </c>
      <c r="C17" s="150" t="n">
        <v>0</v>
      </c>
      <c r="D17" s="74" t="s">
        <v>95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150"/>
      <c r="C18" s="150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150"/>
      <c r="C19" s="150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4" t="s">
        <v>164</v>
      </c>
      <c r="B20" s="151" t="n">
        <v>7</v>
      </c>
      <c r="C20" s="151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150"/>
      <c r="C21" s="150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150"/>
      <c r="C22" s="150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150"/>
      <c r="C23" s="150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3" t="s">
        <v>150</v>
      </c>
      <c r="B24" s="154"/>
      <c r="C24" s="154"/>
    </row>
    <row r="25" customFormat="false" ht="12.75" hidden="false" customHeight="false" outlineLevel="0" collapsed="false">
      <c r="B25" s="155" t="s">
        <v>171</v>
      </c>
      <c r="C25" s="155"/>
      <c r="D25" s="145" t="s">
        <v>159</v>
      </c>
    </row>
    <row r="26" customFormat="false" ht="12.75" hidden="false" customHeight="false" outlineLevel="0" collapsed="false">
      <c r="A26" s="146" t="s">
        <v>160</v>
      </c>
      <c r="B26" s="156" t="s">
        <v>1</v>
      </c>
      <c r="C26" s="156" t="s">
        <v>161</v>
      </c>
      <c r="D26" s="147" t="s">
        <v>122</v>
      </c>
    </row>
    <row r="27" customFormat="false" ht="12.75" hidden="false" customHeight="false" outlineLevel="0" collapsed="false">
      <c r="A27" s="84"/>
      <c r="B27" s="157"/>
      <c r="C27" s="157"/>
    </row>
    <row r="28" customFormat="false" ht="12.75" hidden="false" customHeight="false" outlineLevel="0" collapsed="false">
      <c r="A28" s="78" t="s">
        <v>11</v>
      </c>
      <c r="B28" s="150"/>
      <c r="C28" s="150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9" t="s">
        <v>14</v>
      </c>
      <c r="B29" s="150" t="n">
        <v>3029</v>
      </c>
      <c r="C29" s="150" t="n">
        <v>1755371946.19</v>
      </c>
      <c r="D29" s="74" t="s">
        <v>81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9" t="s">
        <v>17</v>
      </c>
      <c r="B30" s="150" t="n">
        <v>1995</v>
      </c>
      <c r="C30" s="150" t="n">
        <v>24524311.38</v>
      </c>
      <c r="D30" s="74" t="s">
        <v>85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78" t="s">
        <v>23</v>
      </c>
      <c r="B31" s="151"/>
      <c r="C31" s="150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9" t="s">
        <v>27</v>
      </c>
      <c r="B32" s="150" t="n">
        <v>1409</v>
      </c>
      <c r="C32" s="150" t="n">
        <v>113725513.07</v>
      </c>
      <c r="D32" s="74" t="s">
        <v>92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9" t="s">
        <v>29</v>
      </c>
      <c r="B33" s="150" t="n">
        <v>9</v>
      </c>
      <c r="C33" s="150" t="n">
        <v>705250</v>
      </c>
      <c r="D33" s="74" t="s">
        <v>95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9" t="s">
        <v>162</v>
      </c>
      <c r="B34" s="150" t="n">
        <v>0</v>
      </c>
      <c r="C34" s="150" t="n">
        <v>0</v>
      </c>
      <c r="D34" s="74" t="s">
        <v>95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9" t="s">
        <v>32</v>
      </c>
      <c r="B35" s="150" t="n">
        <v>14</v>
      </c>
      <c r="C35" s="150" t="n">
        <v>68000</v>
      </c>
      <c r="D35" s="74" t="s">
        <v>98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9" t="s">
        <v>25</v>
      </c>
      <c r="B36" s="150" t="n">
        <v>102</v>
      </c>
      <c r="C36" s="150" t="n">
        <v>4422278</v>
      </c>
      <c r="D36" s="74" t="s">
        <v>100</v>
      </c>
      <c r="E36" s="74"/>
      <c r="F36" s="160"/>
      <c r="G36" s="74"/>
      <c r="H36" s="74"/>
      <c r="I36" s="74"/>
      <c r="J36" s="74"/>
    </row>
    <row r="37" customFormat="false" ht="12.75" hidden="false" customHeight="false" outlineLevel="0" collapsed="false">
      <c r="A37" s="149" t="s">
        <v>35</v>
      </c>
      <c r="B37" s="150" t="n">
        <v>3</v>
      </c>
      <c r="C37" s="150" t="n">
        <v>7500</v>
      </c>
      <c r="D37" s="74" t="s">
        <v>102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78" t="s">
        <v>41</v>
      </c>
      <c r="B38" s="151"/>
      <c r="C38" s="150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9" t="s">
        <v>163</v>
      </c>
      <c r="B39" s="150" t="n">
        <v>107</v>
      </c>
      <c r="C39" s="150" t="n">
        <v>161955.196</v>
      </c>
      <c r="D39" s="74" t="s">
        <v>95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9" t="s">
        <v>42</v>
      </c>
      <c r="B40" s="150" t="n">
        <v>0</v>
      </c>
      <c r="C40" s="150" t="n">
        <v>0</v>
      </c>
      <c r="D40" s="74" t="s">
        <v>95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9"/>
      <c r="B41" s="150"/>
      <c r="C41" s="150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150"/>
      <c r="C42" s="150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150"/>
      <c r="C43" s="150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3" t="s">
        <v>165</v>
      </c>
      <c r="B44" s="154"/>
      <c r="C44" s="154"/>
    </row>
    <row r="45" customFormat="false" ht="12.75" hidden="false" customHeight="false" outlineLevel="0" collapsed="false">
      <c r="B45" s="144" t="s">
        <v>171</v>
      </c>
      <c r="C45" s="144"/>
      <c r="D45" s="145" t="s">
        <v>159</v>
      </c>
    </row>
    <row r="46" customFormat="false" ht="12.75" hidden="false" customHeight="false" outlineLevel="0" collapsed="false">
      <c r="A46" s="146" t="s">
        <v>160</v>
      </c>
      <c r="B46" s="69" t="s">
        <v>1</v>
      </c>
      <c r="C46" s="69" t="s">
        <v>161</v>
      </c>
      <c r="D46" s="147" t="s">
        <v>122</v>
      </c>
    </row>
    <row r="48" customFormat="false" ht="12.75" hidden="false" customHeight="false" outlineLevel="0" collapsed="false">
      <c r="A48" s="78" t="s">
        <v>41</v>
      </c>
      <c r="B48" s="35"/>
      <c r="C48" s="35"/>
    </row>
    <row r="49" customFormat="false" ht="12.75" hidden="false" customHeight="false" outlineLevel="0" collapsed="false">
      <c r="A49" s="149" t="s">
        <v>39</v>
      </c>
      <c r="B49" s="35" t="n">
        <v>5</v>
      </c>
      <c r="C49" s="35" t="n">
        <v>401000</v>
      </c>
      <c r="D49" s="0" t="s">
        <v>166</v>
      </c>
    </row>
    <row r="50" customFormat="false" ht="12.75" hidden="false" customHeight="false" outlineLevel="0" collapsed="false">
      <c r="A50" s="149" t="s">
        <v>33</v>
      </c>
      <c r="B50" s="35"/>
      <c r="C50" s="35"/>
    </row>
    <row r="51" customFormat="false" ht="12.75" hidden="false" customHeight="false" outlineLevel="0" collapsed="false">
      <c r="A51" s="149" t="s">
        <v>156</v>
      </c>
      <c r="B51" s="35" t="n">
        <v>5</v>
      </c>
      <c r="C51" s="35" t="n">
        <v>947</v>
      </c>
      <c r="D51" s="0" t="s">
        <v>167</v>
      </c>
    </row>
    <row r="53" customFormat="false" ht="12.75" hidden="false" customHeight="false" outlineLevel="0" collapsed="false">
      <c r="A53" s="84" t="s">
        <v>168</v>
      </c>
      <c r="B53" s="84" t="n">
        <v>1</v>
      </c>
      <c r="C53" s="84"/>
    </row>
    <row r="55" customFormat="false" ht="12.75" hidden="false" customHeight="false" outlineLevel="0" collapsed="false">
      <c r="A55" s="81" t="s">
        <v>169</v>
      </c>
      <c r="C55" s="158" t="n">
        <v>401</v>
      </c>
    </row>
    <row r="58" customFormat="false" ht="12.75" hidden="false" customHeight="false" outlineLevel="0" collapsed="false">
      <c r="A58" s="78" t="s">
        <v>170</v>
      </c>
      <c r="B58" s="84"/>
      <c r="C58" s="159" t="n">
        <v>163303.196</v>
      </c>
      <c r="D58" s="84"/>
      <c r="E58" s="84"/>
      <c r="F58" s="84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58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H3" activeCellId="0" sqref="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3" t="s">
        <v>83</v>
      </c>
    </row>
    <row r="2" customFormat="false" ht="12.75" hidden="false" customHeight="false" outlineLevel="0" collapsed="false">
      <c r="B2" s="144" t="s">
        <v>172</v>
      </c>
      <c r="C2" s="144"/>
      <c r="D2" s="145" t="s">
        <v>159</v>
      </c>
    </row>
    <row r="3" customFormat="false" ht="12.75" hidden="false" customHeight="false" outlineLevel="0" collapsed="false">
      <c r="A3" s="146" t="s">
        <v>160</v>
      </c>
      <c r="B3" s="69" t="s">
        <v>1</v>
      </c>
      <c r="C3" s="69" t="s">
        <v>161</v>
      </c>
      <c r="D3" s="147" t="s">
        <v>122</v>
      </c>
    </row>
    <row r="4" customFormat="false" ht="12.75" hidden="false" customHeight="false" outlineLevel="0" collapsed="false">
      <c r="A4" s="84"/>
      <c r="B4" s="84"/>
      <c r="C4" s="84"/>
    </row>
    <row r="5" customFormat="false" ht="12.75" hidden="false" customHeight="false" outlineLevel="0" collapsed="false">
      <c r="A5" s="78" t="s">
        <v>11</v>
      </c>
      <c r="B5" s="148"/>
      <c r="C5" s="148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9" t="s">
        <v>14</v>
      </c>
      <c r="B6" s="150" t="n">
        <v>14417</v>
      </c>
      <c r="C6" s="35" t="n">
        <v>1693251006.43</v>
      </c>
      <c r="D6" s="74" t="s">
        <v>81</v>
      </c>
      <c r="E6" s="86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9" t="s">
        <v>17</v>
      </c>
      <c r="B7" s="150" t="n">
        <v>2005</v>
      </c>
      <c r="C7" s="35" t="n">
        <v>15858405</v>
      </c>
      <c r="D7" s="74" t="s">
        <v>85</v>
      </c>
      <c r="E7" s="86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78" t="s">
        <v>23</v>
      </c>
      <c r="B8" s="151"/>
      <c r="C8" s="152"/>
      <c r="D8" s="74"/>
      <c r="E8" s="8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9" t="s">
        <v>27</v>
      </c>
      <c r="B9" s="150" t="n">
        <v>1348</v>
      </c>
      <c r="C9" s="79" t="n">
        <v>37581000</v>
      </c>
      <c r="D9" s="74" t="s">
        <v>92</v>
      </c>
      <c r="E9" s="8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9" t="s">
        <v>29</v>
      </c>
      <c r="B10" s="150" t="n">
        <v>1</v>
      </c>
      <c r="C10" s="79" t="n">
        <v>37500</v>
      </c>
      <c r="D10" s="74" t="s">
        <v>95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9" t="s">
        <v>162</v>
      </c>
      <c r="B11" s="150" t="n">
        <v>3</v>
      </c>
      <c r="C11" s="79" t="n">
        <v>165000</v>
      </c>
      <c r="D11" s="74" t="s">
        <v>95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9" t="s">
        <v>32</v>
      </c>
      <c r="B12" s="150" t="n">
        <v>7</v>
      </c>
      <c r="C12" s="79" t="n">
        <v>2100</v>
      </c>
      <c r="D12" s="74" t="s">
        <v>98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25</v>
      </c>
      <c r="B13" s="150" t="n">
        <v>0</v>
      </c>
      <c r="C13" s="150" t="n">
        <v>0</v>
      </c>
      <c r="D13" s="74" t="s">
        <v>100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9" t="s">
        <v>35</v>
      </c>
      <c r="B14" s="150" t="n">
        <v>0</v>
      </c>
      <c r="C14" s="150" t="n">
        <v>0</v>
      </c>
      <c r="D14" s="74" t="s">
        <v>102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78" t="s">
        <v>41</v>
      </c>
      <c r="B15" s="151"/>
      <c r="C15" s="152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9" t="s">
        <v>163</v>
      </c>
      <c r="B16" s="150" t="n">
        <v>0</v>
      </c>
      <c r="C16" s="150" t="n">
        <v>0</v>
      </c>
      <c r="D16" s="74" t="s">
        <v>95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9" t="s">
        <v>42</v>
      </c>
      <c r="B17" s="150" t="n">
        <v>0</v>
      </c>
      <c r="C17" s="150" t="n">
        <v>0</v>
      </c>
      <c r="D17" s="74" t="s">
        <v>95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150"/>
      <c r="C18" s="150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150"/>
      <c r="C19" s="150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4" t="s">
        <v>164</v>
      </c>
      <c r="B20" s="151" t="n">
        <v>6</v>
      </c>
      <c r="C20" s="151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150"/>
      <c r="C21" s="150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150"/>
      <c r="C22" s="150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150"/>
      <c r="C23" s="150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3" t="s">
        <v>150</v>
      </c>
      <c r="B24" s="154"/>
      <c r="C24" s="154"/>
    </row>
    <row r="25" customFormat="false" ht="12.75" hidden="false" customHeight="false" outlineLevel="0" collapsed="false">
      <c r="B25" s="155" t="s">
        <v>172</v>
      </c>
      <c r="C25" s="155"/>
      <c r="D25" s="145" t="s">
        <v>159</v>
      </c>
    </row>
    <row r="26" customFormat="false" ht="12.75" hidden="false" customHeight="false" outlineLevel="0" collapsed="false">
      <c r="A26" s="146" t="s">
        <v>160</v>
      </c>
      <c r="B26" s="156" t="s">
        <v>1</v>
      </c>
      <c r="C26" s="156" t="s">
        <v>161</v>
      </c>
      <c r="D26" s="147" t="s">
        <v>122</v>
      </c>
    </row>
    <row r="27" customFormat="false" ht="12.75" hidden="false" customHeight="false" outlineLevel="0" collapsed="false">
      <c r="A27" s="84"/>
      <c r="B27" s="157"/>
      <c r="C27" s="157"/>
    </row>
    <row r="28" customFormat="false" ht="12.75" hidden="false" customHeight="false" outlineLevel="0" collapsed="false">
      <c r="A28" s="78" t="s">
        <v>11</v>
      </c>
      <c r="B28" s="150"/>
      <c r="C28" s="150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9" t="s">
        <v>14</v>
      </c>
      <c r="B29" s="150" t="n">
        <v>2892</v>
      </c>
      <c r="C29" s="150" t="n">
        <v>2616814896.43</v>
      </c>
      <c r="D29" s="74" t="s">
        <v>81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9" t="s">
        <v>17</v>
      </c>
      <c r="B30" s="150" t="n">
        <v>2410</v>
      </c>
      <c r="C30" s="150" t="n">
        <v>33742855.31</v>
      </c>
      <c r="D30" s="74" t="s">
        <v>85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78" t="s">
        <v>23</v>
      </c>
      <c r="B31" s="151"/>
      <c r="C31" s="150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9" t="s">
        <v>27</v>
      </c>
      <c r="B32" s="150" t="n">
        <v>1753</v>
      </c>
      <c r="C32" s="150" t="n">
        <v>126016308.16</v>
      </c>
      <c r="D32" s="74" t="s">
        <v>92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9" t="s">
        <v>29</v>
      </c>
      <c r="B33" s="150" t="n">
        <v>31</v>
      </c>
      <c r="C33" s="150" t="n">
        <v>2711200.02</v>
      </c>
      <c r="D33" s="74" t="s">
        <v>95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9" t="s">
        <v>162</v>
      </c>
      <c r="B34" s="150" t="n">
        <v>1</v>
      </c>
      <c r="C34" s="150" t="n">
        <v>57000</v>
      </c>
      <c r="D34" s="74" t="s">
        <v>95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9" t="s">
        <v>32</v>
      </c>
      <c r="B35" s="150" t="n">
        <v>15</v>
      </c>
      <c r="C35" s="150" t="n">
        <v>97500</v>
      </c>
      <c r="D35" s="74" t="s">
        <v>98</v>
      </c>
      <c r="E35" s="74" t="n">
        <v>4176550</v>
      </c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9" t="s">
        <v>25</v>
      </c>
      <c r="B36" s="150" t="n">
        <v>174</v>
      </c>
      <c r="C36" s="150" t="n">
        <v>4982000</v>
      </c>
      <c r="D36" s="74" t="s">
        <v>100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9" t="s">
        <v>35</v>
      </c>
      <c r="B37" s="150" t="n">
        <v>3</v>
      </c>
      <c r="C37" s="150" t="n">
        <v>5200</v>
      </c>
      <c r="D37" s="74" t="s">
        <v>102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78" t="s">
        <v>41</v>
      </c>
      <c r="B38" s="151"/>
      <c r="C38" s="150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9" t="s">
        <v>163</v>
      </c>
      <c r="B39" s="150" t="n">
        <v>117</v>
      </c>
      <c r="C39" s="150" t="n">
        <v>119654.16</v>
      </c>
      <c r="D39" s="74" t="s">
        <v>95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9" t="s">
        <v>42</v>
      </c>
      <c r="B40" s="150" t="n">
        <v>0</v>
      </c>
      <c r="C40" s="150" t="n">
        <v>0</v>
      </c>
      <c r="D40" s="74" t="s">
        <v>95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9"/>
      <c r="B41" s="150"/>
      <c r="C41" s="150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150"/>
      <c r="C42" s="150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150"/>
      <c r="C43" s="150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3" t="s">
        <v>165</v>
      </c>
      <c r="B44" s="154"/>
      <c r="C44" s="154"/>
    </row>
    <row r="45" customFormat="false" ht="12.75" hidden="false" customHeight="false" outlineLevel="0" collapsed="false">
      <c r="B45" s="144" t="s">
        <v>172</v>
      </c>
      <c r="C45" s="144"/>
      <c r="D45" s="145" t="s">
        <v>159</v>
      </c>
    </row>
    <row r="46" customFormat="false" ht="12.75" hidden="false" customHeight="false" outlineLevel="0" collapsed="false">
      <c r="A46" s="146" t="s">
        <v>160</v>
      </c>
      <c r="B46" s="69" t="s">
        <v>1</v>
      </c>
      <c r="C46" s="69" t="s">
        <v>161</v>
      </c>
      <c r="D46" s="147" t="s">
        <v>122</v>
      </c>
    </row>
    <row r="48" customFormat="false" ht="12.75" hidden="false" customHeight="false" outlineLevel="0" collapsed="false">
      <c r="A48" s="78" t="s">
        <v>41</v>
      </c>
      <c r="B48" s="35"/>
      <c r="C48" s="35"/>
    </row>
    <row r="49" customFormat="false" ht="12.75" hidden="false" customHeight="false" outlineLevel="0" collapsed="false">
      <c r="A49" s="149" t="s">
        <v>39</v>
      </c>
      <c r="B49" s="35" t="n">
        <v>7</v>
      </c>
      <c r="C49" s="35" t="n">
        <v>646000</v>
      </c>
      <c r="D49" s="0" t="s">
        <v>166</v>
      </c>
    </row>
    <row r="50" customFormat="false" ht="12.75" hidden="false" customHeight="false" outlineLevel="0" collapsed="false">
      <c r="A50" s="149" t="s">
        <v>33</v>
      </c>
      <c r="B50" s="35"/>
      <c r="C50" s="35"/>
    </row>
    <row r="51" customFormat="false" ht="12.75" hidden="false" customHeight="false" outlineLevel="0" collapsed="false">
      <c r="A51" s="149" t="s">
        <v>156</v>
      </c>
      <c r="B51" s="35" t="n">
        <v>4</v>
      </c>
      <c r="C51" s="35" t="n">
        <v>683</v>
      </c>
      <c r="D51" s="0" t="s">
        <v>167</v>
      </c>
    </row>
    <row r="53" customFormat="false" ht="12.75" hidden="false" customHeight="false" outlineLevel="0" collapsed="false">
      <c r="A53" s="84" t="s">
        <v>168</v>
      </c>
      <c r="B53" s="84" t="n">
        <v>1</v>
      </c>
      <c r="C53" s="84"/>
    </row>
    <row r="55" customFormat="false" ht="12.75" hidden="false" customHeight="false" outlineLevel="0" collapsed="false">
      <c r="A55" s="81" t="s">
        <v>169</v>
      </c>
      <c r="C55" s="158" t="n">
        <v>646</v>
      </c>
    </row>
    <row r="58" customFormat="false" ht="12.75" hidden="false" customHeight="false" outlineLevel="0" collapsed="false">
      <c r="A58" s="78" t="s">
        <v>170</v>
      </c>
      <c r="B58" s="84"/>
      <c r="C58" s="159" t="n">
        <v>120983.16</v>
      </c>
      <c r="D58" s="84"/>
      <c r="E58" s="84"/>
      <c r="F58" s="84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1" ySplit="0" topLeftCell="B1" activePane="topRight" state="frozen"/>
      <selection pane="topLeft" activeCell="A7" activeCellId="0" sqref="A7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3" t="s">
        <v>83</v>
      </c>
    </row>
    <row r="2" customFormat="false" ht="12.75" hidden="false" customHeight="false" outlineLevel="0" collapsed="false">
      <c r="B2" s="144" t="s">
        <v>173</v>
      </c>
      <c r="C2" s="144"/>
      <c r="D2" s="145" t="s">
        <v>159</v>
      </c>
    </row>
    <row r="3" customFormat="false" ht="12.75" hidden="false" customHeight="false" outlineLevel="0" collapsed="false">
      <c r="A3" s="146" t="s">
        <v>160</v>
      </c>
      <c r="B3" s="69" t="s">
        <v>1</v>
      </c>
      <c r="C3" s="69" t="s">
        <v>161</v>
      </c>
      <c r="D3" s="147" t="s">
        <v>122</v>
      </c>
    </row>
    <row r="4" customFormat="false" ht="12.75" hidden="false" customHeight="false" outlineLevel="0" collapsed="false">
      <c r="A4" s="84"/>
      <c r="B4" s="84"/>
      <c r="C4" s="84"/>
    </row>
    <row r="5" customFormat="false" ht="12.75" hidden="false" customHeight="false" outlineLevel="0" collapsed="false">
      <c r="A5" s="78" t="s">
        <v>11</v>
      </c>
      <c r="B5" s="148"/>
      <c r="C5" s="148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9" t="s">
        <v>14</v>
      </c>
      <c r="B6" s="150" t="n">
        <f aca="false">'[2]Thrusday 02-15-01'!S9+'[2]Thrusday 02-15-01'!S10+-'[2]Thursday 02-08-01'!S9-'[2]Thursday 02-08-01'!S10</f>
        <v>14423</v>
      </c>
      <c r="C6" s="35" t="n">
        <f aca="false">'[2]Thrusday 02-15-01'!S67+'[2]Thrusday 02-15-01'!S68-'[2]Thursday 02-08-01'!S67-'[2]Thursday 02-08-01'!S68</f>
        <v>1547814272.26</v>
      </c>
      <c r="D6" s="74" t="s">
        <v>81</v>
      </c>
      <c r="E6" s="86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9" t="s">
        <v>17</v>
      </c>
      <c r="B7" s="150" t="n">
        <f aca="false">'[2]Thrusday 02-15-01'!S17+'[2]Thrusday 02-15-01'!S18-'[2]Thursday 02-08-01'!S17-'[2]Thursday 02-08-01'!S18</f>
        <v>2195</v>
      </c>
      <c r="C7" s="35" t="n">
        <f aca="false">'[2]Thrusday 02-15-01'!S75+'[2]Thrusday 02-15-01'!S76-'[2]Thursday 02-08-01'!S75-'[2]Thursday 02-08-01'!S76</f>
        <v>19115360</v>
      </c>
      <c r="D7" s="74" t="s">
        <v>85</v>
      </c>
      <c r="E7" s="86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78" t="s">
        <v>23</v>
      </c>
      <c r="B8" s="151"/>
      <c r="C8" s="152"/>
      <c r="D8" s="74"/>
      <c r="E8" s="8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9" t="s">
        <v>27</v>
      </c>
      <c r="B9" s="150" t="n">
        <f aca="false">'[2]Thrusday 02-15-01'!S30+'[2]Thrusday 02-15-01'!S31+'[2]Thrusday 02-15-01'!S33-'[2]Thursday 02-08-01'!S30-'[2]Thursday 02-08-01'!S31-'[2]Thursday 02-08-01'!S33</f>
        <v>1567</v>
      </c>
      <c r="C9" s="79" t="n">
        <f aca="false">'[2]Thrusday 02-15-01'!S88+'[2]Thrusday 02-15-01'!S89+'[2]Thrusday 02-15-01'!S91-'[2]Thursday 02-08-01'!S88-'[2]Thursday 02-08-01'!S89-'[2]Thursday 02-08-01'!S91</f>
        <v>40310000.01</v>
      </c>
      <c r="D9" s="74" t="s">
        <v>92</v>
      </c>
      <c r="E9" s="8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9" t="s">
        <v>29</v>
      </c>
      <c r="B10" s="150" t="n">
        <f aca="false">'[2]Thrusday 02-15-01'!S34-'[2]Thursday 02-08-01'!S34</f>
        <v>3</v>
      </c>
      <c r="C10" s="79" t="n">
        <f aca="false">'[2]Thrusday 02-15-01'!S92-'[2]Thursday 02-08-01'!S92</f>
        <v>82750</v>
      </c>
      <c r="D10" s="74" t="s">
        <v>95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9" t="s">
        <v>162</v>
      </c>
      <c r="B11" s="150" t="n">
        <f aca="false">'[2]Thrusday 02-15-01'!S35-'[2]Thursday 02-08-01'!S35</f>
        <v>19</v>
      </c>
      <c r="C11" s="79" t="n">
        <f aca="false">'[2]Thrusday 02-15-01'!S93-'[2]Thursday 02-08-01'!S93</f>
        <v>825000</v>
      </c>
      <c r="D11" s="74" t="s">
        <v>95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9" t="s">
        <v>32</v>
      </c>
      <c r="B12" s="150" t="n">
        <f aca="false">'[2]Thrusday 02-15-01'!S39-'[2]Thursday 02-08-01'!S39</f>
        <v>10</v>
      </c>
      <c r="C12" s="79" t="n">
        <f aca="false">'[2]Thrusday 02-15-01'!S97-'[2]Thursday 02-08-01'!S97</f>
        <v>3000</v>
      </c>
      <c r="D12" s="74" t="s">
        <v>98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25</v>
      </c>
      <c r="B13" s="150" t="n">
        <f aca="false">'[2]Thrusday 02-15-01'!S48-'[2]Thursday 02-08-01'!S47</f>
        <v>0</v>
      </c>
      <c r="C13" s="79" t="n">
        <f aca="false">'[2]Thrusday 02-15-01'!S105-'[2]Thursday 02-08-01'!S105</f>
        <v>0</v>
      </c>
      <c r="D13" s="74" t="s">
        <v>100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9" t="s">
        <v>35</v>
      </c>
      <c r="B14" s="150" t="n">
        <f aca="false">'[2]Thrusday 02-15-01'!S37-'[2]Thursday 02-08-01'!S37</f>
        <v>8</v>
      </c>
      <c r="C14" s="79" t="n">
        <f aca="false">'[2]Thrusday 02-15-01'!S95-'[2]Thursday 02-08-01'!S95</f>
        <v>10000</v>
      </c>
      <c r="D14" s="74" t="s">
        <v>102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78" t="s">
        <v>41</v>
      </c>
      <c r="B15" s="151"/>
      <c r="C15" s="152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9" t="s">
        <v>163</v>
      </c>
      <c r="B16" s="150" t="n">
        <f aca="false">'[2]Thrusday 02-15-01'!S38-'[2]Thursday 02-08-01'!S38</f>
        <v>0</v>
      </c>
      <c r="C16" s="79" t="n">
        <f aca="false">'[2]Thrusday 02-15-01'!S96-'[2]Thursday 02-08-01'!S96</f>
        <v>0</v>
      </c>
      <c r="D16" s="74" t="s">
        <v>95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9" t="s">
        <v>42</v>
      </c>
      <c r="B17" s="150" t="n">
        <f aca="false">'[2]Thrusday 02-15-01'!S44-'[2]Thursday 02-08-01'!S44</f>
        <v>0</v>
      </c>
      <c r="C17" s="79" t="n">
        <f aca="false">'[2]Thrusday 02-15-01'!S102-'[2]Thursday 02-08-01'!S101</f>
        <v>0</v>
      </c>
      <c r="D17" s="74" t="s">
        <v>95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150"/>
      <c r="C18" s="150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150"/>
      <c r="C19" s="150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4" t="s">
        <v>164</v>
      </c>
      <c r="B20" s="151" t="n">
        <v>4</v>
      </c>
      <c r="C20" s="151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150"/>
      <c r="C21" s="150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150"/>
      <c r="C22" s="150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150"/>
      <c r="C23" s="150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3" t="s">
        <v>150</v>
      </c>
      <c r="B24" s="154"/>
      <c r="C24" s="154"/>
    </row>
    <row r="25" customFormat="false" ht="12.75" hidden="false" customHeight="false" outlineLevel="0" collapsed="false">
      <c r="B25" s="155" t="s">
        <v>173</v>
      </c>
      <c r="C25" s="155"/>
      <c r="D25" s="145" t="s">
        <v>159</v>
      </c>
    </row>
    <row r="26" customFormat="false" ht="12.75" hidden="false" customHeight="false" outlineLevel="0" collapsed="false">
      <c r="A26" s="146" t="s">
        <v>160</v>
      </c>
      <c r="B26" s="156" t="s">
        <v>1</v>
      </c>
      <c r="C26" s="156" t="s">
        <v>161</v>
      </c>
      <c r="D26" s="147" t="s">
        <v>122</v>
      </c>
    </row>
    <row r="27" customFormat="false" ht="12.75" hidden="false" customHeight="false" outlineLevel="0" collapsed="false">
      <c r="A27" s="84"/>
      <c r="B27" s="157"/>
      <c r="C27" s="157"/>
    </row>
    <row r="28" customFormat="false" ht="12.75" hidden="false" customHeight="false" outlineLevel="0" collapsed="false">
      <c r="A28" s="78" t="s">
        <v>11</v>
      </c>
      <c r="B28" s="150"/>
      <c r="C28" s="150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9" t="s">
        <v>14</v>
      </c>
      <c r="B29" s="150" t="n">
        <f aca="false">'[2]Thrusday 02-15-01'!T9+'[2]Thrusday 02-15-01'!T10-'[2]Thursday 02-08-01'!T9-'[2]Thursday 02-08-01'!T10</f>
        <v>2800</v>
      </c>
      <c r="C29" s="150" t="n">
        <f aca="false">'[2]Thrusday 02-15-01'!T67+'[2]Thrusday 02-15-01'!T68-'[2]Thursday 02-08-01'!T67-'[2]Thursday 02-08-01'!T68</f>
        <v>2702923729.95</v>
      </c>
      <c r="D29" s="74" t="s">
        <v>81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9" t="s">
        <v>17</v>
      </c>
      <c r="B30" s="150" t="n">
        <f aca="false">'[2]Thrusday 02-15-01'!T17+'[2]Thrusday 02-15-01'!T18-'[2]Thursday 02-08-01'!T17-'[2]Thursday 02-08-01'!T18</f>
        <v>2392</v>
      </c>
      <c r="C30" s="150" t="n">
        <f aca="false">'[2]Thrusday 02-15-01'!T75+'[2]Thrusday 02-15-01'!T76-'[2]Thursday 02-08-01'!T75-'[2]Thursday 02-08-01'!T76</f>
        <v>29975959.19</v>
      </c>
      <c r="D30" s="74" t="s">
        <v>85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78" t="s">
        <v>23</v>
      </c>
      <c r="B31" s="151"/>
      <c r="C31" s="150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9" t="s">
        <v>27</v>
      </c>
      <c r="B32" s="150" t="n">
        <f aca="false">'[2]Thrusday 02-15-01'!T30+'[2]Thrusday 02-15-01'!T31+'[2]Thrusday 02-15-01'!T33-'[2]Thursday 02-08-01'!T30-'[2]Thursday 02-08-01'!T31-'[2]Thursday 02-08-01'!T33</f>
        <v>1786</v>
      </c>
      <c r="C32" s="150" t="n">
        <f aca="false">'[2]Thrusday 02-15-01'!T88+'[2]Thrusday 02-15-01'!T89+'[2]Thrusday 02-15-01'!T91-'[2]Thursday 02-08-01'!T88-'[2]Thursday 02-08-01'!T89-'[2]Thursday 02-08-01'!T91</f>
        <v>134484274.46</v>
      </c>
      <c r="D32" s="74" t="s">
        <v>92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9" t="s">
        <v>29</v>
      </c>
      <c r="B33" s="150" t="n">
        <f aca="false">'[2]Thrusday 02-15-01'!T34-'[2]Thursday 02-08-01'!T34</f>
        <v>13</v>
      </c>
      <c r="C33" s="150" t="n">
        <f aca="false">'[2]Thrusday 02-15-01'!T92-'[2]Thursday 02-08-01'!T92</f>
        <v>1827699.96</v>
      </c>
      <c r="D33" s="74" t="s">
        <v>95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9" t="s">
        <v>162</v>
      </c>
      <c r="B34" s="150" t="n">
        <f aca="false">'[2]Thrusday 02-15-01'!T35-'[2]Thursday 02-08-01'!T35</f>
        <v>23</v>
      </c>
      <c r="C34" s="150" t="n">
        <f aca="false">'[2]Thrusday 02-15-01'!T93-'[2]Thursday 02-08-01'!T93</f>
        <v>1302500</v>
      </c>
      <c r="D34" s="74" t="s">
        <v>95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9" t="s">
        <v>32</v>
      </c>
      <c r="B35" s="150" t="n">
        <f aca="false">'[2]Thrusday 02-15-01'!T39-'[2]Thursday 02-08-01'!T39</f>
        <v>29</v>
      </c>
      <c r="C35" s="150" t="n">
        <f aca="false">'[2]Thrusday 02-15-01'!T97-'[2]Thursday 02-08-01'!T97</f>
        <v>140000</v>
      </c>
      <c r="D35" s="74" t="s">
        <v>98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9" t="s">
        <v>25</v>
      </c>
      <c r="B36" s="150" t="n">
        <f aca="false">'[2]Thrusday 02-15-01'!T48-'[2]Thursday 02-08-01'!T47</f>
        <v>122</v>
      </c>
      <c r="C36" s="150" t="n">
        <f aca="false">'[2]Thrusday 02-15-01'!T106-'[2]Thursday 02-08-01'!T105</f>
        <v>4975000</v>
      </c>
      <c r="D36" s="74" t="s">
        <v>100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9" t="s">
        <v>35</v>
      </c>
      <c r="B37" s="150" t="n">
        <f aca="false">'[2]Thrusday 02-15-01'!T37-'[2]Thursday 02-08-01'!T37</f>
        <v>12</v>
      </c>
      <c r="C37" s="150" t="n">
        <f aca="false">'[2]Thrusday 02-15-01'!T95-'[2]Thursday 02-08-01'!T95</f>
        <v>30000</v>
      </c>
      <c r="D37" s="74" t="s">
        <v>102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78" t="s">
        <v>41</v>
      </c>
      <c r="B38" s="151"/>
      <c r="C38" s="150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9" t="s">
        <v>163</v>
      </c>
      <c r="B39" s="150" t="n">
        <f aca="false">'[2]Thrusday 02-15-01'!T38-'[2]Thursday 02-08-01'!T38+34</f>
        <v>82</v>
      </c>
      <c r="C39" s="150" t="n">
        <v>9638</v>
      </c>
      <c r="D39" s="74" t="s">
        <v>95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9" t="s">
        <v>42</v>
      </c>
      <c r="B40" s="150" t="n">
        <f aca="false">'[2]Thrusday 02-15-01'!T44-'[2]Thursday 02-08-01'!T43</f>
        <v>1</v>
      </c>
      <c r="C40" s="150" t="n">
        <f aca="false">'[2]Thrusday 02-15-01'!T102-'[2]Thursday 02-08-01'!T101</f>
        <v>1270.5</v>
      </c>
      <c r="D40" s="74" t="s">
        <v>95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9"/>
      <c r="B41" s="150"/>
      <c r="C41" s="150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150"/>
      <c r="C42" s="150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150"/>
      <c r="C43" s="150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3" t="s">
        <v>165</v>
      </c>
      <c r="B44" s="154"/>
      <c r="C44" s="154"/>
    </row>
    <row r="45" customFormat="false" ht="12.75" hidden="false" customHeight="false" outlineLevel="0" collapsed="false">
      <c r="B45" s="144" t="s">
        <v>173</v>
      </c>
      <c r="C45" s="144"/>
      <c r="D45" s="145" t="s">
        <v>159</v>
      </c>
    </row>
    <row r="46" customFormat="false" ht="12.75" hidden="false" customHeight="false" outlineLevel="0" collapsed="false">
      <c r="A46" s="146" t="s">
        <v>160</v>
      </c>
      <c r="B46" s="69" t="s">
        <v>1</v>
      </c>
      <c r="C46" s="69" t="s">
        <v>161</v>
      </c>
      <c r="D46" s="147" t="s">
        <v>122</v>
      </c>
    </row>
    <row r="48" customFormat="false" ht="12.75" hidden="false" customHeight="false" outlineLevel="0" collapsed="false">
      <c r="A48" s="78" t="s">
        <v>41</v>
      </c>
      <c r="B48" s="35"/>
      <c r="C48" s="35"/>
    </row>
    <row r="49" customFormat="false" ht="12.75" hidden="false" customHeight="false" outlineLevel="0" collapsed="false">
      <c r="A49" s="149" t="s">
        <v>39</v>
      </c>
      <c r="B49" s="35" t="n">
        <v>4</v>
      </c>
      <c r="C49" s="35" t="n">
        <v>374000</v>
      </c>
      <c r="D49" s="0" t="s">
        <v>166</v>
      </c>
    </row>
    <row r="50" customFormat="false" ht="12.75" hidden="false" customHeight="false" outlineLevel="0" collapsed="false">
      <c r="A50" s="149" t="s">
        <v>33</v>
      </c>
      <c r="B50" s="35"/>
      <c r="C50" s="35"/>
    </row>
    <row r="51" customFormat="false" ht="12.75" hidden="false" customHeight="false" outlineLevel="0" collapsed="false">
      <c r="A51" s="149" t="s">
        <v>156</v>
      </c>
      <c r="B51" s="35" t="n">
        <v>3</v>
      </c>
      <c r="C51" s="35" t="n">
        <v>680</v>
      </c>
      <c r="D51" s="0" t="s">
        <v>167</v>
      </c>
    </row>
    <row r="53" customFormat="false" ht="12.75" hidden="false" customHeight="false" outlineLevel="0" collapsed="false">
      <c r="A53" s="84" t="s">
        <v>168</v>
      </c>
      <c r="B53" s="84" t="n">
        <v>1</v>
      </c>
      <c r="C53" s="84"/>
    </row>
    <row r="55" customFormat="false" ht="12.75" hidden="false" customHeight="false" outlineLevel="0" collapsed="false">
      <c r="A55" s="81" t="s">
        <v>169</v>
      </c>
      <c r="C55" s="158" t="n">
        <f aca="false">C49/1000</f>
        <v>374</v>
      </c>
    </row>
    <row r="58" customFormat="false" ht="12.75" hidden="false" customHeight="false" outlineLevel="0" collapsed="false">
      <c r="A58" s="78" t="s">
        <v>170</v>
      </c>
      <c r="B58" s="84"/>
      <c r="C58" s="159" t="n">
        <f aca="false">C55+C51+C40+C39+C17+C16</f>
        <v>11962.5</v>
      </c>
      <c r="D58" s="84"/>
      <c r="E58" s="84"/>
      <c r="F58" s="84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pane xSplit="1" ySplit="0" topLeftCell="B1" activePane="topRight" state="frozen"/>
      <selection pane="topLeft" activeCell="A8" activeCellId="0" sqref="A8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3" t="s">
        <v>83</v>
      </c>
    </row>
    <row r="2" customFormat="false" ht="12.75" hidden="false" customHeight="false" outlineLevel="0" collapsed="false">
      <c r="B2" s="144" t="s">
        <v>174</v>
      </c>
      <c r="C2" s="144"/>
      <c r="D2" s="145" t="s">
        <v>159</v>
      </c>
    </row>
    <row r="3" customFormat="false" ht="12.75" hidden="false" customHeight="false" outlineLevel="0" collapsed="false">
      <c r="A3" s="146" t="s">
        <v>160</v>
      </c>
      <c r="B3" s="69" t="s">
        <v>1</v>
      </c>
      <c r="C3" s="69" t="s">
        <v>161</v>
      </c>
      <c r="D3" s="147" t="s">
        <v>122</v>
      </c>
    </row>
    <row r="4" customFormat="false" ht="12.75" hidden="false" customHeight="false" outlineLevel="0" collapsed="false">
      <c r="A4" s="84"/>
      <c r="B4" s="84"/>
      <c r="C4" s="84"/>
    </row>
    <row r="5" customFormat="false" ht="12.75" hidden="false" customHeight="false" outlineLevel="0" collapsed="false">
      <c r="A5" s="78" t="s">
        <v>11</v>
      </c>
      <c r="B5" s="148"/>
      <c r="C5" s="148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9" t="s">
        <v>14</v>
      </c>
      <c r="B6" s="74" t="n">
        <f aca="false">'[3]Thrusday 02-08-01'!S9+'[3]Thrusday 02-08-01'!S10+-'[3]Thursday 02-01-01'!S9-'[3]Thursday 02-01-01'!S10</f>
        <v>15960</v>
      </c>
      <c r="C6" s="35" t="n">
        <f aca="false">'[3]Thrusday 02-08-01'!S67+'[3]Thrusday 02-08-01'!S68-'[3]Thursday 02-01-01'!S67-'[3]Thursday 02-01-01'!S68</f>
        <v>1917251550.22</v>
      </c>
      <c r="D6" s="74" t="s">
        <v>81</v>
      </c>
      <c r="E6" s="86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9" t="s">
        <v>17</v>
      </c>
      <c r="B7" s="74" t="n">
        <f aca="false">'[3]Thrusday 02-08-01'!S17+'[3]Thrusday 02-08-01'!S18-'[3]Thursday 02-01-01'!S17-'[3]Thursday 02-01-01'!S18</f>
        <v>2251</v>
      </c>
      <c r="C7" s="35" t="n">
        <f aca="false">'[3]Thrusday 02-08-01'!S75+'[3]Thrusday 02-08-01'!S76-'[3]Thursday 02-01-01'!S75-'[3]Thursday 02-01-01'!S76</f>
        <v>23577055</v>
      </c>
      <c r="D7" s="74" t="s">
        <v>85</v>
      </c>
      <c r="E7" s="86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78" t="s">
        <v>23</v>
      </c>
      <c r="B8" s="148"/>
      <c r="C8" s="152"/>
      <c r="D8" s="74"/>
      <c r="E8" s="8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9" t="s">
        <v>27</v>
      </c>
      <c r="B9" s="74" t="n">
        <f aca="false">'[3]Thrusday 02-08-01'!S30+'[3]Thrusday 02-08-01'!S31+'[3]Thrusday 02-08-01'!S33-'[3]Thursday 02-01-01'!S30-'[3]Thursday 02-01-01'!S31-'[3]Thursday 02-01-01'!S33</f>
        <v>1758</v>
      </c>
      <c r="C9" s="79" t="n">
        <f aca="false">'[3]Thrusday 02-08-01'!S88+'[3]Thrusday 02-08-01'!S89+'[3]Thrusday 02-08-01'!S91-'[3]Thursday 02-01-01'!S88-'[3]Thursday 02-01-01'!S89-'[3]Thursday 02-01-01'!S91</f>
        <v>44727857.14</v>
      </c>
      <c r="D9" s="74" t="s">
        <v>92</v>
      </c>
      <c r="E9" s="8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9" t="s">
        <v>29</v>
      </c>
      <c r="B10" s="74" t="n">
        <f aca="false">'[3]Thrusday 02-08-01'!S34-'[3]Thursday 02-01-01'!S34</f>
        <v>6</v>
      </c>
      <c r="C10" s="79" t="n">
        <f aca="false">'[3]Thrusday 02-08-01'!S92-'[3]Thursday 02-01-01'!S92</f>
        <v>225000</v>
      </c>
      <c r="D10" s="74" t="s">
        <v>95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9" t="s">
        <v>162</v>
      </c>
      <c r="B11" s="74" t="n">
        <f aca="false">'[3]Thrusday 02-08-01'!S35-'[3]Thursday 02-01-01'!S35</f>
        <v>2</v>
      </c>
      <c r="C11" s="79" t="n">
        <f aca="false">'[3]Thrusday 02-08-01'!S93-'[3]Thursday 02-01-01'!S93</f>
        <v>90000</v>
      </c>
      <c r="D11" s="74" t="s">
        <v>95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9" t="s">
        <v>32</v>
      </c>
      <c r="B12" s="74" t="n">
        <f aca="false">'[3]Thrusday 02-08-01'!S39-'[3]Thursday 02-01-01'!S39</f>
        <v>13</v>
      </c>
      <c r="C12" s="79" t="n">
        <f aca="false">'[3]Thrusday 02-08-01'!S97-'[3]Thursday 02-01-01'!S97</f>
        <v>6400</v>
      </c>
      <c r="D12" s="74" t="s">
        <v>98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25</v>
      </c>
      <c r="B13" s="150" t="n">
        <f aca="false">'[3]Thrusday 02-08-01'!S47-'[3]Thursday 02-01-01'!S47</f>
        <v>0</v>
      </c>
      <c r="C13" s="79" t="n">
        <f aca="false">'[3]Thrusday 02-08-01'!S105-'[3]Thursday 02-01-01'!S105</f>
        <v>0</v>
      </c>
      <c r="D13" s="74" t="s">
        <v>100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9" t="s">
        <v>35</v>
      </c>
      <c r="B14" s="74" t="n">
        <f aca="false">'[3]Thrusday 02-08-01'!S37-'[3]Thursday 02-01-01'!S37</f>
        <v>16</v>
      </c>
      <c r="C14" s="79" t="n">
        <f aca="false">'[3]Thrusday 02-08-01'!S95-'[3]Thursday 02-01-01'!S95</f>
        <v>40000</v>
      </c>
      <c r="D14" s="74" t="s">
        <v>102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78" t="s">
        <v>41</v>
      </c>
      <c r="B15" s="148"/>
      <c r="C15" s="152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9" t="s">
        <v>163</v>
      </c>
      <c r="B16" s="150" t="n">
        <f aca="false">'[3]Thrusday 02-08-01'!S38-'[3]Thursday 02-01-01'!S38+11</f>
        <v>11</v>
      </c>
      <c r="C16" s="79" t="n">
        <f aca="false">'[3]Thrusday 02-08-01'!S96-'[3]Thursday 02-01-01'!S96+1068</f>
        <v>1068</v>
      </c>
      <c r="D16" s="74" t="s">
        <v>95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9" t="s">
        <v>42</v>
      </c>
      <c r="B17" s="74" t="n">
        <f aca="false">'[3]Thrusday 02-08-01'!S43-'[3]Thursday 02-01-01'!S43</f>
        <v>0</v>
      </c>
      <c r="C17" s="79" t="n">
        <f aca="false">'[3]Thrusday 02-08-01'!S101-'[3]Thursday 02-01-01'!S101</f>
        <v>0</v>
      </c>
      <c r="D17" s="74" t="s">
        <v>95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74"/>
      <c r="C18" s="74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74"/>
      <c r="C19" s="74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4" t="s">
        <v>164</v>
      </c>
      <c r="B20" s="148" t="n">
        <v>12</v>
      </c>
      <c r="C20" s="148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3" t="s">
        <v>150</v>
      </c>
    </row>
    <row r="25" customFormat="false" ht="12.75" hidden="false" customHeight="false" outlineLevel="0" collapsed="false">
      <c r="B25" s="144" t="s">
        <v>174</v>
      </c>
      <c r="C25" s="144"/>
      <c r="D25" s="145" t="s">
        <v>159</v>
      </c>
    </row>
    <row r="26" customFormat="false" ht="12.75" hidden="false" customHeight="false" outlineLevel="0" collapsed="false">
      <c r="A26" s="146" t="s">
        <v>160</v>
      </c>
      <c r="B26" s="69" t="s">
        <v>1</v>
      </c>
      <c r="C26" s="69" t="s">
        <v>161</v>
      </c>
      <c r="D26" s="147" t="s">
        <v>122</v>
      </c>
    </row>
    <row r="27" customFormat="false" ht="12.75" hidden="false" customHeight="false" outlineLevel="0" collapsed="false">
      <c r="A27" s="84"/>
      <c r="B27" s="84"/>
      <c r="C27" s="84"/>
    </row>
    <row r="28" customFormat="false" ht="12.75" hidden="false" customHeight="false" outlineLevel="0" collapsed="false">
      <c r="A28" s="78" t="s">
        <v>11</v>
      </c>
      <c r="B28" s="74"/>
      <c r="C28" s="74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9" t="s">
        <v>14</v>
      </c>
      <c r="B29" s="74" t="n">
        <f aca="false">'[3]Thrusday 02-08-01'!T9+'[3]Thrusday 02-08-01'!T10-'[3]Thursday 02-01-01'!T9-'[3]Thursday 02-01-01'!T10</f>
        <v>2561</v>
      </c>
      <c r="C29" s="74" t="n">
        <f aca="false">'[3]Thrusday 02-08-01'!T67+'[3]Thrusday 02-08-01'!T68-'[3]Thursday 02-01-01'!T67-'[3]Thursday 02-01-01'!T68</f>
        <v>1668926814.42</v>
      </c>
      <c r="D29" s="74" t="s">
        <v>81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9" t="s">
        <v>17</v>
      </c>
      <c r="B30" s="74" t="n">
        <f aca="false">'[3]Thrusday 02-08-01'!T17+'[3]Thrusday 02-08-01'!T18-'[3]Thursday 02-01-01'!T17-'[3]Thursday 02-01-01'!T18</f>
        <v>2380</v>
      </c>
      <c r="C30" s="74" t="n">
        <f aca="false">'[3]Thrusday 02-08-01'!T75+'[3]Thrusday 02-08-01'!T76-'[3]Thursday 02-01-01'!T75-'[3]Thursday 02-01-01'!T76</f>
        <v>27822910.14</v>
      </c>
      <c r="D30" s="74" t="s">
        <v>85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78" t="s">
        <v>23</v>
      </c>
      <c r="B31" s="148"/>
      <c r="C31" s="74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9" t="s">
        <v>27</v>
      </c>
      <c r="B32" s="74" t="n">
        <f aca="false">'[3]Thrusday 02-08-01'!T30+'[3]Thrusday 02-08-01'!T31+'[3]Thrusday 02-08-01'!T33-'[3]Thursday 02-01-01'!T30-'[3]Thursday 02-01-01'!T31-'[3]Thursday 02-01-01'!T33</f>
        <v>1617</v>
      </c>
      <c r="C32" s="74" t="n">
        <f aca="false">'[3]Thrusday 02-08-01'!T88+'[3]Thrusday 02-08-01'!T89+'[3]Thrusday 02-08-01'!T91-'[3]Thursday 02-01-01'!T88-'[3]Thursday 02-01-01'!T89-'[3]Thursday 02-01-01'!T91</f>
        <v>109669662.09</v>
      </c>
      <c r="D32" s="74" t="s">
        <v>92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9" t="s">
        <v>29</v>
      </c>
      <c r="B33" s="74" t="n">
        <f aca="false">'[3]Thrusday 02-08-01'!T34-'[3]Thursday 02-01-01'!T34</f>
        <v>23</v>
      </c>
      <c r="C33" s="74" t="n">
        <f aca="false">'[3]Thrusday 02-08-01'!T92-'[3]Thursday 02-01-01'!T92</f>
        <v>3909990</v>
      </c>
      <c r="D33" s="74" t="s">
        <v>95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9" t="s">
        <v>162</v>
      </c>
      <c r="B34" s="74" t="n">
        <f aca="false">'[3]Thrusday 02-08-01'!T35-'[3]Thursday 02-01-01'!T35</f>
        <v>21</v>
      </c>
      <c r="C34" s="74" t="n">
        <f aca="false">'[3]Thrusday 02-08-01'!T93-'[3]Thursday 02-01-01'!T93</f>
        <v>1437499</v>
      </c>
      <c r="D34" s="74" t="s">
        <v>95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9" t="s">
        <v>32</v>
      </c>
      <c r="B35" s="74" t="n">
        <f aca="false">'[3]Thrusday 02-08-01'!T39-'[3]Thursday 02-01-01'!T39</f>
        <v>11</v>
      </c>
      <c r="C35" s="74" t="n">
        <f aca="false">'[3]Thrusday 02-08-01'!T97-'[3]Thursday 02-01-01'!T97</f>
        <v>97000</v>
      </c>
      <c r="D35" s="74" t="s">
        <v>98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9" t="s">
        <v>25</v>
      </c>
      <c r="B36" s="150" t="n">
        <f aca="false">'[3]Thrusday 02-08-01'!T47-'[3]Thursday 02-01-01'!T47</f>
        <v>153</v>
      </c>
      <c r="C36" s="74" t="n">
        <f aca="false">'[3]Thrusday 02-08-01'!T105-'[3]Thursday 02-01-01'!T105</f>
        <v>8754250</v>
      </c>
      <c r="D36" s="74" t="s">
        <v>100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9" t="s">
        <v>35</v>
      </c>
      <c r="B37" s="74" t="n">
        <f aca="false">'[3]Thrusday 02-08-01'!T37-'[3]Thursday 02-01-01'!T37</f>
        <v>17</v>
      </c>
      <c r="C37" s="74" t="n">
        <f aca="false">'[3]Thrusday 02-08-01'!T95-'[3]Thursday 02-01-01'!T95</f>
        <v>60100</v>
      </c>
      <c r="D37" s="74" t="s">
        <v>102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78" t="s">
        <v>41</v>
      </c>
      <c r="B38" s="148"/>
      <c r="C38" s="74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9" t="s">
        <v>163</v>
      </c>
      <c r="B39" s="150" t="n">
        <f aca="false">'[3]Thrusday 02-08-01'!T38-'[3]Thursday 02-01-01'!T38+25</f>
        <v>88</v>
      </c>
      <c r="C39" s="150" t="n">
        <f aca="false">'[3]Thrusday 02-08-01'!T96-'[3]Thursday 02-01-01'!T96+24083</f>
        <v>83999.9</v>
      </c>
      <c r="D39" s="74" t="s">
        <v>95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9" t="s">
        <v>42</v>
      </c>
      <c r="B40" s="74" t="n">
        <f aca="false">'[3]Thrusday 02-08-01'!T43-'[3]Thursday 02-01-01'!T43</f>
        <v>10</v>
      </c>
      <c r="C40" s="74" t="n">
        <f aca="false">'[3]Thrusday 02-08-01'!T101-'[3]Thursday 02-01-01'!T101</f>
        <v>20000</v>
      </c>
      <c r="D40" s="74" t="s">
        <v>95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9"/>
      <c r="B41" s="74"/>
      <c r="C41" s="74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74"/>
      <c r="C42" s="74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74"/>
      <c r="C43" s="74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3" t="s">
        <v>165</v>
      </c>
    </row>
    <row r="45" customFormat="false" ht="12.75" hidden="false" customHeight="false" outlineLevel="0" collapsed="false">
      <c r="B45" s="144" t="s">
        <v>174</v>
      </c>
      <c r="C45" s="144"/>
      <c r="D45" s="145" t="s">
        <v>159</v>
      </c>
    </row>
    <row r="46" customFormat="false" ht="12.75" hidden="false" customHeight="false" outlineLevel="0" collapsed="false">
      <c r="A46" s="146" t="s">
        <v>160</v>
      </c>
      <c r="B46" s="69" t="s">
        <v>1</v>
      </c>
      <c r="C46" s="69" t="s">
        <v>161</v>
      </c>
      <c r="D46" s="147" t="s">
        <v>122</v>
      </c>
    </row>
    <row r="48" customFormat="false" ht="12.75" hidden="false" customHeight="false" outlineLevel="0" collapsed="false">
      <c r="A48" s="78" t="s">
        <v>41</v>
      </c>
      <c r="B48" s="35"/>
      <c r="C48" s="35"/>
    </row>
    <row r="49" customFormat="false" ht="12.75" hidden="false" customHeight="false" outlineLevel="0" collapsed="false">
      <c r="A49" s="149" t="s">
        <v>39</v>
      </c>
      <c r="B49" s="35" t="n">
        <v>7</v>
      </c>
      <c r="C49" s="35" t="n">
        <v>668000</v>
      </c>
      <c r="D49" s="0" t="s">
        <v>166</v>
      </c>
    </row>
    <row r="50" customFormat="false" ht="12.75" hidden="false" customHeight="false" outlineLevel="0" collapsed="false">
      <c r="A50" s="149" t="s">
        <v>33</v>
      </c>
      <c r="B50" s="35"/>
      <c r="C50" s="35"/>
    </row>
    <row r="51" customFormat="false" ht="12.75" hidden="false" customHeight="false" outlineLevel="0" collapsed="false">
      <c r="A51" s="149" t="s">
        <v>156</v>
      </c>
      <c r="B51" s="35" t="n">
        <v>5</v>
      </c>
      <c r="C51" s="35" t="n">
        <v>1130</v>
      </c>
      <c r="D51" s="0" t="s">
        <v>167</v>
      </c>
    </row>
    <row r="53" customFormat="false" ht="12.75" hidden="false" customHeight="false" outlineLevel="0" collapsed="false">
      <c r="A53" s="84" t="s">
        <v>168</v>
      </c>
      <c r="B53" s="84" t="n">
        <v>1</v>
      </c>
      <c r="C53" s="84"/>
    </row>
    <row r="55" customFormat="false" ht="12.75" hidden="false" customHeight="false" outlineLevel="0" collapsed="false">
      <c r="A55" s="81" t="s">
        <v>169</v>
      </c>
      <c r="C55" s="158" t="n">
        <f aca="false">C49/1000</f>
        <v>668</v>
      </c>
    </row>
    <row r="58" customFormat="false" ht="12.75" hidden="false" customHeight="false" outlineLevel="0" collapsed="false">
      <c r="A58" s="78" t="s">
        <v>170</v>
      </c>
      <c r="B58" s="84"/>
      <c r="C58" s="159" t="n">
        <f aca="false">C55+C51+C40+C39+C17+C16</f>
        <v>106865.9</v>
      </c>
      <c r="D58" s="84"/>
      <c r="E58" s="84"/>
      <c r="F58" s="84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pane xSplit="1" ySplit="0" topLeftCell="B1" activePane="topRight" state="frozen"/>
      <selection pane="topLeft" activeCell="A30" activeCellId="0" sqref="A30"/>
      <selection pane="topRight" activeCell="Q10" activeCellId="0" sqref="Q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3" t="s">
        <v>83</v>
      </c>
    </row>
    <row r="2" customFormat="false" ht="12.75" hidden="false" customHeight="false" outlineLevel="0" collapsed="false">
      <c r="B2" s="144" t="s">
        <v>175</v>
      </c>
      <c r="C2" s="144"/>
      <c r="D2" s="145" t="s">
        <v>159</v>
      </c>
    </row>
    <row r="3" customFormat="false" ht="12.75" hidden="false" customHeight="false" outlineLevel="0" collapsed="false">
      <c r="A3" s="146" t="s">
        <v>160</v>
      </c>
      <c r="B3" s="69" t="s">
        <v>1</v>
      </c>
      <c r="C3" s="69" t="s">
        <v>161</v>
      </c>
      <c r="D3" s="147" t="s">
        <v>122</v>
      </c>
    </row>
    <row r="4" customFormat="false" ht="12.75" hidden="false" customHeight="false" outlineLevel="0" collapsed="false">
      <c r="A4" s="84"/>
      <c r="B4" s="84"/>
      <c r="C4" s="84"/>
    </row>
    <row r="5" customFormat="false" ht="12.75" hidden="false" customHeight="false" outlineLevel="0" collapsed="false">
      <c r="A5" s="78" t="s">
        <v>11</v>
      </c>
      <c r="B5" s="148"/>
      <c r="C5" s="148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9" t="s">
        <v>14</v>
      </c>
      <c r="B6" s="150" t="n">
        <v>15177</v>
      </c>
      <c r="C6" s="35" t="n">
        <v>1871114782.54</v>
      </c>
      <c r="D6" s="74" t="s">
        <v>81</v>
      </c>
      <c r="E6" s="86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9" t="s">
        <v>17</v>
      </c>
      <c r="B7" s="150" t="n">
        <v>2512</v>
      </c>
      <c r="C7" s="35" t="n">
        <v>26007420</v>
      </c>
      <c r="D7" s="74" t="s">
        <v>85</v>
      </c>
      <c r="E7" s="86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78" t="s">
        <v>23</v>
      </c>
      <c r="B8" s="151"/>
      <c r="C8" s="152"/>
      <c r="D8" s="74"/>
      <c r="E8" s="8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9" t="s">
        <v>27</v>
      </c>
      <c r="B9" s="150" t="n">
        <v>1324</v>
      </c>
      <c r="C9" s="79" t="n">
        <v>37574000.02</v>
      </c>
      <c r="D9" s="74" t="s">
        <v>92</v>
      </c>
      <c r="E9" s="8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9" t="s">
        <v>29</v>
      </c>
      <c r="B10" s="150" t="n">
        <v>1</v>
      </c>
      <c r="C10" s="79" t="n">
        <v>23250</v>
      </c>
      <c r="D10" s="74" t="s">
        <v>95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9" t="s">
        <v>162</v>
      </c>
      <c r="B11" s="150" t="n">
        <v>4</v>
      </c>
      <c r="C11" s="79" t="n">
        <v>165000</v>
      </c>
      <c r="D11" s="74" t="s">
        <v>95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9" t="s">
        <v>32</v>
      </c>
      <c r="B12" s="150" t="n">
        <v>2</v>
      </c>
      <c r="C12" s="79" t="n">
        <v>600</v>
      </c>
      <c r="D12" s="74" t="s">
        <v>98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25</v>
      </c>
      <c r="B13" s="150" t="n">
        <v>0</v>
      </c>
      <c r="C13" s="150" t="n">
        <v>0</v>
      </c>
      <c r="D13" s="74" t="s">
        <v>100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9" t="s">
        <v>35</v>
      </c>
      <c r="B14" s="150" t="n">
        <v>9</v>
      </c>
      <c r="C14" s="150" t="n">
        <v>22500</v>
      </c>
      <c r="D14" s="74" t="s">
        <v>102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78" t="s">
        <v>41</v>
      </c>
      <c r="B15" s="151"/>
      <c r="C15" s="152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9" t="s">
        <v>163</v>
      </c>
      <c r="B16" s="150" t="n">
        <v>0</v>
      </c>
      <c r="C16" s="150" t="n">
        <v>0</v>
      </c>
      <c r="D16" s="74" t="s">
        <v>95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9" t="s">
        <v>42</v>
      </c>
      <c r="B17" s="150" t="n">
        <v>0</v>
      </c>
      <c r="C17" s="150" t="n">
        <v>0</v>
      </c>
      <c r="D17" s="74" t="s">
        <v>95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150"/>
      <c r="C18" s="150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150"/>
      <c r="C19" s="150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4" t="s">
        <v>164</v>
      </c>
      <c r="B20" s="151" t="n">
        <v>2</v>
      </c>
      <c r="C20" s="151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150"/>
      <c r="C21" s="150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150"/>
      <c r="C22" s="150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150"/>
      <c r="C23" s="150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3" t="s">
        <v>150</v>
      </c>
      <c r="B24" s="154"/>
      <c r="C24" s="154"/>
    </row>
    <row r="25" customFormat="false" ht="12.75" hidden="false" customHeight="false" outlineLevel="0" collapsed="false">
      <c r="B25" s="155" t="s">
        <v>175</v>
      </c>
      <c r="C25" s="155"/>
      <c r="D25" s="145" t="s">
        <v>159</v>
      </c>
    </row>
    <row r="26" customFormat="false" ht="12.75" hidden="false" customHeight="false" outlineLevel="0" collapsed="false">
      <c r="A26" s="146" t="s">
        <v>160</v>
      </c>
      <c r="B26" s="156" t="s">
        <v>1</v>
      </c>
      <c r="C26" s="156" t="s">
        <v>161</v>
      </c>
      <c r="D26" s="147" t="s">
        <v>122</v>
      </c>
    </row>
    <row r="27" customFormat="false" ht="12.75" hidden="false" customHeight="false" outlineLevel="0" collapsed="false">
      <c r="A27" s="84"/>
      <c r="B27" s="157"/>
      <c r="C27" s="157"/>
    </row>
    <row r="28" customFormat="false" ht="12.75" hidden="false" customHeight="false" outlineLevel="0" collapsed="false">
      <c r="A28" s="78" t="s">
        <v>11</v>
      </c>
      <c r="B28" s="150"/>
      <c r="C28" s="150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9" t="s">
        <v>14</v>
      </c>
      <c r="B29" s="150" t="n">
        <v>2680</v>
      </c>
      <c r="C29" s="150" t="n">
        <v>1759586008.02</v>
      </c>
      <c r="D29" s="74" t="s">
        <v>81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9" t="s">
        <v>17</v>
      </c>
      <c r="B30" s="150" t="n">
        <v>2417</v>
      </c>
      <c r="C30" s="150" t="n">
        <v>26887997.97</v>
      </c>
      <c r="D30" s="74" t="s">
        <v>85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78" t="s">
        <v>23</v>
      </c>
      <c r="B31" s="151"/>
      <c r="C31" s="150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9" t="s">
        <v>27</v>
      </c>
      <c r="B32" s="150" t="n">
        <v>1693</v>
      </c>
      <c r="C32" s="150" t="n">
        <v>146278275.05</v>
      </c>
      <c r="D32" s="74" t="s">
        <v>92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9" t="s">
        <v>29</v>
      </c>
      <c r="B33" s="150" t="n">
        <v>11</v>
      </c>
      <c r="C33" s="150" t="n">
        <v>1684250.08</v>
      </c>
      <c r="D33" s="74" t="s">
        <v>95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9" t="s">
        <v>162</v>
      </c>
      <c r="B34" s="150" t="n">
        <v>4</v>
      </c>
      <c r="C34" s="150" t="n">
        <v>82500</v>
      </c>
      <c r="D34" s="74" t="s">
        <v>95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9" t="s">
        <v>32</v>
      </c>
      <c r="B35" s="150" t="n">
        <v>9</v>
      </c>
      <c r="C35" s="150" t="n">
        <v>45000</v>
      </c>
      <c r="D35" s="74" t="s">
        <v>98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9" t="s">
        <v>25</v>
      </c>
      <c r="B36" s="150" t="n">
        <v>596</v>
      </c>
      <c r="C36" s="150" t="n">
        <v>17863222</v>
      </c>
      <c r="D36" s="74" t="s">
        <v>100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9" t="s">
        <v>35</v>
      </c>
      <c r="B37" s="150" t="n">
        <v>7</v>
      </c>
      <c r="C37" s="150" t="n">
        <v>10350</v>
      </c>
      <c r="D37" s="74" t="s">
        <v>102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78" t="s">
        <v>41</v>
      </c>
      <c r="B38" s="151"/>
      <c r="C38" s="150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9" t="s">
        <v>163</v>
      </c>
      <c r="B39" s="150" t="n">
        <v>155</v>
      </c>
      <c r="C39" s="150" t="n">
        <v>87311.55</v>
      </c>
      <c r="D39" s="74" t="s">
        <v>95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9" t="s">
        <v>42</v>
      </c>
      <c r="B40" s="150" t="n">
        <v>0</v>
      </c>
      <c r="C40" s="150" t="n">
        <v>0</v>
      </c>
      <c r="D40" s="74" t="s">
        <v>95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9"/>
      <c r="B41" s="150"/>
      <c r="C41" s="150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150"/>
      <c r="C42" s="150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150"/>
      <c r="C43" s="150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3" t="s">
        <v>165</v>
      </c>
      <c r="B44" s="154"/>
      <c r="C44" s="154"/>
    </row>
    <row r="45" customFormat="false" ht="12.75" hidden="false" customHeight="false" outlineLevel="0" collapsed="false">
      <c r="B45" s="144" t="s">
        <v>175</v>
      </c>
      <c r="C45" s="144"/>
      <c r="D45" s="145" t="s">
        <v>159</v>
      </c>
    </row>
    <row r="46" customFormat="false" ht="12.75" hidden="false" customHeight="false" outlineLevel="0" collapsed="false">
      <c r="A46" s="146" t="s">
        <v>160</v>
      </c>
      <c r="B46" s="69" t="s">
        <v>1</v>
      </c>
      <c r="C46" s="69" t="s">
        <v>161</v>
      </c>
      <c r="D46" s="147" t="s">
        <v>122</v>
      </c>
    </row>
    <row r="48" customFormat="false" ht="12.75" hidden="false" customHeight="false" outlineLevel="0" collapsed="false">
      <c r="A48" s="78" t="s">
        <v>41</v>
      </c>
      <c r="B48" s="35"/>
      <c r="C48" s="35"/>
    </row>
    <row r="49" customFormat="false" ht="12.75" hidden="false" customHeight="false" outlineLevel="0" collapsed="false">
      <c r="A49" s="149" t="s">
        <v>39</v>
      </c>
      <c r="B49" s="35" t="n">
        <v>7</v>
      </c>
      <c r="C49" s="35" t="n">
        <v>792000</v>
      </c>
      <c r="D49" s="0" t="s">
        <v>166</v>
      </c>
    </row>
    <row r="50" customFormat="false" ht="12.75" hidden="false" customHeight="false" outlineLevel="0" collapsed="false">
      <c r="A50" s="149" t="s">
        <v>33</v>
      </c>
      <c r="B50" s="35"/>
      <c r="C50" s="35"/>
    </row>
    <row r="51" customFormat="false" ht="12.75" hidden="false" customHeight="false" outlineLevel="0" collapsed="false">
      <c r="A51" s="149" t="s">
        <v>156</v>
      </c>
      <c r="B51" s="35" t="n">
        <v>11</v>
      </c>
      <c r="C51" s="35" t="n">
        <v>4480</v>
      </c>
      <c r="D51" s="0" t="s">
        <v>167</v>
      </c>
    </row>
    <row r="53" customFormat="false" ht="12.75" hidden="false" customHeight="false" outlineLevel="0" collapsed="false">
      <c r="A53" s="84" t="s">
        <v>168</v>
      </c>
      <c r="B53" s="84" t="n">
        <v>2</v>
      </c>
      <c r="C53" s="84"/>
    </row>
    <row r="55" customFormat="false" ht="12.75" hidden="false" customHeight="false" outlineLevel="0" collapsed="false">
      <c r="A55" s="81" t="s">
        <v>169</v>
      </c>
      <c r="C55" s="158" t="n">
        <v>792</v>
      </c>
    </row>
    <row r="58" customFormat="false" ht="12.75" hidden="false" customHeight="false" outlineLevel="0" collapsed="false">
      <c r="A58" s="78" t="s">
        <v>170</v>
      </c>
      <c r="B58" s="84"/>
      <c r="C58" s="159" t="n">
        <v>92583.55</v>
      </c>
      <c r="D58" s="84"/>
      <c r="E58" s="84"/>
      <c r="F58" s="84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2001-01-24T14:22:27Z</dcterms:created>
  <dc:creator>smao</dc:creator>
  <dc:description/>
  <dc:language>en-US</dc:language>
  <cp:lastModifiedBy>bheinri</cp:lastModifiedBy>
  <cp:lastPrinted>2001-04-05T20:22:14Z</cp:lastPrinted>
  <dcterms:modified xsi:type="dcterms:W3CDTF">2001-04-05T20:22:39Z</dcterms:modified>
  <cp:revision>0</cp:revision>
  <dc:subject/>
  <dc:title/>
</cp:coreProperties>
</file>