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visible" r:id="rId4"/>
    <sheet name="EIM New Deals" sheetId="3" state="visible" r:id="rId5"/>
    <sheet name="WE 2-22 EOL Data" sheetId="4" state="visible" r:id="rId6"/>
    <sheet name="WE 2-28 EOL Data" sheetId="5" state="visible" r:id="rId7"/>
    <sheet name="WE 2-15 EOL Data" sheetId="6" state="hidden" r:id="rId8"/>
    <sheet name="WE 2-8 EOL Data" sheetId="7" state="hidden" r:id="rId9"/>
    <sheet name="WE 2-1 EOL Data" sheetId="8" state="hidden" r:id="rId10"/>
    <sheet name="template from individuals" sheetId="9" state="hidden" r:id="rId11"/>
    <sheet name="template from eol" sheetId="10" state="hidden" r:id="rId12"/>
    <sheet name="Data People" sheetId="11" state="hidden" r:id="rId13"/>
  </sheets>
  <externalReferences>
    <externalReference r:id="rId14"/>
    <externalReference r:id="rId15"/>
    <externalReference r:id="rId16"/>
  </externalReferences>
  <definedNames>
    <definedName function="false" hidden="false" localSheetId="2" name="_xlnm.Print_Area" vbProcedure="false">'EIM New Deals'!$A$1:$Q$33</definedName>
    <definedName function="false" hidden="false" localSheetId="2" name="_xlnm.Print_Titles" vbProcedure="false">'EIM New Deals'!$A:$A</definedName>
    <definedName function="false" hidden="false" localSheetId="8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name="DATARANGE" vbProcedure="false">[3]DATA!$A$3:$Y$93</definedName>
    <definedName function="false" hidden="false" name="DATE" vbProcedure="false">[3]DATA!$C$1</definedName>
    <definedName function="false" hidden="false" name="SUMM_ALLOC" vbProcedure="false">[3]ALLOCATION!$A$6:$C$48</definedName>
    <definedName function="false" hidden="false" localSheetId="1" name="Excel_BuiltIn__FilterDatabase" vbProcedure="false">Data!$A$53:$G$77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<sst xmlns="http://schemas.openxmlformats.org/spreadsheetml/2006/main" count="1026" uniqueCount="163">
  <si>
    <t xml:space="preserve">Principal Projects / Deals:</t>
  </si>
  <si>
    <t xml:space="preserve">New Deals</t>
  </si>
  <si>
    <t xml:space="preserve">Physical Volume of New Deals</t>
  </si>
  <si>
    <t xml:space="preserve">Completion of HPL deal on target.</t>
  </si>
  <si>
    <t xml:space="preserve">1/26 - 2/1</t>
  </si>
  <si>
    <t xml:space="preserve">2/2 -2/8</t>
  </si>
  <si>
    <t xml:space="preserve">2/9 -2/15</t>
  </si>
  <si>
    <t xml:space="preserve">2/16-2/22</t>
  </si>
  <si>
    <r>
      <rPr>
        <b val="true"/>
        <sz val="12"/>
        <rFont val="Arial"/>
        <family val="2"/>
      </rPr>
      <t xml:space="preserve">2/23-2/28 </t>
    </r>
    <r>
      <rPr>
        <b val="true"/>
        <vertAlign val="superscript"/>
        <sz val="12"/>
        <rFont val="Arial"/>
        <family val="2"/>
      </rPr>
      <t xml:space="preserve">(1)</t>
    </r>
  </si>
  <si>
    <t xml:space="preserve">Total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</si>
  <si>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</si>
  <si>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</si>
  <si>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Mid and Back Office commercialization modeling initiated.</t>
  </si>
  <si>
    <t xml:space="preserve">Gas</t>
  </si>
  <si>
    <t xml:space="preserve">Power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</si>
  <si>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</si>
  <si>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EGM</t>
  </si>
  <si>
    <t xml:space="preserve">Liquids</t>
  </si>
  <si>
    <t xml:space="preserve">IR/FX</t>
  </si>
  <si>
    <t xml:space="preserve">Coal</t>
  </si>
  <si>
    <t xml:space="preserve">Emissions</t>
  </si>
  <si>
    <t xml:space="preserve">EIM Total*</t>
  </si>
  <si>
    <t xml:space="preserve">Weather</t>
  </si>
  <si>
    <t xml:space="preserve">Newsprint</t>
  </si>
  <si>
    <t xml:space="preserve">Pulp</t>
  </si>
  <si>
    <t xml:space="preserve">Lumber</t>
  </si>
  <si>
    <t xml:space="preserve">EIM</t>
  </si>
  <si>
    <t xml:space="preserve">Steel</t>
  </si>
  <si>
    <t xml:space="preserve">* Breakout of EIM volumes not available at this time</t>
  </si>
  <si>
    <t xml:space="preserve">New Counterparties</t>
  </si>
  <si>
    <t xml:space="preserve">2/16-2/23</t>
  </si>
  <si>
    <t xml:space="preserve">E-Commerce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</si>
  <si>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</si>
  <si>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</si>
  <si>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</si>
  <si>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</si>
  <si>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</si>
  <si>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</si>
  <si>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</si>
  <si>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</si>
  <si>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</si>
  <si>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</si>
  <si>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</si>
  <si>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</si>
  <si>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</si>
  <si>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</si>
  <si>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</si>
  <si>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</si>
  <si>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</si>
  <si>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</si>
  <si>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1/5 - 1/11</t>
  </si>
  <si>
    <t xml:space="preserve">1/12 - 1/18</t>
  </si>
  <si>
    <t xml:space="preserve">1/19 - 1/25</t>
  </si>
  <si>
    <t xml:space="preserve">2/2 - 2/8</t>
  </si>
  <si>
    <t xml:space="preserve">2/9 - 2/15</t>
  </si>
  <si>
    <t xml:space="preserve">2/16 - 2/22</t>
  </si>
  <si>
    <t xml:space="preserve">2/23 - 2/28</t>
  </si>
  <si>
    <t xml:space="preserve">MMBTU</t>
  </si>
  <si>
    <t xml:space="preserve">MHtz</t>
  </si>
  <si>
    <t xml:space="preserve">Physical Pulp</t>
  </si>
  <si>
    <t xml:space="preserve">Financial Pulp</t>
  </si>
  <si>
    <t xml:space="preserve">BBL</t>
  </si>
  <si>
    <t xml:space="preserve">Physical Steel</t>
  </si>
  <si>
    <t xml:space="preserve">TONNE</t>
  </si>
  <si>
    <t xml:space="preserve">Financial Steel</t>
  </si>
  <si>
    <t xml:space="preserve">HDD/CDD</t>
  </si>
  <si>
    <t xml:space="preserve">USD</t>
  </si>
  <si>
    <t xml:space="preserve">Physical Liquids</t>
  </si>
  <si>
    <t xml:space="preserve">CONTRACTS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</si>
  <si>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</si>
  <si>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</si>
  <si>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</si>
  <si>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</si>
  <si>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</si>
  <si>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</si>
  <si>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Total EIM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</si>
  <si>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</si>
  <si>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</si>
  <si>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</si>
  <si>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</si>
  <si>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</si>
  <si>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</si>
  <si>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</si>
  <si>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</si>
  <si>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</si>
  <si>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</si>
  <si>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</si>
  <si>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</si>
  <si>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</si>
  <si>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</si>
  <si>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</si>
  <si>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New Deals for</t>
  </si>
  <si>
    <t xml:space="preserve">JANUARY</t>
  </si>
  <si>
    <t xml:space="preserve">FEBRUARY</t>
  </si>
  <si>
    <t xml:space="preserve">MARCH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</si>
  <si>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</si>
  <si>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</si>
  <si>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</si>
  <si>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</si>
  <si>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</si>
  <si>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</si>
  <si>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</si>
  <si>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22</t>
  </si>
  <si>
    <t xml:space="preserve">Week Ending 28</t>
  </si>
  <si>
    <t xml:space="preserve">Week Ending 7</t>
  </si>
  <si>
    <t xml:space="preserve">Week Ending 14</t>
  </si>
  <si>
    <t xml:space="preserve">Week Ending 21</t>
  </si>
  <si>
    <t xml:space="preserve">EOL</t>
  </si>
  <si>
    <t xml:space="preserve">Non-EOL</t>
  </si>
  <si>
    <t xml:space="preserve">Financial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</si>
  <si>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</si>
  <si>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</si>
  <si>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</si>
  <si>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</si>
  <si>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Pulp (recycled paper)</t>
  </si>
  <si>
    <t xml:space="preserve">Physical</t>
  </si>
  <si>
    <t xml:space="preserve">Week ending 2/22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</si>
  <si>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</si>
  <si>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</si>
  <si>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</si>
  <si>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</si>
  <si>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Pulp &amp; Paper</t>
  </si>
  <si>
    <t xml:space="preserve">Number of new EOL Counterparties</t>
  </si>
  <si>
    <t xml:space="preserve">Clickpaper</t>
  </si>
  <si>
    <t xml:space="preserve">Board Feet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</si>
  <si>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</si>
  <si>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</si>
  <si>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</si>
  <si>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</si>
  <si>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2/28</t>
  </si>
  <si>
    <t xml:space="preserve">Because of systems issues (data mart is down) therefore they cannot pull IR/FX .  Since data mart is down, they are using their old access database which does not include IR/FX.  For this week will need to get the information from Clara Carrington in the Mgr of the Risk Mgmt Desk in IR/FX.</t>
  </si>
  <si>
    <t xml:space="preserve">Week ending 2/15</t>
  </si>
  <si>
    <t xml:space="preserve">Week ending 2/8</t>
  </si>
  <si>
    <t xml:space="preserve">Week ending 2/1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</si>
  <si>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</si>
  <si>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</si>
  <si>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</si>
  <si>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</si>
  <si>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Total EOL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</si>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</sst>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_(* #,##0.00_);_(* \(#,##0.00\);_(* \-??_);_(@_)"/>
    <numFmt numFmtId="170" formatCode="_(* #,##0_);_(* \(#,##0\);_(* \-??_);_(@_)"/>
    <numFmt numFmtId="171" formatCode="_(* #,##0_);_(* \(#,##0\);_(* \-_);_(@_)"/>
    <numFmt numFmtId="172" formatCode="#,##0"/>
    <numFmt numFmtId="173" formatCode="0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.5"/>
      <name val="MS Sans Serif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vertAlign val="superscript"/>
      <sz val="12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.75"/>
      <color rgb="FF000000"/>
      <name val="Arial"/>
      <family val="2"/>
    </font>
    <font>
      <b val="true"/>
      <sz val="18.5"/>
      <color rgb="FF000000"/>
      <name val="Arial"/>
      <family val="2"/>
    </font>
    <font>
      <sz val="17"/>
      <color rgb="FF000000"/>
      <name val="Arial"/>
      <family val="2"/>
    </font>
    <font>
      <sz val="20.25"/>
      <color rgb="FF000000"/>
      <name val="Arial"/>
      <family val="2"/>
    </font>
    <font>
      <b val="true"/>
      <sz val="16.5"/>
      <color rgb="FF000000"/>
      <name val="Arial"/>
      <family val="2"/>
    </font>
    <font>
      <sz val="17.25"/>
      <color rgb="FF000000"/>
      <name val="Arial"/>
      <family val="2"/>
    </font>
    <font>
      <sz val="19.75"/>
      <color rgb="FF000000"/>
      <name val="Arial"/>
      <family val="2"/>
    </font>
    <font>
      <sz val="18.5"/>
      <color rgb="FF000000"/>
      <name val="Arial"/>
      <family val="2"/>
    </font>
    <font>
      <sz val="21.25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2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nk Holidays - Europe" xfId="20"/>
    <cellStyle name="Comma_Bank Holidays - Europe" xfId="21"/>
    <cellStyle name="Currency [0]_Bank Holidays - Europe" xfId="22"/>
    <cellStyle name="Currency_Bank Holidays - Europe" xfId="23"/>
    <cellStyle name="Normal_30 DAY EXTERNAL AVG " xfId="24"/>
    <cellStyle name="Normal_competitor table (PROTO)" xfId="25"/>
    <cellStyle name="Normal_Crude Data" xfId="26"/>
    <cellStyle name="Normal_Crude Worksheet" xfId="27"/>
    <cellStyle name="Normal_DATA" xfId="28"/>
    <cellStyle name="Normal_DAYS TRADED" xfId="29"/>
    <cellStyle name="Normal_EOL WEEKLY SUMMARY 10-11-00 DATAMART" xfId="30"/>
    <cellStyle name="Normal_EOL WEEKLY SUMMARY 10-27-00 DATAMART.xls Chart 1" xfId="31"/>
    <cellStyle name="Normal_EOL WEEKLY SUMMARY 10-27-00 DATAMART.xls Chart 2" xfId="32"/>
    <cellStyle name="Normal_EOL WEEKLY SUMMARY 10-27-00 DM" xfId="33"/>
    <cellStyle name="Normal_EOL WEEKLY SUMMARY 12-18-00" xfId="34"/>
    <cellStyle name="Normal_EOL WEEKLY SUMMARY 12-18-00 DATAMART.xls Chart 1" xfId="35"/>
    <cellStyle name="Normal_EOL WEEKLY SUMMARY 12-18-00 DATAMART.xls Chart 2" xfId="36"/>
    <cellStyle name="Normal_EOL WEEKLY SUMMARY 12-27-00" xfId="37"/>
    <cellStyle name="Normal_EOL WEEKLY SUMMARY 12-27-00 DATAMART.xls Chart 1" xfId="38"/>
    <cellStyle name="Normal_EOL WEEKLY SUMMARY 12-27-00 DATAMART.xls Chart 2" xfId="39"/>
    <cellStyle name="Normal_MTD" xfId="40"/>
    <cellStyle name="Normal_NG Data" xfId="41"/>
    <cellStyle name="Normal_NG Worksheet" xfId="42"/>
    <cellStyle name="Normal_NYMEX Converter 9-11-00" xfId="43"/>
    <cellStyle name="Normal_RAW DATA (DATABASE)" xfId="44"/>
    <cellStyle name="Normal_Sheet1" xfId="45"/>
    <cellStyle name="Normal_SUMMARY by DAY" xfId="46"/>
    <cellStyle name="Normal_Summary Report for EOL from Database" xfId="47"/>
    <cellStyle name="Normal_Worksheet" xfId="48"/>
    <cellStyle name="Normal_Worksheet (NG)" xfId="49"/>
    <cellStyle name="Normal_Worksheet (WTI)" xfId="50"/>
    <cellStyle name="Normal_Worksheets (NG)" xfId="51"/>
    <cellStyle name="Normal_YTD" xfId="5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891315898223"/>
          <c:y val="0.141907233214402"/>
          <c:w val="0.961922191392644"/>
          <c:h val="0.80173532273759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Data!$E$15</c:f>
              <c:strCache>
                <c:ptCount val="1"/>
                <c:pt idx="0">
                  <c:v>IR/FX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Data!$J$14:$N$14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Data!$J$15:$N$15</c:f>
              <c:numCache>
                <c:formatCode>#,##0</c:formatCode>
                <c:ptCount val="5"/>
                <c:pt idx="0">
                  <c:v>145</c:v>
                </c:pt>
                <c:pt idx="1">
                  <c:v>153</c:v>
                </c:pt>
                <c:pt idx="2">
                  <c:v>122</c:v>
                </c:pt>
                <c:pt idx="3">
                  <c:v>142</c:v>
                </c:pt>
                <c:pt idx="4">
                  <c:v>102</c:v>
                </c:pt>
              </c:numCache>
            </c:numRef>
          </c:val>
        </c:ser>
        <c:ser>
          <c:idx val="1"/>
          <c:order val="1"/>
          <c:tx>
            <c:strRef>
              <c:f>Data!$E$16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Data!$J$14:$N$14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Data!$J$16:$N$16</c:f>
              <c:numCache>
                <c:formatCode>#,##0</c:formatCode>
                <c:ptCount val="5"/>
                <c:pt idx="0">
                  <c:v>3322</c:v>
                </c:pt>
                <c:pt idx="1">
                  <c:v>3375</c:v>
                </c:pt>
                <c:pt idx="2">
                  <c:v>3353</c:v>
                </c:pt>
                <c:pt idx="3">
                  <c:v>3135</c:v>
                </c:pt>
                <c:pt idx="4">
                  <c:v>2593</c:v>
                </c:pt>
              </c:numCache>
            </c:numRef>
          </c:val>
        </c:ser>
        <c:ser>
          <c:idx val="2"/>
          <c:order val="2"/>
          <c:tx>
            <c:strRef>
              <c:f>Data!$E$17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Data!$J$14:$N$14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Data!$J$17:$N$17</c:f>
              <c:numCache>
                <c:formatCode>#,##0</c:formatCode>
                <c:ptCount val="5"/>
                <c:pt idx="0">
                  <c:v>83</c:v>
                </c:pt>
                <c:pt idx="1">
                  <c:v>52</c:v>
                </c:pt>
                <c:pt idx="2">
                  <c:v>58</c:v>
                </c:pt>
                <c:pt idx="3">
                  <c:v>28</c:v>
                </c:pt>
                <c:pt idx="4">
                  <c:v>12</c:v>
                </c:pt>
              </c:numCache>
            </c:numRef>
          </c:val>
        </c:ser>
        <c:ser>
          <c:idx val="3"/>
          <c:order val="3"/>
          <c:tx>
            <c:strRef>
              <c:f>Data!$E$18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Data!$J$14:$N$14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Data!$J$18:$N$18</c:f>
              <c:numCache>
                <c:formatCode>#,##0</c:formatCode>
                <c:ptCount val="5"/>
                <c:pt idx="0">
                  <c:v>19</c:v>
                </c:pt>
                <c:pt idx="1">
                  <c:v>24</c:v>
                </c:pt>
                <c:pt idx="2">
                  <c:v>39</c:v>
                </c:pt>
                <c:pt idx="3">
                  <c:v>24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Data!$E$19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Data!$J$14:$N$14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Data!$J$19:$N$19</c:f>
              <c:numCache>
                <c:formatCode>#,##0</c:formatCode>
                <c:ptCount val="5"/>
                <c:pt idx="0">
                  <c:v>14</c:v>
                </c:pt>
                <c:pt idx="1">
                  <c:v>33</c:v>
                </c:pt>
                <c:pt idx="2">
                  <c:v>20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gapWidth val="150"/>
        <c:shape val="box"/>
        <c:axId val="84187984"/>
        <c:axId val="74067775"/>
        <c:axId val="0"/>
      </c:bar3DChart>
      <c:catAx>
        <c:axId val="841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67775"/>
        <c:crossesAt val="0"/>
        <c:auto val="1"/>
        <c:lblAlgn val="ctr"/>
        <c:lblOffset val="100"/>
        <c:noMultiLvlLbl val="0"/>
      </c:catAx>
      <c:valAx>
        <c:axId val="740677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87984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76810909734931"/>
          <c:y val="0.921180668180344"/>
          <c:w val="0.651868469213059"/>
          <c:h val="0.051492053194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3587387283901"/>
          <c:y val="0.140750997800766"/>
          <c:w val="0.977370627764057"/>
          <c:h val="0.82015150281013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Data!$J$11:$N$11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Data!$J$12:$N$12</c:f>
              <c:numCache>
                <c:formatCode>#,##0</c:formatCode>
                <c:ptCount val="5"/>
                <c:pt idx="0">
                  <c:v>19791</c:v>
                </c:pt>
                <c:pt idx="1">
                  <c:v>18521</c:v>
                </c:pt>
                <c:pt idx="2">
                  <c:v>17223</c:v>
                </c:pt>
                <c:pt idx="3">
                  <c:v>12660</c:v>
                </c:pt>
                <c:pt idx="4">
                  <c:v>15072</c:v>
                </c:pt>
              </c:numCache>
            </c:numRef>
          </c:val>
        </c:ser>
        <c:ser>
          <c:idx val="1"/>
          <c:order val="1"/>
          <c:tx>
            <c:strRef>
              <c:f>Data!$E$13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Data!$J$11:$N$11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Data!$J$13:$N$13</c:f>
              <c:numCache>
                <c:formatCode>#,##0</c:formatCode>
                <c:ptCount val="5"/>
                <c:pt idx="0">
                  <c:v>4599</c:v>
                </c:pt>
                <c:pt idx="1">
                  <c:v>4631</c:v>
                </c:pt>
                <c:pt idx="2">
                  <c:v>4587</c:v>
                </c:pt>
                <c:pt idx="3">
                  <c:v>3656</c:v>
                </c:pt>
                <c:pt idx="4">
                  <c:v>3771</c:v>
                </c:pt>
              </c:numCache>
            </c:numRef>
          </c:val>
        </c:ser>
        <c:gapWidth val="150"/>
        <c:shape val="box"/>
        <c:axId val="53786841"/>
        <c:axId val="42500215"/>
        <c:axId val="0"/>
      </c:bar3DChart>
      <c:catAx>
        <c:axId val="537868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00215"/>
        <c:crossesAt val="0"/>
        <c:auto val="1"/>
        <c:lblAlgn val="ctr"/>
        <c:lblOffset val="100"/>
        <c:noMultiLvlLbl val="0"/>
      </c:catAx>
      <c:valAx>
        <c:axId val="425002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86841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99460111423813"/>
          <c:y val="0.927832532377617"/>
          <c:w val="0.190454310493366"/>
          <c:h val="0.0488718742363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New Deal Trend</a:t>
            </a:r>
          </a:p>
        </c:rich>
      </c:tx>
      <c:layout>
        <c:manualLayout>
          <c:xMode val="edge"/>
          <c:yMode val="edge"/>
          <c:x val="0.384349068527779"/>
          <c:y val="0.0368182553811296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37385283288454"/>
          <c:y val="0.139909370448293"/>
          <c:w val="0.979447161620047"/>
          <c:h val="0.81857905810001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Data!$E$21</c:f>
              <c:strCache>
                <c:ptCount val="1"/>
                <c:pt idx="0">
                  <c:v>Newsprint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Data!$J$20:$N$20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Data!$J$21:$N$21</c:f>
              <c:numCache>
                <c:formatCode>#,##0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30</c:v>
                </c:pt>
                <c:pt idx="3">
                  <c:v>17</c:v>
                </c:pt>
                <c:pt idx="4">
                  <c:v>18</c:v>
                </c:pt>
              </c:numCache>
            </c:numRef>
          </c:val>
        </c:ser>
        <c:ser>
          <c:idx val="1"/>
          <c:order val="1"/>
          <c:tx>
            <c:strRef>
              <c:f>Data!$E$22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Data!$J$20:$N$20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Data!$J$22:$N$22</c:f>
              <c:numCache>
                <c:formatCode>#,##0</c:formatCode>
                <c:ptCount val="5"/>
                <c:pt idx="0">
                  <c:v>29</c:v>
                </c:pt>
                <c:pt idx="1">
                  <c:v>17</c:v>
                </c:pt>
                <c:pt idx="2">
                  <c:v>15</c:v>
                </c:pt>
                <c:pt idx="3">
                  <c:v>23</c:v>
                </c:pt>
                <c:pt idx="4">
                  <c:v>57</c:v>
                </c:pt>
              </c:numCache>
            </c:numRef>
          </c:val>
        </c:ser>
        <c:ser>
          <c:idx val="2"/>
          <c:order val="2"/>
          <c:tx>
            <c:strRef>
              <c:f>Data!$E$23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Data!$J$20:$N$20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Data!$J$23:$N$23</c:f>
              <c:numCache>
                <c:formatCode>#,##0</c:formatCode>
                <c:ptCount val="5"/>
                <c:pt idx="0">
                  <c:v>86</c:v>
                </c:pt>
                <c:pt idx="1">
                  <c:v>69</c:v>
                </c:pt>
                <c:pt idx="2">
                  <c:v>38</c:v>
                </c:pt>
                <c:pt idx="3">
                  <c:v>41</c:v>
                </c:pt>
                <c:pt idx="4">
                  <c:v>69</c:v>
                </c:pt>
              </c:numCache>
            </c:numRef>
          </c:val>
        </c:ser>
        <c:ser>
          <c:idx val="3"/>
          <c:order val="3"/>
          <c:tx>
            <c:strRef>
              <c:f>Data!$E$24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Data!$J$20:$N$20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Data!$J$24:$N$24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gapWidth val="150"/>
        <c:shape val="box"/>
        <c:axId val="71516640"/>
        <c:axId val="53992710"/>
        <c:axId val="0"/>
      </c:bar3DChart>
      <c:catAx>
        <c:axId val="71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92710"/>
        <c:crossesAt val="0"/>
        <c:auto val="1"/>
        <c:lblAlgn val="ctr"/>
        <c:lblOffset val="100"/>
        <c:noMultiLvlLbl val="0"/>
      </c:catAx>
      <c:valAx>
        <c:axId val="539927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166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308677254492499"/>
          <c:y val="0.929357501213789"/>
          <c:w val="0.41682694949717"/>
          <c:h val="0.04855154555753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50" strike="noStrike" u="none">
                <a:solidFill>
                  <a:srgbClr val="000000"/>
                </a:solidFill>
                <a:uFillTx/>
                <a:latin typeface="Arial"/>
              </a:rPr>
              <a:t>EA Volume Trend (in millions)</a:t>
            </a:r>
          </a:p>
        </c:rich>
      </c:tx>
      <c:layout>
        <c:manualLayout>
          <c:xMode val="edge"/>
          <c:yMode val="edge"/>
          <c:x val="0.358492740262733"/>
          <c:y val="0.0274537253072017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6347084581701"/>
          <c:y val="0.116736662000311"/>
          <c:w val="0.98536529154183"/>
          <c:h val="0.8603981956758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Data!$E$28</c:f>
              <c:strCache>
                <c:ptCount val="1"/>
                <c:pt idx="0">
                  <c:v>MMBTU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7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Data!$J$27:$N$27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Data!$J$28:$N$28</c:f>
              <c:numCache>
                <c:formatCode>#,##0</c:formatCode>
                <c:ptCount val="5"/>
                <c:pt idx="0">
                  <c:v>4273.27122</c:v>
                </c:pt>
                <c:pt idx="1">
                  <c:v>3586.17836464</c:v>
                </c:pt>
                <c:pt idx="2">
                  <c:v>4250.73800221</c:v>
                </c:pt>
                <c:pt idx="3">
                  <c:v>2865.687651</c:v>
                </c:pt>
                <c:pt idx="4">
                  <c:v>3382.07865119</c:v>
                </c:pt>
              </c:numCache>
            </c:numRef>
          </c:val>
        </c:ser>
        <c:ser>
          <c:idx val="1"/>
          <c:order val="1"/>
          <c:tx>
            <c:strRef>
              <c:f>Data!$E$29</c:f>
              <c:strCache>
                <c:ptCount val="1"/>
                <c:pt idx="0">
                  <c:v>MHtz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7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Data!$J$27:$N$27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Data!$J$29:$N$29</c:f>
              <c:numCache>
                <c:formatCode>#,##0</c:formatCode>
                <c:ptCount val="5"/>
                <c:pt idx="0">
                  <c:v>53.945233</c:v>
                </c:pt>
                <c:pt idx="1">
                  <c:v>51.39996514</c:v>
                </c:pt>
                <c:pt idx="2">
                  <c:v>49.09131919</c:v>
                </c:pt>
                <c:pt idx="3">
                  <c:v>37.99049</c:v>
                </c:pt>
                <c:pt idx="4">
                  <c:v>43.64763638</c:v>
                </c:pt>
              </c:numCache>
            </c:numRef>
          </c:val>
        </c:ser>
        <c:gapWidth val="150"/>
        <c:shape val="box"/>
        <c:axId val="39113002"/>
        <c:axId val="16540351"/>
        <c:axId val="0"/>
      </c:bar3DChart>
      <c:catAx>
        <c:axId val="391130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40351"/>
        <c:crossesAt val="0"/>
        <c:auto val="1"/>
        <c:lblAlgn val="ctr"/>
        <c:lblOffset val="100"/>
        <c:noMultiLvlLbl val="0"/>
      </c:catAx>
      <c:valAx>
        <c:axId val="165403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13002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447799032035031"/>
          <c:y val="0.953180899051174"/>
          <c:w val="0.441057847430284"/>
          <c:h val="0.04666355576294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EGM Volume Trend (in thousands)</a:t>
            </a:r>
          </a:p>
        </c:rich>
      </c:tx>
      <c:layout>
        <c:manualLayout>
          <c:xMode val="edge"/>
          <c:yMode val="edge"/>
          <c:x val="0.289915718748158"/>
          <c:y val="0.04839463840399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7344845877291"/>
          <c:y val="0.114869077306733"/>
          <c:w val="0.984794011905464"/>
          <c:h val="0.86299875311720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Data!$E$37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7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Data!$J$36:$N$36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Data!$J$37:$N$37</c:f>
              <c:numCache>
                <c:formatCode>#,##0</c:formatCode>
                <c:ptCount val="5"/>
                <c:pt idx="0">
                  <c:v>171949.351</c:v>
                </c:pt>
                <c:pt idx="1">
                  <c:v>154397.51923</c:v>
                </c:pt>
                <c:pt idx="2">
                  <c:v>174794.27447</c:v>
                </c:pt>
                <c:pt idx="3">
                  <c:v>147649.834</c:v>
                </c:pt>
                <c:pt idx="4">
                  <c:v>147313.01308</c:v>
                </c:pt>
              </c:numCache>
            </c:numRef>
          </c:val>
        </c:ser>
        <c:ser>
          <c:idx val="1"/>
          <c:order val="1"/>
          <c:tx>
            <c:strRef>
              <c:f>Data!$E$38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7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Data!$J$36:$N$36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Data!$J$38:$N$38</c:f>
              <c:numCache>
                <c:formatCode>#,##0</c:formatCode>
                <c:ptCount val="5"/>
                <c:pt idx="0">
                  <c:v>6572.327</c:v>
                </c:pt>
                <c:pt idx="1">
                  <c:v>5662.489</c:v>
                </c:pt>
                <c:pt idx="2">
                  <c:v>4037.94996</c:v>
                </c:pt>
                <c:pt idx="3">
                  <c:v>2425.5</c:v>
                </c:pt>
                <c:pt idx="4">
                  <c:v>818.5</c:v>
                </c:pt>
              </c:numCache>
            </c:numRef>
          </c:val>
        </c:ser>
        <c:ser>
          <c:idx val="2"/>
          <c:order val="2"/>
          <c:tx>
            <c:strRef>
              <c:f>Data!$E$39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7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7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Data!$J$36:$N$36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Data!$J$39:$N$39</c:f>
              <c:numCache>
                <c:formatCode>#,##0</c:formatCode>
                <c:ptCount val="5"/>
                <c:pt idx="0">
                  <c:v>46.35</c:v>
                </c:pt>
                <c:pt idx="1">
                  <c:v>100.1</c:v>
                </c:pt>
                <c:pt idx="2">
                  <c:v>40</c:v>
                </c:pt>
                <c:pt idx="3">
                  <c:v>37.5</c:v>
                </c:pt>
                <c:pt idx="4">
                  <c:v>7.5</c:v>
                </c:pt>
              </c:numCache>
            </c:numRef>
          </c:val>
        </c:ser>
        <c:gapWidth val="150"/>
        <c:shape val="box"/>
        <c:axId val="48147263"/>
        <c:axId val="8633669"/>
        <c:axId val="0"/>
      </c:bar3DChart>
      <c:catAx>
        <c:axId val="4814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3669"/>
        <c:crossesAt val="0"/>
        <c:auto val="1"/>
        <c:lblAlgn val="ctr"/>
        <c:lblOffset val="100"/>
        <c:noMultiLvlLbl val="0"/>
      </c:catAx>
      <c:valAx>
        <c:axId val="86336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47263"/>
        <c:crossesAt val="1"/>
        <c:crossBetween val="midCat"/>
        <c:majorUnit val="30000"/>
        <c:minorUnit val="357.142857142857"/>
      </c:valAx>
    </c:plotArea>
    <c:legend>
      <c:legendPos val="r"/>
      <c:layout>
        <c:manualLayout>
          <c:xMode val="edge"/>
          <c:yMode val="edge"/>
          <c:x val="0.461896622856133"/>
          <c:y val="0.956982543640898"/>
          <c:w val="0.419991748688631"/>
          <c:h val="0.04675810473815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50" strike="noStrike" u="none">
                <a:solidFill>
                  <a:srgbClr val="000000"/>
                </a:solidFill>
                <a:uFillTx/>
                <a:latin typeface="Arial"/>
              </a:rPr>
              <a:t>EIM Volume Trend</a:t>
            </a:r>
          </a:p>
        </c:rich>
      </c:tx>
      <c:layout>
        <c:manualLayout>
          <c:xMode val="edge"/>
          <c:yMode val="edge"/>
          <c:x val="0.392318244170096"/>
          <c:y val="0.051065823377840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37174211248285"/>
          <c:y val="0.116108378230655"/>
          <c:w val="0.98556927297668"/>
          <c:h val="0.8668696806433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Data!$E$31</c:f>
              <c:strCache>
                <c:ptCount val="1"/>
                <c:pt idx="0">
                  <c:v>Total EIM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Data!$J$30:$N$30</c:f>
              <c:strCache>
                <c:ptCount val="5"/>
                <c:pt idx="0">
                  <c:v>1/26 - 2/1</c:v>
                </c:pt>
                <c:pt idx="1">
                  <c:v>2/2 - 2/8</c:v>
                </c:pt>
                <c:pt idx="2">
                  <c:v>2/9 - 2/15</c:v>
                </c:pt>
                <c:pt idx="3">
                  <c:v>2/16 - 2/22</c:v>
                </c:pt>
                <c:pt idx="4">
                  <c:v>2/23 - 2/28</c:v>
                </c:pt>
              </c:strCache>
            </c:strRef>
          </c:cat>
          <c:val>
            <c:numRef>
              <c:f>Data!$J$31:$N$31</c:f>
              <c:numCache>
                <c:formatCode>General</c:formatCode>
                <c:ptCount val="5"/>
                <c:pt idx="0">
                  <c:v>25872</c:v>
                </c:pt>
                <c:pt idx="1">
                  <c:v>106865.9</c:v>
                </c:pt>
                <c:pt idx="2">
                  <c:v>11962.5</c:v>
                </c:pt>
                <c:pt idx="3">
                  <c:v>56612</c:v>
                </c:pt>
                <c:pt idx="4">
                  <c:v>163303.196</c:v>
                </c:pt>
              </c:numCache>
            </c:numRef>
          </c:val>
        </c:ser>
        <c:gapWidth val="150"/>
        <c:shape val="box"/>
        <c:axId val="52549920"/>
        <c:axId val="88174860"/>
        <c:axId val="0"/>
      </c:bar3DChart>
      <c:catAx>
        <c:axId val="525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74860"/>
        <c:crossesAt val="0"/>
        <c:auto val="1"/>
        <c:lblAlgn val="ctr"/>
        <c:lblOffset val="100"/>
        <c:noMultiLvlLbl val="0"/>
      </c:catAx>
      <c:valAx>
        <c:axId val="881748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4992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510946502057613"/>
          <c:y val="0.950964316389475"/>
          <c:w val="0.135473251028807"/>
          <c:h val="0.04958225970172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19717935"/>
        <c:axId val="86679004"/>
        <c:axId val="0"/>
      </c:bar3DChart>
      <c:catAx>
        <c:axId val="197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79004"/>
        <c:crossesAt val="0"/>
        <c:auto val="1"/>
        <c:lblAlgn val="ctr"/>
        <c:lblOffset val="100"/>
        <c:noMultiLvlLbl val="0"/>
      </c:catAx>
      <c:valAx>
        <c:axId val="86679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17935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30</xdr:row>
      <xdr:rowOff>18720</xdr:rowOff>
    </xdr:from>
    <xdr:to>
      <xdr:col>15</xdr:col>
      <xdr:colOff>10080</xdr:colOff>
      <xdr:row>57</xdr:row>
      <xdr:rowOff>86040</xdr:rowOff>
    </xdr:to>
    <xdr:graphicFrame>
      <xdr:nvGraphicFramePr>
        <xdr:cNvPr id="0" name="Chart 1"/>
        <xdr:cNvGraphicFramePr/>
      </xdr:nvGraphicFramePr>
      <xdr:xfrm>
        <a:off x="6418080" y="5914800"/>
        <a:ext cx="6097680" cy="443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28440</xdr:rowOff>
    </xdr:from>
    <xdr:to>
      <xdr:col>6</xdr:col>
      <xdr:colOff>885240</xdr:colOff>
      <xdr:row>57</xdr:row>
      <xdr:rowOff>75960</xdr:rowOff>
    </xdr:to>
    <xdr:graphicFrame>
      <xdr:nvGraphicFramePr>
        <xdr:cNvPr id="1" name="Chart 2"/>
        <xdr:cNvGraphicFramePr/>
      </xdr:nvGraphicFramePr>
      <xdr:xfrm>
        <a:off x="0" y="5924520"/>
        <a:ext cx="6267600" cy="44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30</xdr:row>
      <xdr:rowOff>9360</xdr:rowOff>
    </xdr:from>
    <xdr:to>
      <xdr:col>23</xdr:col>
      <xdr:colOff>10440</xdr:colOff>
      <xdr:row>57</xdr:row>
      <xdr:rowOff>86040</xdr:rowOff>
    </xdr:to>
    <xdr:graphicFrame>
      <xdr:nvGraphicFramePr>
        <xdr:cNvPr id="2" name="Chart 3"/>
        <xdr:cNvGraphicFramePr/>
      </xdr:nvGraphicFramePr>
      <xdr:xfrm>
        <a:off x="12666240" y="5905440"/>
        <a:ext cx="655056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58</xdr:row>
      <xdr:rowOff>86040</xdr:rowOff>
    </xdr:from>
    <xdr:to>
      <xdr:col>6</xdr:col>
      <xdr:colOff>875520</xdr:colOff>
      <xdr:row>87</xdr:row>
      <xdr:rowOff>28440</xdr:rowOff>
    </xdr:to>
    <xdr:graphicFrame>
      <xdr:nvGraphicFramePr>
        <xdr:cNvPr id="3" name="Chart 5"/>
        <xdr:cNvGraphicFramePr/>
      </xdr:nvGraphicFramePr>
      <xdr:xfrm>
        <a:off x="10080" y="10515960"/>
        <a:ext cx="6247800" cy="462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0</xdr:colOff>
      <xdr:row>58</xdr:row>
      <xdr:rowOff>86040</xdr:rowOff>
    </xdr:from>
    <xdr:to>
      <xdr:col>15</xdr:col>
      <xdr:colOff>20160</xdr:colOff>
      <xdr:row>87</xdr:row>
      <xdr:rowOff>19080</xdr:rowOff>
    </xdr:to>
    <xdr:graphicFrame>
      <xdr:nvGraphicFramePr>
        <xdr:cNvPr id="4" name="Chart 6"/>
        <xdr:cNvGraphicFramePr/>
      </xdr:nvGraphicFramePr>
      <xdr:xfrm>
        <a:off x="6418080" y="10515960"/>
        <a:ext cx="6107760" cy="46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0</xdr:colOff>
      <xdr:row>58</xdr:row>
      <xdr:rowOff>75960</xdr:rowOff>
    </xdr:from>
    <xdr:to>
      <xdr:col>23</xdr:col>
      <xdr:colOff>20520</xdr:colOff>
      <xdr:row>86</xdr:row>
      <xdr:rowOff>152280</xdr:rowOff>
    </xdr:to>
    <xdr:graphicFrame>
      <xdr:nvGraphicFramePr>
        <xdr:cNvPr id="5" name="Chart 7"/>
        <xdr:cNvGraphicFramePr/>
      </xdr:nvGraphicFramePr>
      <xdr:xfrm>
        <a:off x="12666240" y="10505880"/>
        <a:ext cx="6560640" cy="461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713880</xdr:colOff>
      <xdr:row>0</xdr:row>
      <xdr:rowOff>105120</xdr:rowOff>
    </xdr:from>
    <xdr:to>
      <xdr:col>22</xdr:col>
      <xdr:colOff>785160</xdr:colOff>
      <xdr:row>5</xdr:row>
      <xdr:rowOff>123840</xdr:rowOff>
    </xdr:to>
    <xdr:pic>
      <xdr:nvPicPr>
        <xdr:cNvPr id="6" name="Picture 9" descr=""/>
        <xdr:cNvPicPr/>
      </xdr:nvPicPr>
      <xdr:blipFill>
        <a:blip r:embed="rId7"/>
        <a:stretch/>
      </xdr:blipFill>
      <xdr:spPr>
        <a:xfrm>
          <a:off x="18139680" y="105120"/>
          <a:ext cx="1037160" cy="82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7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8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EOL%20REPORTING%20DATABASE/ARCHIVE/EOL%20WEEKLY%20SUMMARY%2002-26-01%20ACCESS%2523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2-15-01/Shari%20Mao%20Template%2002-15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2-8-01/EOL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y DAY"/>
      <sheetName val="PRODUCTS OFFERED"/>
      <sheetName val="WEBSITE TRAFFIC"/>
      <sheetName val="DATA"/>
      <sheetName val="EOLvsNON SUMMARY"/>
      <sheetName val="ALLOCATION"/>
      <sheetName val="TRANSACTION SUMMARY (HILO) "/>
      <sheetName val="AVERAGED SUMMARY"/>
      <sheetName val="ENTITY SUMMARY"/>
      <sheetName val="European Report"/>
      <sheetName val="LTD"/>
      <sheetName val="YTD"/>
      <sheetName val="MTD"/>
      <sheetName val="WTD"/>
      <sheetName val="BRAINWAV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15-01"/>
      <sheetName val="Thursday 02-08-01"/>
    </sheetNames>
    <sheetDataSet>
      <sheetData sheetId="0"/>
      <sheetData sheetId="1">
        <row r="9">
          <cell r="S9">
            <v>83402</v>
          </cell>
          <cell r="T9">
            <v>17969</v>
          </cell>
        </row>
        <row r="10">
          <cell r="S10">
            <v>6424</v>
          </cell>
          <cell r="T10">
            <v>2734</v>
          </cell>
        </row>
        <row r="17">
          <cell r="S17">
            <v>9532</v>
          </cell>
          <cell r="T17">
            <v>8764</v>
          </cell>
        </row>
        <row r="18">
          <cell r="S18">
            <v>2569</v>
          </cell>
          <cell r="T18">
            <v>6736</v>
          </cell>
        </row>
        <row r="30">
          <cell r="S30">
            <v>9302</v>
          </cell>
          <cell r="T30">
            <v>9643</v>
          </cell>
        </row>
        <row r="31">
          <cell r="S31">
            <v>592</v>
          </cell>
          <cell r="T31">
            <v>569</v>
          </cell>
        </row>
        <row r="33">
          <cell r="S33">
            <v>45</v>
          </cell>
          <cell r="T33">
            <v>251</v>
          </cell>
        </row>
        <row r="34">
          <cell r="S34">
            <v>119</v>
          </cell>
          <cell r="T34">
            <v>169</v>
          </cell>
        </row>
        <row r="35">
          <cell r="S35">
            <v>50</v>
          </cell>
          <cell r="T35">
            <v>150</v>
          </cell>
        </row>
        <row r="37">
          <cell r="S37">
            <v>50</v>
          </cell>
          <cell r="T37">
            <v>48</v>
          </cell>
        </row>
        <row r="38">
          <cell r="S38">
            <v>0</v>
          </cell>
          <cell r="T38">
            <v>307</v>
          </cell>
        </row>
        <row r="39">
          <cell r="S39">
            <v>87</v>
          </cell>
          <cell r="T39">
            <v>108</v>
          </cell>
        </row>
        <row r="44">
          <cell r="S44">
            <v>0</v>
          </cell>
          <cell r="T44">
            <v>12</v>
          </cell>
        </row>
        <row r="48">
          <cell r="S48">
            <v>0</v>
          </cell>
          <cell r="T48">
            <v>913</v>
          </cell>
        </row>
        <row r="67">
          <cell r="S67">
            <v>10201591262.13</v>
          </cell>
          <cell r="T67">
            <v>11742300329.38</v>
          </cell>
        </row>
        <row r="68">
          <cell r="S68">
            <v>316839394.34</v>
          </cell>
          <cell r="T68">
            <v>745667324.91</v>
          </cell>
        </row>
        <row r="75">
          <cell r="S75">
            <v>104211335</v>
          </cell>
          <cell r="T75">
            <v>115985235.54</v>
          </cell>
        </row>
        <row r="76">
          <cell r="S76">
            <v>10366850</v>
          </cell>
          <cell r="T76">
            <v>91276496.68</v>
          </cell>
        </row>
        <row r="88">
          <cell r="S88">
            <v>236106500.01</v>
          </cell>
          <cell r="T88">
            <v>745504869.8</v>
          </cell>
        </row>
        <row r="89">
          <cell r="S89">
            <v>10023357.14</v>
          </cell>
          <cell r="T89">
            <v>17702903.51</v>
          </cell>
        </row>
        <row r="91">
          <cell r="S91">
            <v>919595</v>
          </cell>
          <cell r="T91">
            <v>9306959.13</v>
          </cell>
        </row>
        <row r="92">
          <cell r="S92">
            <v>3542250</v>
          </cell>
          <cell r="T92">
            <v>17309786.05</v>
          </cell>
        </row>
        <row r="93">
          <cell r="S93">
            <v>2130000</v>
          </cell>
          <cell r="T93">
            <v>8315506.02</v>
          </cell>
        </row>
        <row r="95">
          <cell r="S95">
            <v>115000</v>
          </cell>
          <cell r="T95">
            <v>223120</v>
          </cell>
        </row>
        <row r="96">
          <cell r="S96">
            <v>0</v>
          </cell>
        </row>
        <row r="97">
          <cell r="S97">
            <v>29800</v>
          </cell>
          <cell r="T97">
            <v>603600</v>
          </cell>
        </row>
        <row r="102">
          <cell r="S102">
            <v>0</v>
          </cell>
          <cell r="T102">
            <v>261270.5</v>
          </cell>
        </row>
        <row r="105">
          <cell r="S105">
            <v>0</v>
          </cell>
        </row>
        <row r="106">
          <cell r="T106">
            <v>42371500</v>
          </cell>
        </row>
      </sheetData>
      <sheetData sheetId="2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T43">
            <v>11</v>
          </cell>
        </row>
        <row r="44">
          <cell r="S44">
            <v>0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4" min="3" style="0" width="12.56"/>
    <col collapsed="false" customWidth="true" hidden="false" outlineLevel="0" max="6" min="5" style="0" width="12.7"/>
    <col collapsed="false" customWidth="true" hidden="false" outlineLevel="0" max="7" min="7" style="0" width="12.56"/>
    <col collapsed="false" customWidth="true" hidden="false" outlineLevel="0" max="8" min="8" style="0" width="2.13"/>
    <col collapsed="false" customWidth="true" hidden="false" outlineLevel="0" max="9" min="9" style="0" width="14.56"/>
    <col collapsed="false" customWidth="true" hidden="false" outlineLevel="0" max="10" min="10" style="0" width="12.28"/>
    <col collapsed="false" customWidth="true" hidden="false" outlineLevel="0" max="11" min="11" style="0" width="10.99"/>
    <col collapsed="false" customWidth="true" hidden="false" outlineLevel="0" max="13" min="12" style="0" width="12.28"/>
    <col collapsed="false" customWidth="true" hidden="false" outlineLevel="0" max="14" min="14" style="0" width="13.7"/>
    <col collapsed="false" customWidth="true" hidden="false" outlineLevel="0" max="15" min="15" style="0" width="10.28"/>
    <col collapsed="false" customWidth="true" hidden="false" outlineLevel="0" max="16" min="16" style="0" width="2.28"/>
    <col collapsed="false" customWidth="true" hidden="false" outlineLevel="0" max="17" min="17" style="0" width="20.13"/>
    <col collapsed="false" customWidth="true" hidden="false" outlineLevel="0" max="18" min="18" style="0" width="11.99"/>
    <col collapsed="false" customWidth="true" hidden="false" outlineLevel="0" max="19" min="19" style="0" width="12.28"/>
    <col collapsed="false" customWidth="true" hidden="false" outlineLevel="0" max="21" min="20" style="0" width="11.56"/>
    <col collapsed="false" customWidth="true" hidden="false" outlineLevel="0" max="22" min="22" style="0" width="13.7"/>
    <col collapsed="false" customWidth="true" hidden="false" outlineLevel="0" max="23" min="23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 t="s">
        <v>1</v>
      </c>
      <c r="J8" s="8"/>
      <c r="K8" s="8"/>
      <c r="L8" s="8"/>
      <c r="M8" s="8"/>
      <c r="N8" s="8"/>
      <c r="O8" s="9"/>
      <c r="P8" s="10"/>
      <c r="Q8" s="8" t="s">
        <v>2</v>
      </c>
      <c r="R8" s="8"/>
      <c r="S8" s="8"/>
      <c r="T8" s="8"/>
      <c r="U8" s="8"/>
      <c r="V8" s="8"/>
      <c r="W8" s="9"/>
    </row>
    <row r="9" customFormat="false" ht="15.75" hidden="false" customHeight="fals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8.75" hidden="false" customHeight="false" outlineLevel="0" collapsed="false">
      <c r="A10" s="12" t="s">
        <v>3</v>
      </c>
      <c r="B10" s="13"/>
      <c r="C10" s="13"/>
      <c r="D10" s="13"/>
      <c r="E10" s="14"/>
      <c r="F10" s="14"/>
      <c r="G10" s="15"/>
      <c r="H10" s="16"/>
      <c r="I10" s="17"/>
      <c r="J10" s="18" t="s">
        <v>4</v>
      </c>
      <c r="K10" s="18" t="s">
        <v>5</v>
      </c>
      <c r="L10" s="18" t="s">
        <v>6</v>
      </c>
      <c r="M10" s="18" t="s">
        <v>7</v>
      </c>
      <c r="N10" s="18" t="s">
        <v>8</v>
      </c>
      <c r="O10" s="19" t="s">
        <v>9</v>
      </c>
      <c r="P10" s="20"/>
      <c r="Q10" s="17"/>
      <c r="R10" s="18" t="s">
        <v>4</v>
      </c>
      <c r="S10" s="18" t="s">
        <v>5</v>
      </c>
      <c r="T10" s="18" t="s">
        <v>6</v>
      </c>
      <c r="U10" s="18" t="s">
        <v>7</v>
      </c>
      <c r="V10" s="18" t="s">
        <v>8</v>
      </c>
      <c r="W10" s="19" t="s">
        <v>9</v>
      </c>
    </row>
    <row r="11" customFormat="false" ht="16.5" hidden="false" customHeight="false" outlineLevel="0" collapsed="false">
      <c r="A11" s="21"/>
      <c r="B11" s="22"/>
      <c r="C11" s="22"/>
      <c r="D11" s="22"/>
      <c r="E11" s="5"/>
      <c r="F11" s="5"/>
      <c r="G11" s="6"/>
      <c r="H11" s="10"/>
      <c r="I11" s="23" t="s">
        <v>10</v>
      </c>
      <c r="J11" s="5"/>
      <c r="K11" s="5"/>
      <c r="L11" s="5"/>
      <c r="O11" s="6"/>
      <c r="P11" s="10"/>
      <c r="Q11" s="24" t="s">
        <v>11</v>
      </c>
      <c r="R11" s="5"/>
      <c r="S11" s="5"/>
      <c r="T11" s="5"/>
      <c r="W11" s="6"/>
    </row>
    <row r="12" customFormat="false" ht="16.5" hidden="false" customHeight="false" outlineLevel="0" collapsed="false">
      <c r="A12" s="25" t="s">
        <v>12</v>
      </c>
      <c r="B12" s="26"/>
      <c r="C12" s="26"/>
      <c r="D12" s="26"/>
      <c r="E12" s="27"/>
      <c r="F12" s="27"/>
      <c r="G12" s="28"/>
      <c r="H12" s="27"/>
      <c r="I12" s="29" t="s">
        <v>13</v>
      </c>
      <c r="J12" s="26" t="n">
        <f aca="false">Data!J12</f>
        <v>19791</v>
      </c>
      <c r="K12" s="26" t="n">
        <f aca="false">Data!K12</f>
        <v>18521</v>
      </c>
      <c r="L12" s="26" t="n">
        <f aca="false">Data!L12</f>
        <v>17223</v>
      </c>
      <c r="M12" s="26" t="n">
        <f aca="false">Data!M12</f>
        <v>12660</v>
      </c>
      <c r="N12" s="26" t="n">
        <f aca="false">Data!N12</f>
        <v>15072</v>
      </c>
      <c r="O12" s="30" t="n">
        <f aca="false">SUM(J12:M12)</f>
        <v>68195</v>
      </c>
      <c r="P12" s="27"/>
      <c r="Q12" s="29" t="s">
        <v>13</v>
      </c>
      <c r="R12" s="31" t="n">
        <f aca="false">Data!J28</f>
        <v>4273.27122</v>
      </c>
      <c r="S12" s="31" t="n">
        <f aca="false">Data!K28</f>
        <v>3586.17836464</v>
      </c>
      <c r="T12" s="31" t="n">
        <f aca="false">Data!L28</f>
        <v>4250.73800221</v>
      </c>
      <c r="U12" s="31" t="n">
        <f aca="false">Data!M28</f>
        <v>2865.687651</v>
      </c>
      <c r="V12" s="31" t="n">
        <f aca="false">Data!N28</f>
        <v>3382.07865119</v>
      </c>
      <c r="W12" s="30" t="n">
        <f aca="false">SUM(R12:U12)</f>
        <v>14975.87523785</v>
      </c>
    </row>
    <row r="13" customFormat="false" ht="16.5" hidden="false" customHeight="false" outlineLevel="0" collapsed="false">
      <c r="A13" s="25"/>
      <c r="B13" s="26"/>
      <c r="C13" s="26"/>
      <c r="D13" s="26"/>
      <c r="E13" s="27"/>
      <c r="F13" s="27"/>
      <c r="G13" s="28"/>
      <c r="H13" s="27"/>
      <c r="I13" s="29" t="s">
        <v>14</v>
      </c>
      <c r="J13" s="26" t="n">
        <f aca="false">Data!J13</f>
        <v>4599</v>
      </c>
      <c r="K13" s="26" t="n">
        <f aca="false">Data!K13</f>
        <v>4631</v>
      </c>
      <c r="L13" s="26" t="n">
        <f aca="false">Data!L13</f>
        <v>4587</v>
      </c>
      <c r="M13" s="26" t="n">
        <f aca="false">Data!M13</f>
        <v>3656</v>
      </c>
      <c r="N13" s="26" t="n">
        <f aca="false">Data!N13</f>
        <v>3771</v>
      </c>
      <c r="O13" s="30" t="n">
        <f aca="false">SUM(J13:M13)</f>
        <v>17473</v>
      </c>
      <c r="P13" s="27"/>
      <c r="Q13" s="29" t="s">
        <v>14</v>
      </c>
      <c r="R13" s="31" t="n">
        <f aca="false">Data!J29</f>
        <v>53.945233</v>
      </c>
      <c r="S13" s="31" t="n">
        <f aca="false">Data!K29</f>
        <v>51.39996514</v>
      </c>
      <c r="T13" s="31" t="n">
        <f aca="false">Data!L29</f>
        <v>49.09131919</v>
      </c>
      <c r="U13" s="31" t="n">
        <f aca="false">Data!M29</f>
        <v>37.99049</v>
      </c>
      <c r="V13" s="31" t="n">
        <f aca="false">Data!N29</f>
        <v>43.64763638</v>
      </c>
      <c r="W13" s="30" t="n">
        <f aca="false">SUM(R13:U13)</f>
        <v>192.42700733</v>
      </c>
    </row>
    <row r="14" customFormat="false" ht="16.5" hidden="false" customHeight="false" outlineLevel="0" collapsed="false">
      <c r="A14" s="12"/>
      <c r="B14" s="26"/>
      <c r="C14" s="13"/>
      <c r="D14" s="26"/>
      <c r="E14" s="27"/>
      <c r="F14" s="27"/>
      <c r="G14" s="28"/>
      <c r="H14" s="32"/>
      <c r="I14" s="33"/>
      <c r="J14" s="26"/>
      <c r="K14" s="26"/>
      <c r="L14" s="26"/>
      <c r="M14" s="34"/>
      <c r="N14" s="34"/>
      <c r="O14" s="35"/>
      <c r="P14" s="27"/>
      <c r="Q14" s="24" t="s">
        <v>15</v>
      </c>
      <c r="R14" s="26"/>
      <c r="S14" s="26"/>
      <c r="T14" s="26"/>
      <c r="U14" s="34"/>
      <c r="V14" s="34"/>
      <c r="W14" s="30"/>
    </row>
    <row r="15" customFormat="false" ht="16.5" hidden="false" customHeight="false" outlineLevel="0" collapsed="false">
      <c r="A15" s="36"/>
      <c r="B15" s="26"/>
      <c r="C15" s="22"/>
      <c r="D15" s="26"/>
      <c r="E15" s="27"/>
      <c r="F15" s="27"/>
      <c r="G15" s="28"/>
      <c r="H15" s="27"/>
      <c r="I15" s="37" t="s">
        <v>16</v>
      </c>
      <c r="J15" s="26"/>
      <c r="K15" s="26"/>
      <c r="L15" s="26"/>
      <c r="M15" s="34"/>
      <c r="N15" s="34"/>
      <c r="O15" s="30"/>
      <c r="P15" s="27"/>
      <c r="Q15" s="29" t="s">
        <v>17</v>
      </c>
      <c r="R15" s="31" t="n">
        <f aca="false">+Data!J37</f>
        <v>171949.351</v>
      </c>
      <c r="S15" s="31" t="n">
        <f aca="false">+Data!K37</f>
        <v>154397.51923</v>
      </c>
      <c r="T15" s="31" t="n">
        <f aca="false">+Data!L37</f>
        <v>174794.27447</v>
      </c>
      <c r="U15" s="31" t="n">
        <f aca="false">+Data!M37</f>
        <v>147649.834</v>
      </c>
      <c r="V15" s="31" t="n">
        <f aca="false">+Data!N37</f>
        <v>147313.01308</v>
      </c>
      <c r="W15" s="30" t="n">
        <f aca="false">SUM(R15:U15)</f>
        <v>648790.9787</v>
      </c>
    </row>
    <row r="16" customFormat="false" ht="16.5" hidden="false" customHeight="false" outlineLevel="0" collapsed="false">
      <c r="A16" s="36"/>
      <c r="B16" s="26"/>
      <c r="C16" s="26"/>
      <c r="D16" s="26"/>
      <c r="E16" s="27"/>
      <c r="F16" s="27"/>
      <c r="G16" s="28"/>
      <c r="H16" s="27"/>
      <c r="I16" s="29" t="s">
        <v>18</v>
      </c>
      <c r="J16" s="26" t="n">
        <f aca="false">Data!J15</f>
        <v>145</v>
      </c>
      <c r="K16" s="26" t="n">
        <f aca="false">Data!K15</f>
        <v>153</v>
      </c>
      <c r="L16" s="26" t="n">
        <f aca="false">Data!L15</f>
        <v>122</v>
      </c>
      <c r="M16" s="26" t="n">
        <f aca="false">Data!M15</f>
        <v>142</v>
      </c>
      <c r="N16" s="26" t="n">
        <f aca="false">Data!N15</f>
        <v>102</v>
      </c>
      <c r="O16" s="30" t="n">
        <f aca="false">SUM(J16:M16)</f>
        <v>562</v>
      </c>
      <c r="P16" s="27"/>
      <c r="Q16" s="29" t="s">
        <v>19</v>
      </c>
      <c r="R16" s="31" t="n">
        <f aca="false">+Data!J38</f>
        <v>6572.327</v>
      </c>
      <c r="S16" s="31" t="n">
        <f aca="false">+Data!K38</f>
        <v>5662.489</v>
      </c>
      <c r="T16" s="31" t="n">
        <f aca="false">+Data!L38</f>
        <v>4037.94996</v>
      </c>
      <c r="U16" s="31" t="n">
        <f aca="false">+Data!M38</f>
        <v>2425.5</v>
      </c>
      <c r="V16" s="31" t="n">
        <f aca="false">+Data!N38</f>
        <v>818.5</v>
      </c>
      <c r="W16" s="30" t="n">
        <f aca="false">SUM(R16:U16)</f>
        <v>18698.26596</v>
      </c>
    </row>
    <row r="17" customFormat="false" ht="16.5" hidden="false" customHeight="false" outlineLevel="0" collapsed="false">
      <c r="A17" s="36"/>
      <c r="B17" s="26"/>
      <c r="C17" s="26"/>
      <c r="D17" s="26"/>
      <c r="E17" s="27"/>
      <c r="F17" s="27"/>
      <c r="G17" s="28"/>
      <c r="H17" s="27"/>
      <c r="I17" s="29" t="s">
        <v>17</v>
      </c>
      <c r="J17" s="26" t="n">
        <f aca="false">Data!J16</f>
        <v>3322</v>
      </c>
      <c r="K17" s="26" t="n">
        <f aca="false">Data!K16</f>
        <v>3375</v>
      </c>
      <c r="L17" s="26" t="n">
        <f aca="false">Data!L16</f>
        <v>3353</v>
      </c>
      <c r="M17" s="26" t="n">
        <f aca="false">Data!M16</f>
        <v>3135</v>
      </c>
      <c r="N17" s="26" t="n">
        <f aca="false">Data!N16</f>
        <v>2593</v>
      </c>
      <c r="O17" s="30" t="n">
        <f aca="false">SUM(J17:M17)</f>
        <v>13185</v>
      </c>
      <c r="P17" s="27"/>
      <c r="Q17" s="29" t="s">
        <v>20</v>
      </c>
      <c r="R17" s="31" t="n">
        <f aca="false">+Data!J39</f>
        <v>46.35</v>
      </c>
      <c r="S17" s="31" t="n">
        <f aca="false">+Data!K39</f>
        <v>100.1</v>
      </c>
      <c r="T17" s="31" t="n">
        <f aca="false">+Data!L39</f>
        <v>40</v>
      </c>
      <c r="U17" s="31" t="n">
        <f aca="false">+Data!M39</f>
        <v>37.5</v>
      </c>
      <c r="V17" s="31" t="n">
        <f aca="false">+Data!N39</f>
        <v>7.5</v>
      </c>
      <c r="W17" s="30" t="n">
        <f aca="false">SUM(R17:U17)</f>
        <v>223.95</v>
      </c>
    </row>
    <row r="18" customFormat="false" ht="16.5" hidden="false" customHeight="false" outlineLevel="0" collapsed="false">
      <c r="A18" s="12"/>
      <c r="B18" s="13"/>
      <c r="C18" s="26"/>
      <c r="D18" s="26"/>
      <c r="E18" s="27"/>
      <c r="F18" s="27"/>
      <c r="G18" s="28"/>
      <c r="H18" s="27"/>
      <c r="I18" s="29" t="s">
        <v>19</v>
      </c>
      <c r="J18" s="26" t="n">
        <f aca="false">Data!J17</f>
        <v>83</v>
      </c>
      <c r="K18" s="26" t="n">
        <f aca="false">Data!K17</f>
        <v>52</v>
      </c>
      <c r="L18" s="26" t="n">
        <f aca="false">Data!L17</f>
        <v>58</v>
      </c>
      <c r="M18" s="26" t="n">
        <f aca="false">Data!M17</f>
        <v>28</v>
      </c>
      <c r="N18" s="26" t="n">
        <f aca="false">Data!N17</f>
        <v>12</v>
      </c>
      <c r="O18" s="30" t="n">
        <f aca="false">SUM(J18:M18)</f>
        <v>221</v>
      </c>
      <c r="P18" s="27"/>
      <c r="Q18" s="38" t="s">
        <v>21</v>
      </c>
      <c r="R18" s="26" t="n">
        <f aca="false">Data!J31</f>
        <v>25872</v>
      </c>
      <c r="S18" s="26" t="n">
        <f aca="false">Data!K31</f>
        <v>106865.9</v>
      </c>
      <c r="T18" s="26" t="n">
        <f aca="false">Data!L31</f>
        <v>11962.5</v>
      </c>
      <c r="U18" s="26" t="n">
        <f aca="false">Data!M31</f>
        <v>56612</v>
      </c>
      <c r="V18" s="26" t="n">
        <f aca="false">Data!N31</f>
        <v>163303.196</v>
      </c>
      <c r="W18" s="30" t="n">
        <f aca="false">SUM(R18:U18)</f>
        <v>201312.4</v>
      </c>
    </row>
    <row r="19" customFormat="false" ht="16.5" hidden="false" customHeight="false" outlineLevel="0" collapsed="false">
      <c r="A19" s="21"/>
      <c r="B19" s="22"/>
      <c r="C19" s="26"/>
      <c r="D19" s="26"/>
      <c r="E19" s="27"/>
      <c r="F19" s="27"/>
      <c r="G19" s="28"/>
      <c r="H19" s="27"/>
      <c r="I19" s="29" t="s">
        <v>22</v>
      </c>
      <c r="J19" s="26" t="n">
        <f aca="false">Data!J18</f>
        <v>19</v>
      </c>
      <c r="K19" s="26" t="n">
        <f aca="false">Data!K18</f>
        <v>24</v>
      </c>
      <c r="L19" s="26" t="n">
        <f aca="false">Data!L18</f>
        <v>39</v>
      </c>
      <c r="M19" s="26" t="n">
        <f aca="false">Data!M18</f>
        <v>24</v>
      </c>
      <c r="N19" s="26" t="n">
        <f aca="false">Data!N18</f>
        <v>18</v>
      </c>
      <c r="O19" s="30" t="n">
        <f aca="false">SUM(J19:M19)</f>
        <v>106</v>
      </c>
      <c r="P19" s="27"/>
      <c r="Q19" s="29" t="s">
        <v>23</v>
      </c>
      <c r="R19" s="31" t="n">
        <f aca="false">Data!I32</f>
        <v>0</v>
      </c>
      <c r="S19" s="31" t="n">
        <f aca="false">Data!J32</f>
        <v>0</v>
      </c>
      <c r="T19" s="31" t="n">
        <f aca="false">Data!K32</f>
        <v>0</v>
      </c>
      <c r="U19" s="31" t="n">
        <f aca="false">Data!L32</f>
        <v>0</v>
      </c>
      <c r="V19" s="31" t="n">
        <f aca="false">Data!M32</f>
        <v>0</v>
      </c>
      <c r="W19" s="30" t="n">
        <f aca="false">SUM(R19:T19)</f>
        <v>0</v>
      </c>
    </row>
    <row r="20" customFormat="false" ht="16.5" hidden="false" customHeight="false" outlineLevel="0" collapsed="false">
      <c r="A20" s="25"/>
      <c r="B20" s="26"/>
      <c r="C20" s="26"/>
      <c r="D20" s="26"/>
      <c r="E20" s="27"/>
      <c r="F20" s="27"/>
      <c r="G20" s="28"/>
      <c r="H20" s="27"/>
      <c r="I20" s="29" t="s">
        <v>20</v>
      </c>
      <c r="J20" s="26" t="n">
        <f aca="false">Data!J19</f>
        <v>14</v>
      </c>
      <c r="K20" s="26" t="n">
        <f aca="false">Data!K19</f>
        <v>33</v>
      </c>
      <c r="L20" s="26" t="n">
        <f aca="false">Data!L19</f>
        <v>20</v>
      </c>
      <c r="M20" s="26" t="n">
        <f aca="false">Data!M19</f>
        <v>6</v>
      </c>
      <c r="N20" s="26" t="n">
        <f aca="false">Data!N19</f>
        <v>3</v>
      </c>
      <c r="O20" s="30" t="n">
        <f aca="false">SUM(J20:M20)</f>
        <v>73</v>
      </c>
      <c r="P20" s="27"/>
      <c r="Q20" s="29" t="s">
        <v>24</v>
      </c>
      <c r="R20" s="31" t="n">
        <f aca="false">Data!I33</f>
        <v>0</v>
      </c>
      <c r="S20" s="31" t="n">
        <f aca="false">Data!J33</f>
        <v>0</v>
      </c>
      <c r="T20" s="31" t="n">
        <f aca="false">Data!K33</f>
        <v>0</v>
      </c>
      <c r="U20" s="31" t="n">
        <f aca="false">Data!L33</f>
        <v>0</v>
      </c>
      <c r="V20" s="31" t="n">
        <f aca="false">Data!M33</f>
        <v>0</v>
      </c>
      <c r="W20" s="30" t="n">
        <f aca="false">SUM(R20:T20)</f>
        <v>0</v>
      </c>
    </row>
    <row r="21" customFormat="false" ht="16.5" hidden="false" customHeight="false" outlineLevel="0" collapsed="false">
      <c r="A21" s="25"/>
      <c r="B21" s="26"/>
      <c r="C21" s="26"/>
      <c r="D21" s="26"/>
      <c r="E21" s="27"/>
      <c r="F21" s="27"/>
      <c r="G21" s="28"/>
      <c r="H21" s="27"/>
      <c r="I21" s="33"/>
      <c r="J21" s="26"/>
      <c r="K21" s="26"/>
      <c r="L21" s="26"/>
      <c r="M21" s="34"/>
      <c r="N21" s="34"/>
      <c r="O21" s="30"/>
      <c r="P21" s="27"/>
      <c r="Q21" s="29" t="s">
        <v>25</v>
      </c>
      <c r="R21" s="31" t="n">
        <f aca="false">Data!I34</f>
        <v>0</v>
      </c>
      <c r="S21" s="31" t="n">
        <f aca="false">Data!J34</f>
        <v>0</v>
      </c>
      <c r="T21" s="31" t="n">
        <f aca="false">Data!K34</f>
        <v>0</v>
      </c>
      <c r="U21" s="31" t="n">
        <f aca="false">Data!L34</f>
        <v>0</v>
      </c>
      <c r="V21" s="31" t="n">
        <f aca="false">Data!M34</f>
        <v>0</v>
      </c>
      <c r="W21" s="30" t="n">
        <f aca="false">SUM(R21:T21)</f>
        <v>0</v>
      </c>
    </row>
    <row r="22" customFormat="false" ht="16.5" hidden="false" customHeight="false" outlineLevel="0" collapsed="false">
      <c r="A22" s="12"/>
      <c r="B22" s="26"/>
      <c r="C22" s="26"/>
      <c r="D22" s="26"/>
      <c r="E22" s="27"/>
      <c r="F22" s="27"/>
      <c r="G22" s="28"/>
      <c r="H22" s="27"/>
      <c r="I22" s="37" t="s">
        <v>26</v>
      </c>
      <c r="J22" s="26"/>
      <c r="K22" s="26"/>
      <c r="L22" s="26"/>
      <c r="M22" s="34"/>
      <c r="N22" s="34"/>
      <c r="O22" s="30"/>
      <c r="P22" s="27"/>
      <c r="Q22" s="39" t="s">
        <v>27</v>
      </c>
      <c r="R22" s="40" t="n">
        <f aca="false">Data!I35</f>
        <v>0</v>
      </c>
      <c r="S22" s="40" t="n">
        <f aca="false">Data!J35</f>
        <v>0</v>
      </c>
      <c r="T22" s="40" t="n">
        <f aca="false">Data!K35</f>
        <v>0</v>
      </c>
      <c r="U22" s="40" t="n">
        <f aca="false">Data!L35</f>
        <v>0</v>
      </c>
      <c r="V22" s="40" t="n">
        <f aca="false">Data!M35</f>
        <v>0</v>
      </c>
      <c r="W22" s="41" t="n">
        <f aca="false">SUM(R22:T22)</f>
        <v>0</v>
      </c>
    </row>
    <row r="23" customFormat="false" ht="16.5" hidden="false" customHeight="false" outlineLevel="0" collapsed="false">
      <c r="A23" s="42"/>
      <c r="B23" s="26"/>
      <c r="C23" s="26"/>
      <c r="D23" s="26"/>
      <c r="E23" s="27"/>
      <c r="F23" s="27"/>
      <c r="G23" s="28"/>
      <c r="H23" s="27"/>
      <c r="I23" s="29" t="s">
        <v>23</v>
      </c>
      <c r="J23" s="26" t="n">
        <f aca="false">Data!J21</f>
        <v>4</v>
      </c>
      <c r="K23" s="26" t="n">
        <f aca="false">Data!K21</f>
        <v>12</v>
      </c>
      <c r="L23" s="26" t="n">
        <f aca="false">Data!L21</f>
        <v>30</v>
      </c>
      <c r="M23" s="26" t="n">
        <f aca="false">Data!M21</f>
        <v>17</v>
      </c>
      <c r="N23" s="26" t="n">
        <f aca="false">Data!N21</f>
        <v>18</v>
      </c>
      <c r="O23" s="30" t="n">
        <f aca="false">SUM(J23:M23)</f>
        <v>63</v>
      </c>
      <c r="P23" s="27"/>
      <c r="Q23" s="43" t="s">
        <v>28</v>
      </c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25"/>
      <c r="B24" s="26"/>
      <c r="C24" s="27"/>
      <c r="D24" s="27"/>
      <c r="E24" s="27"/>
      <c r="F24" s="27"/>
      <c r="G24" s="28"/>
      <c r="H24" s="27"/>
      <c r="I24" s="29" t="s">
        <v>24</v>
      </c>
      <c r="J24" s="26" t="n">
        <f aca="false">Data!J22</f>
        <v>29</v>
      </c>
      <c r="K24" s="26" t="n">
        <f aca="false">Data!K22</f>
        <v>17</v>
      </c>
      <c r="L24" s="26" t="n">
        <f aca="false">Data!L22</f>
        <v>15</v>
      </c>
      <c r="M24" s="26" t="n">
        <f aca="false">Data!M22</f>
        <v>23</v>
      </c>
      <c r="N24" s="26" t="n">
        <f aca="false">Data!N22</f>
        <v>57</v>
      </c>
      <c r="O24" s="30" t="n">
        <f aca="false">SUM(J24:M24)</f>
        <v>84</v>
      </c>
      <c r="P24" s="27"/>
      <c r="Q24" s="44"/>
      <c r="R24" s="45" t="s">
        <v>29</v>
      </c>
      <c r="S24" s="45"/>
      <c r="T24" s="45"/>
      <c r="U24" s="45"/>
      <c r="V24" s="45"/>
      <c r="W24" s="46"/>
    </row>
    <row r="25" customFormat="false" ht="16.5" hidden="false" customHeight="false" outlineLevel="0" collapsed="false">
      <c r="A25" s="12"/>
      <c r="B25" s="26"/>
      <c r="C25" s="5"/>
      <c r="D25" s="5"/>
      <c r="E25" s="5"/>
      <c r="F25" s="5"/>
      <c r="G25" s="6"/>
      <c r="H25" s="10"/>
      <c r="I25" s="29" t="s">
        <v>25</v>
      </c>
      <c r="J25" s="26" t="n">
        <f aca="false">Data!J23</f>
        <v>86</v>
      </c>
      <c r="K25" s="26" t="n">
        <f aca="false">Data!K23</f>
        <v>69</v>
      </c>
      <c r="L25" s="26" t="n">
        <f aca="false">Data!L23</f>
        <v>38</v>
      </c>
      <c r="M25" s="26" t="n">
        <f aca="false">Data!M23</f>
        <v>41</v>
      </c>
      <c r="N25" s="26" t="n">
        <f aca="false">Data!N23</f>
        <v>69</v>
      </c>
      <c r="O25" s="30" t="n">
        <f aca="false">SUM(J25:M25)</f>
        <v>234</v>
      </c>
      <c r="P25" s="10"/>
      <c r="Q25" s="17"/>
      <c r="R25" s="18" t="s">
        <v>4</v>
      </c>
      <c r="S25" s="18" t="s">
        <v>5</v>
      </c>
      <c r="T25" s="18" t="s">
        <v>6</v>
      </c>
      <c r="U25" s="18" t="s">
        <v>7</v>
      </c>
      <c r="V25" s="18" t="s">
        <v>30</v>
      </c>
      <c r="W25" s="47"/>
    </row>
    <row r="26" customFormat="false" ht="16.5" hidden="false" customHeight="false" outlineLevel="0" collapsed="false">
      <c r="A26" s="48"/>
      <c r="B26" s="27"/>
      <c r="C26" s="5"/>
      <c r="D26" s="5"/>
      <c r="E26" s="5"/>
      <c r="F26" s="5"/>
      <c r="G26" s="6"/>
      <c r="H26" s="10"/>
      <c r="I26" s="29" t="s">
        <v>27</v>
      </c>
      <c r="J26" s="26" t="n">
        <f aca="false">Data!J24</f>
        <v>1</v>
      </c>
      <c r="K26" s="26" t="n">
        <f aca="false">Data!K24</f>
        <v>1</v>
      </c>
      <c r="L26" s="26" t="n">
        <f aca="false">Data!L24</f>
        <v>2</v>
      </c>
      <c r="M26" s="26" t="n">
        <f aca="false">Data!M24</f>
        <v>0</v>
      </c>
      <c r="N26" s="26" t="n">
        <f aca="false">Data!N24</f>
        <v>1</v>
      </c>
      <c r="O26" s="30" t="n">
        <f aca="false">SUM(J26:M26)</f>
        <v>4</v>
      </c>
      <c r="P26" s="10"/>
      <c r="Q26" s="24" t="s">
        <v>31</v>
      </c>
      <c r="R26" s="22" t="n">
        <v>8</v>
      </c>
      <c r="S26" s="22" t="n">
        <v>13</v>
      </c>
      <c r="T26" s="22" t="n">
        <v>5</v>
      </c>
      <c r="U26" s="5" t="n">
        <f aca="false">2+15</f>
        <v>17</v>
      </c>
      <c r="V26" s="5" t="n">
        <v>8</v>
      </c>
      <c r="W26" s="47"/>
    </row>
    <row r="27" customFormat="false" ht="16.5" hidden="false" customHeight="false" outlineLevel="0" collapsed="false">
      <c r="A27" s="49"/>
      <c r="B27" s="5"/>
      <c r="C27" s="5"/>
      <c r="D27" s="5"/>
      <c r="E27" s="5"/>
      <c r="F27" s="5"/>
      <c r="G27" s="6"/>
      <c r="H27" s="10"/>
      <c r="I27" s="50"/>
      <c r="J27" s="51"/>
      <c r="K27" s="51"/>
      <c r="L27" s="51"/>
      <c r="M27" s="51"/>
      <c r="N27" s="51"/>
      <c r="O27" s="52"/>
      <c r="P27" s="10"/>
      <c r="Q27" s="53"/>
      <c r="R27" s="22"/>
      <c r="S27" s="22"/>
      <c r="T27" s="22"/>
      <c r="U27" s="5"/>
      <c r="V27" s="5"/>
      <c r="W27" s="47"/>
    </row>
    <row r="28" customFormat="false" ht="16.5" hidden="false" customHeight="false" outlineLevel="0" collapsed="false">
      <c r="A28" s="49"/>
      <c r="B28" s="5"/>
      <c r="C28" s="5"/>
      <c r="D28" s="5"/>
      <c r="E28" s="5"/>
      <c r="F28" s="5"/>
      <c r="G28" s="6"/>
      <c r="H28" s="10"/>
      <c r="I28" s="50"/>
      <c r="J28" s="51"/>
      <c r="K28" s="51"/>
      <c r="L28" s="51"/>
      <c r="M28" s="51"/>
      <c r="N28" s="51"/>
      <c r="O28" s="52"/>
      <c r="P28" s="10"/>
      <c r="Q28" s="24" t="s">
        <v>32</v>
      </c>
      <c r="R28" s="22" t="n">
        <v>33</v>
      </c>
      <c r="S28" s="22" t="n">
        <v>13</v>
      </c>
      <c r="T28" s="22" t="n">
        <v>26</v>
      </c>
      <c r="U28" s="5" t="n">
        <v>104</v>
      </c>
      <c r="V28" s="5" t="n">
        <v>30</v>
      </c>
      <c r="W28" s="47"/>
    </row>
    <row r="29" customFormat="false" ht="15" hidden="false" customHeight="false" outlineLevel="0" collapsed="false">
      <c r="A29" s="54"/>
      <c r="B29" s="55"/>
      <c r="C29" s="55"/>
      <c r="D29" s="55"/>
      <c r="E29" s="55"/>
      <c r="F29" s="55"/>
      <c r="G29" s="56"/>
      <c r="H29" s="10"/>
      <c r="I29" s="57"/>
      <c r="J29" s="58"/>
      <c r="K29" s="58"/>
      <c r="L29" s="58"/>
      <c r="M29" s="58"/>
      <c r="N29" s="58"/>
      <c r="O29" s="59"/>
      <c r="P29" s="10"/>
      <c r="Q29" s="60"/>
      <c r="R29" s="61"/>
      <c r="S29" s="61"/>
      <c r="T29" s="55"/>
      <c r="U29" s="55"/>
      <c r="V29" s="55"/>
      <c r="W29" s="56"/>
    </row>
    <row r="30" customFormat="false" ht="12.75" hidden="false" customHeight="false" outlineLevel="0" collapsed="false">
      <c r="A30" s="62"/>
      <c r="B30" s="63"/>
      <c r="C30" s="63"/>
      <c r="D30" s="63"/>
      <c r="E30" s="63"/>
      <c r="F30" s="63"/>
      <c r="G30" s="63"/>
      <c r="I30" s="64"/>
      <c r="J30" s="64"/>
      <c r="K30" s="64"/>
      <c r="L30" s="63"/>
      <c r="M30" s="63"/>
      <c r="N30" s="63"/>
      <c r="O30" s="63"/>
      <c r="Q30" s="64"/>
      <c r="R30" s="64"/>
      <c r="S30" s="64"/>
      <c r="T30" s="63"/>
      <c r="U30" s="63"/>
      <c r="V30" s="63"/>
      <c r="W30" s="63"/>
    </row>
    <row r="31" customFormat="false" ht="12.75" hidden="false" customHeight="false" outlineLevel="0" collapsed="false">
      <c r="A31" s="65"/>
      <c r="J31" s="63"/>
      <c r="K31" s="63"/>
      <c r="L31" s="63"/>
      <c r="M31" s="63"/>
      <c r="N31" s="63"/>
      <c r="O31" s="63"/>
      <c r="P31" s="63"/>
      <c r="Q31" s="66"/>
      <c r="R31" s="66"/>
      <c r="S31" s="66"/>
      <c r="T31" s="66"/>
      <c r="U31" s="66"/>
      <c r="V31" s="66"/>
      <c r="W31" s="66"/>
    </row>
    <row r="32" customFormat="false" ht="12.75" hidden="false" customHeight="false" outlineLevel="0" collapsed="false">
      <c r="A32" s="67"/>
    </row>
    <row r="33" customFormat="false" ht="12.75" hidden="false" customHeight="false" outlineLevel="0" collapsed="false">
      <c r="A33" s="67"/>
    </row>
    <row r="34" customFormat="false" ht="12.75" hidden="false" customHeight="false" outlineLevel="0" collapsed="false">
      <c r="A34" s="68"/>
    </row>
    <row r="35" customFormat="false" ht="12.75" hidden="false" customHeight="false" outlineLevel="0" collapsed="false">
      <c r="A35" s="68"/>
    </row>
    <row r="36" customFormat="false" ht="12.75" hidden="false" customHeight="false" outlineLevel="0" collapsed="false">
      <c r="A36" s="68"/>
    </row>
    <row r="37" customFormat="false" ht="12.75" hidden="false" customHeight="false" outlineLevel="0" collapsed="false">
      <c r="A37" s="68"/>
    </row>
    <row r="38" customFormat="false" ht="12.75" hidden="false" customHeight="false" outlineLevel="0" collapsed="false">
      <c r="A38" s="68"/>
    </row>
    <row r="39" customFormat="false" ht="12.75" hidden="false" customHeight="false" outlineLevel="0" collapsed="false">
      <c r="A39" s="68"/>
    </row>
    <row r="40" customFormat="false" ht="12.75" hidden="false" customHeight="false" outlineLevel="0" collapsed="false">
      <c r="A40" s="68"/>
    </row>
    <row r="41" customFormat="false" ht="12.75" hidden="false" customHeight="false" outlineLevel="0" collapsed="false">
      <c r="A41" s="69"/>
    </row>
    <row r="42" customFormat="false" ht="12.75" hidden="false" customHeight="false" outlineLevel="0" collapsed="false">
      <c r="A42" s="69"/>
    </row>
    <row r="43" customFormat="false" ht="12.75" hidden="false" customHeight="false" outlineLevel="0" collapsed="false">
      <c r="A43" s="69"/>
    </row>
    <row r="44" customFormat="false" ht="12.75" hidden="false" customHeight="false" outlineLevel="0" collapsed="false">
      <c r="A44" s="69"/>
    </row>
    <row r="45" customFormat="false" ht="12.75" hidden="false" customHeight="false" outlineLevel="0" collapsed="false">
      <c r="A45" s="69"/>
    </row>
    <row r="46" customFormat="false" ht="12.75" hidden="false" customHeight="false" outlineLevel="0" collapsed="false">
      <c r="A46" s="36"/>
    </row>
    <row r="47" customFormat="false" ht="12.75" hidden="false" customHeight="false" outlineLevel="0" collapsed="false">
      <c r="A47" s="36"/>
    </row>
    <row r="48" customFormat="false" ht="12.75" hidden="false" customHeight="false" outlineLevel="0" collapsed="false">
      <c r="A48" s="70"/>
    </row>
    <row r="49" customFormat="false" ht="12.75" hidden="false" customHeight="false" outlineLevel="0" collapsed="false">
      <c r="A49" s="70"/>
    </row>
    <row r="50" customFormat="false" ht="12.75" hidden="false" customHeight="false" outlineLevel="0" collapsed="false">
      <c r="A50" s="70"/>
    </row>
    <row r="51" customFormat="false" ht="12.75" hidden="false" customHeight="false" outlineLevel="0" collapsed="false">
      <c r="A51" s="70"/>
    </row>
    <row r="52" customFormat="false" ht="12.75" hidden="false" customHeight="false" outlineLevel="0" collapsed="false">
      <c r="A52" s="70"/>
    </row>
    <row r="53" customFormat="false" ht="12.75" hidden="false" customHeight="false" outlineLevel="0" collapsed="false">
      <c r="A53" s="70"/>
    </row>
    <row r="54" customFormat="false" ht="12.75" hidden="false" customHeight="false" outlineLevel="0" collapsed="false">
      <c r="A54" s="70"/>
    </row>
    <row r="55" customFormat="false" ht="12.75" hidden="false" customHeight="false" outlineLevel="0" collapsed="false">
      <c r="A55" s="70"/>
    </row>
    <row r="56" customFormat="false" ht="12.75" hidden="false" customHeight="false" outlineLevel="0" collapsed="false">
      <c r="A56" s="70"/>
    </row>
    <row r="57" customFormat="false" ht="12.75" hidden="false" customHeight="false" outlineLevel="0" collapsed="false">
      <c r="A57" s="70"/>
    </row>
    <row r="58" customFormat="false" ht="12.75" hidden="false" customHeight="false" outlineLevel="0" collapsed="false">
      <c r="A58" s="70"/>
    </row>
    <row r="59" customFormat="false" ht="12.75" hidden="false" customHeight="false" outlineLevel="0" collapsed="false">
      <c r="A59" s="70"/>
    </row>
    <row r="60" customFormat="false" ht="12.75" hidden="false" customHeight="false" outlineLevel="0" collapsed="false">
      <c r="A60" s="70"/>
    </row>
    <row r="61" customFormat="false" ht="12.75" hidden="false" customHeight="false" outlineLevel="0" collapsed="false">
      <c r="A61" s="70"/>
    </row>
    <row r="62" customFormat="false" ht="12.75" hidden="false" customHeight="false" outlineLevel="0" collapsed="false">
      <c r="A62" s="70"/>
    </row>
    <row r="63" customFormat="false" ht="12.75" hidden="false" customHeight="false" outlineLevel="0" collapsed="false">
      <c r="A63" s="70"/>
    </row>
    <row r="64" customFormat="false" ht="12.75" hidden="false" customHeight="false" outlineLevel="0" collapsed="false">
      <c r="A64" s="70"/>
    </row>
    <row r="65" customFormat="false" ht="12.75" hidden="false" customHeight="false" outlineLevel="0" collapsed="false">
      <c r="A65" s="70"/>
    </row>
    <row r="66" customFormat="false" ht="12.75" hidden="false" customHeight="false" outlineLevel="0" collapsed="false">
      <c r="A66" s="70"/>
    </row>
    <row r="67" customFormat="false" ht="12.75" hidden="false" customHeight="false" outlineLevel="0" collapsed="false">
      <c r="A67" s="70"/>
    </row>
    <row r="68" customFormat="false" ht="12.75" hidden="false" customHeight="false" outlineLevel="0" collapsed="false">
      <c r="A68" s="71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67"/>
    </row>
    <row r="71" customFormat="false" ht="12.75" hidden="false" customHeight="false" outlineLevel="0" collapsed="false">
      <c r="A71" s="67"/>
    </row>
    <row r="72" customFormat="false" ht="12.75" hidden="false" customHeight="false" outlineLevel="0" collapsed="false">
      <c r="A72" s="67"/>
    </row>
    <row r="73" customFormat="false" ht="12.75" hidden="false" customHeight="false" outlineLevel="0" collapsed="false">
      <c r="A73" s="67"/>
    </row>
    <row r="74" customFormat="false" ht="12.75" hidden="false" customHeight="false" outlineLevel="0" collapsed="false">
      <c r="A74" s="67"/>
    </row>
    <row r="75" customFormat="false" ht="12.75" hidden="false" customHeight="false" outlineLevel="0" collapsed="false">
      <c r="A75" s="67"/>
    </row>
    <row r="76" customFormat="false" ht="12.75" hidden="false" customHeight="false" outlineLevel="0" collapsed="false">
      <c r="A76" s="68"/>
    </row>
    <row r="77" customFormat="false" ht="12.75" hidden="false" customHeight="false" outlineLevel="0" collapsed="false">
      <c r="A77" s="69"/>
    </row>
    <row r="78" customFormat="false" ht="12.75" hidden="false" customHeight="false" outlineLevel="0" collapsed="false">
      <c r="A78" s="36"/>
    </row>
    <row r="79" customFormat="false" ht="12.75" hidden="false" customHeight="false" outlineLevel="0" collapsed="false">
      <c r="A79" s="36"/>
    </row>
    <row r="80" customFormat="false" ht="12.75" hidden="false" customHeight="false" outlineLevel="0" collapsed="false">
      <c r="A80" s="70"/>
    </row>
    <row r="81" customFormat="false" ht="12.75" hidden="false" customHeight="false" outlineLevel="0" collapsed="false">
      <c r="A81" s="70"/>
    </row>
    <row r="82" customFormat="false" ht="12.75" hidden="false" customHeight="false" outlineLevel="0" collapsed="false">
      <c r="A82" s="70"/>
    </row>
    <row r="83" customFormat="false" ht="12.75" hidden="false" customHeight="false" outlineLevel="0" collapsed="false">
      <c r="A83" s="70"/>
    </row>
    <row r="84" customFormat="false" ht="12.75" hidden="false" customHeight="false" outlineLevel="0" collapsed="false">
      <c r="A84" s="70"/>
    </row>
    <row r="85" customFormat="false" ht="12.75" hidden="false" customHeight="false" outlineLevel="0" collapsed="false">
      <c r="A85" s="70"/>
    </row>
    <row r="86" customFormat="false" ht="12.75" hidden="false" customHeight="false" outlineLevel="0" collapsed="false">
      <c r="A86" s="70"/>
    </row>
    <row r="87" customFormat="false" ht="12" hidden="false" customHeight="true" outlineLevel="0" collapsed="false"/>
  </sheetData>
  <mergeCells count="3">
    <mergeCell ref="I8:N8"/>
    <mergeCell ref="Q8:V8"/>
    <mergeCell ref="R24:V24"/>
  </mergeCells>
  <printOptions headings="false" gridLines="false" gridLinesSet="true" horizontalCentered="true" verticalCentered="true"/>
  <pageMargins left="0.170138888888889" right="0.159722222222222" top="0.5" bottom="0.3" header="0.5" footer="0.09027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February 23 - February 28</oddHeader>
    <oddFooter>&amp;L(1)  Note, due to change in reporting period, this period only includes six days (Friday through Wednesday).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141" t="s">
        <v>107</v>
      </c>
      <c r="H1" s="162"/>
      <c r="I1" s="162"/>
    </row>
    <row r="2" customFormat="false" ht="12.75" hidden="false" customHeight="false" outlineLevel="0" collapsed="false">
      <c r="B2" s="142" t="s">
        <v>141</v>
      </c>
      <c r="C2" s="142"/>
      <c r="D2" s="142" t="s">
        <v>142</v>
      </c>
      <c r="E2" s="142"/>
      <c r="F2" s="142" t="s">
        <v>143</v>
      </c>
      <c r="G2" s="142"/>
      <c r="H2" s="179" t="s">
        <v>144</v>
      </c>
      <c r="I2" s="179"/>
      <c r="J2" s="143" t="s">
        <v>117</v>
      </c>
    </row>
    <row r="3" customFormat="false" ht="12.75" hidden="false" customHeight="false" outlineLevel="0" collapsed="false">
      <c r="A3" s="144" t="s">
        <v>118</v>
      </c>
      <c r="B3" s="145" t="s">
        <v>1</v>
      </c>
      <c r="C3" s="145" t="s">
        <v>119</v>
      </c>
      <c r="D3" s="145" t="s">
        <v>1</v>
      </c>
      <c r="E3" s="145" t="s">
        <v>119</v>
      </c>
      <c r="F3" s="145" t="s">
        <v>1</v>
      </c>
      <c r="G3" s="145" t="s">
        <v>119</v>
      </c>
      <c r="H3" s="145" t="s">
        <v>1</v>
      </c>
      <c r="I3" s="145" t="s">
        <v>119</v>
      </c>
      <c r="J3" s="146" t="s">
        <v>80</v>
      </c>
    </row>
    <row r="4" customFormat="false" ht="12.75" hidden="false" customHeight="false" outlineLevel="0" collapsed="false">
      <c r="A4" s="82"/>
      <c r="B4" s="82"/>
      <c r="C4" s="82"/>
      <c r="D4" s="82"/>
      <c r="E4" s="82"/>
      <c r="F4" s="82"/>
      <c r="G4" s="82"/>
    </row>
    <row r="5" customFormat="false" ht="12.75" hidden="false" customHeight="false" outlineLevel="0" collapsed="false">
      <c r="A5" s="147" t="s">
        <v>10</v>
      </c>
      <c r="B5" s="148"/>
      <c r="C5" s="148"/>
      <c r="D5" s="148"/>
      <c r="E5" s="148"/>
      <c r="F5" s="148"/>
      <c r="G5" s="148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customFormat="false" ht="12.75" hidden="false" customHeight="false" outlineLevel="0" collapsed="false">
      <c r="A6" s="149" t="s">
        <v>13</v>
      </c>
      <c r="B6" s="75" t="n">
        <v>8160</v>
      </c>
      <c r="C6" s="75" t="n">
        <v>867868927</v>
      </c>
      <c r="D6" s="75" t="n">
        <v>12264</v>
      </c>
      <c r="E6" s="75" t="n">
        <v>1430792953</v>
      </c>
      <c r="F6" s="75" t="n">
        <v>10083</v>
      </c>
      <c r="G6" s="75" t="n">
        <v>878002281</v>
      </c>
      <c r="H6" s="75" t="n">
        <v>13198</v>
      </c>
      <c r="I6" s="75" t="n">
        <v>1733178545</v>
      </c>
      <c r="J6" s="75" t="s">
        <v>57</v>
      </c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</row>
    <row r="7" customFormat="false" ht="12.75" hidden="false" customHeight="false" outlineLevel="0" collapsed="false">
      <c r="A7" s="149" t="s">
        <v>14</v>
      </c>
      <c r="B7" s="75" t="n">
        <v>657</v>
      </c>
      <c r="C7" s="75" t="n">
        <v>6392800</v>
      </c>
      <c r="D7" s="75" t="n">
        <v>1630</v>
      </c>
      <c r="E7" s="75" t="n">
        <v>15194425</v>
      </c>
      <c r="F7" s="75" t="n">
        <v>1725</v>
      </c>
      <c r="G7" s="75" t="n">
        <v>17506625</v>
      </c>
      <c r="H7" s="75" t="n">
        <v>1546</v>
      </c>
      <c r="I7" s="75" t="n">
        <v>14286440</v>
      </c>
      <c r="J7" s="75" t="s">
        <v>58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</row>
    <row r="8" customFormat="false" ht="12.75" hidden="false" customHeight="false" outlineLevel="0" collapsed="false">
      <c r="A8" s="147" t="s">
        <v>16</v>
      </c>
      <c r="B8" s="148"/>
      <c r="C8" s="148"/>
      <c r="D8" s="148"/>
      <c r="E8" s="148"/>
      <c r="F8" s="148"/>
      <c r="G8" s="75"/>
      <c r="H8" s="75"/>
      <c r="I8" s="75"/>
      <c r="J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</row>
    <row r="9" customFormat="false" ht="12.75" hidden="false" customHeight="false" outlineLevel="0" collapsed="false">
      <c r="A9" s="149" t="s">
        <v>17</v>
      </c>
      <c r="B9" s="75" t="n">
        <v>840</v>
      </c>
      <c r="C9" s="75" t="n">
        <v>20894000</v>
      </c>
      <c r="D9" s="75" t="n">
        <v>1580</v>
      </c>
      <c r="E9" s="75" t="n">
        <v>40911000</v>
      </c>
      <c r="F9" s="75" t="n">
        <v>1052</v>
      </c>
      <c r="G9" s="75" t="n">
        <v>25743000</v>
      </c>
      <c r="H9" s="75" t="n">
        <v>1552</v>
      </c>
      <c r="I9" s="75" t="n">
        <v>36444595</v>
      </c>
      <c r="J9" s="75" t="s">
        <v>61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</row>
    <row r="10" customFormat="false" ht="12.75" hidden="false" customHeight="false" outlineLevel="0" collapsed="false">
      <c r="A10" s="149" t="s">
        <v>19</v>
      </c>
      <c r="B10" s="75" t="n">
        <v>25</v>
      </c>
      <c r="C10" s="75" t="n">
        <v>1054250</v>
      </c>
      <c r="D10" s="75" t="n">
        <v>32</v>
      </c>
      <c r="E10" s="75" t="n">
        <v>697000</v>
      </c>
      <c r="F10" s="75" t="n">
        <v>21</v>
      </c>
      <c r="G10" s="75" t="n">
        <v>677000</v>
      </c>
      <c r="H10" s="75" t="n">
        <v>12</v>
      </c>
      <c r="I10" s="75" t="n">
        <v>258000</v>
      </c>
      <c r="J10" s="75" t="s">
        <v>63</v>
      </c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</row>
    <row r="11" customFormat="false" ht="12.75" hidden="false" customHeight="false" outlineLevel="0" collapsed="false">
      <c r="A11" s="149" t="s">
        <v>120</v>
      </c>
      <c r="B11" s="75" t="n">
        <v>4</v>
      </c>
      <c r="C11" s="75" t="n">
        <v>153000</v>
      </c>
      <c r="D11" s="75" t="n">
        <v>4</v>
      </c>
      <c r="E11" s="75" t="n">
        <v>177000</v>
      </c>
      <c r="F11" s="75" t="n">
        <v>11</v>
      </c>
      <c r="G11" s="75" t="n">
        <v>465000</v>
      </c>
      <c r="H11" s="75" t="n">
        <v>5</v>
      </c>
      <c r="I11" s="75" t="n">
        <v>225000</v>
      </c>
      <c r="J11" s="75" t="s">
        <v>63</v>
      </c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</row>
    <row r="12" customFormat="false" ht="12.75" hidden="false" customHeight="false" outlineLevel="0" collapsed="false">
      <c r="A12" s="149" t="s">
        <v>22</v>
      </c>
      <c r="B12" s="75" t="n">
        <v>9</v>
      </c>
      <c r="C12" s="75" t="n">
        <v>2700</v>
      </c>
      <c r="D12" s="75" t="n">
        <v>8</v>
      </c>
      <c r="E12" s="75" t="n">
        <v>2400</v>
      </c>
      <c r="F12" s="75" t="n">
        <v>26</v>
      </c>
      <c r="G12" s="75" t="n">
        <v>8400</v>
      </c>
      <c r="H12" s="75" t="n">
        <v>13</v>
      </c>
      <c r="I12" s="75" t="n">
        <v>3900</v>
      </c>
      <c r="J12" s="75" t="s">
        <v>65</v>
      </c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</row>
    <row r="13" customFormat="false" ht="12.75" hidden="false" customHeight="false" outlineLevel="0" collapsed="false">
      <c r="A13" s="149" t="s">
        <v>18</v>
      </c>
      <c r="B13" s="75" t="n">
        <v>0</v>
      </c>
      <c r="C13" s="75" t="n">
        <v>0</v>
      </c>
      <c r="D13" s="75" t="n">
        <v>0</v>
      </c>
      <c r="E13" s="75" t="n">
        <v>0</v>
      </c>
      <c r="F13" s="0" t="n">
        <v>0</v>
      </c>
      <c r="G13" s="75" t="n">
        <v>0</v>
      </c>
      <c r="H13" s="75" t="n">
        <v>0</v>
      </c>
      <c r="I13" s="75" t="n">
        <v>0</v>
      </c>
      <c r="J13" s="75" t="s">
        <v>66</v>
      </c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</row>
    <row r="14" customFormat="false" ht="12.75" hidden="false" customHeight="false" outlineLevel="0" collapsed="false">
      <c r="A14" s="149" t="s">
        <v>20</v>
      </c>
      <c r="B14" s="75" t="n">
        <v>2</v>
      </c>
      <c r="C14" s="75" t="n">
        <v>5000</v>
      </c>
      <c r="D14" s="75" t="n">
        <v>2</v>
      </c>
      <c r="E14" s="75" t="n">
        <v>5000</v>
      </c>
      <c r="F14" s="75" t="n">
        <v>10</v>
      </c>
      <c r="G14" s="75" t="n">
        <v>25000</v>
      </c>
      <c r="H14" s="75" t="n">
        <v>4</v>
      </c>
      <c r="I14" s="75" t="n">
        <v>10000</v>
      </c>
      <c r="J14" s="75" t="s">
        <v>68</v>
      </c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</row>
    <row r="15" customFormat="false" ht="12.75" hidden="false" customHeight="false" outlineLevel="0" collapsed="false">
      <c r="A15" s="147" t="s">
        <v>26</v>
      </c>
      <c r="B15" s="148"/>
      <c r="C15" s="148"/>
      <c r="D15" s="148"/>
      <c r="E15" s="148"/>
      <c r="F15" s="148"/>
      <c r="G15" s="75"/>
      <c r="H15" s="75"/>
      <c r="I15" s="75"/>
      <c r="J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</row>
    <row r="16" customFormat="false" ht="12.75" hidden="false" customHeight="false" outlineLevel="0" collapsed="false">
      <c r="A16" s="149" t="s">
        <v>121</v>
      </c>
      <c r="B16" s="75" t="n">
        <v>0</v>
      </c>
      <c r="C16" s="75" t="n">
        <v>0</v>
      </c>
      <c r="D16" s="75" t="n">
        <v>0</v>
      </c>
      <c r="E16" s="75" t="n">
        <v>0</v>
      </c>
      <c r="F16" s="75" t="n">
        <v>0</v>
      </c>
      <c r="G16" s="75" t="n">
        <v>0</v>
      </c>
      <c r="H16" s="75" t="n">
        <v>0</v>
      </c>
      <c r="I16" s="75" t="n">
        <v>0</v>
      </c>
      <c r="J16" s="75" t="s">
        <v>63</v>
      </c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</row>
    <row r="17" customFormat="false" ht="12.75" hidden="false" customHeight="false" outlineLevel="0" collapsed="false">
      <c r="A17" s="149" t="s">
        <v>27</v>
      </c>
      <c r="B17" s="75" t="n">
        <v>0</v>
      </c>
      <c r="C17" s="75" t="n">
        <v>0</v>
      </c>
      <c r="D17" s="75" t="n">
        <v>0</v>
      </c>
      <c r="E17" s="75" t="n">
        <v>0</v>
      </c>
      <c r="F17" s="75" t="n">
        <v>0</v>
      </c>
      <c r="G17" s="75" t="n">
        <v>0</v>
      </c>
      <c r="H17" s="75" t="n">
        <v>0</v>
      </c>
      <c r="I17" s="75" t="n">
        <v>0</v>
      </c>
      <c r="J17" s="75" t="s">
        <v>63</v>
      </c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</row>
    <row r="18" customFormat="false" ht="12.75" hidden="false" customHeight="false" outlineLevel="0" collapsed="false">
      <c r="B18" s="75"/>
      <c r="C18" s="75"/>
      <c r="D18" s="75"/>
      <c r="E18" s="75"/>
      <c r="F18" s="75"/>
      <c r="G18" s="75"/>
      <c r="H18" s="75"/>
      <c r="I18" s="75"/>
      <c r="J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</row>
    <row r="19" customFormat="false" ht="12.75" hidden="false" customHeight="false" outlineLevel="0" collapsed="false">
      <c r="B19" s="75"/>
      <c r="C19" s="75"/>
      <c r="D19" s="75"/>
      <c r="E19" s="75"/>
      <c r="F19" s="75"/>
      <c r="G19" s="75"/>
      <c r="H19" s="75"/>
      <c r="J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</row>
    <row r="20" customFormat="false" ht="12.75" hidden="false" customHeight="false" outlineLevel="0" collapsed="false">
      <c r="A20" s="82" t="s">
        <v>122</v>
      </c>
      <c r="B20" s="148" t="n">
        <v>5</v>
      </c>
      <c r="C20" s="148"/>
      <c r="D20" s="148" t="n">
        <v>7</v>
      </c>
      <c r="E20" s="148"/>
      <c r="F20" s="148" t="n">
        <v>7</v>
      </c>
      <c r="G20" s="75"/>
      <c r="H20" s="148" t="n">
        <v>14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</row>
    <row r="21" customFormat="false" ht="12.75" hidden="false" customHeight="false" outlineLevel="0" collapsed="false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</row>
    <row r="22" customFormat="false" ht="12.75" hidden="false" customHeight="false" outlineLevel="0" collapsed="false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</row>
    <row r="23" customFormat="false" ht="12.75" hidden="false" customHeight="false" outlineLevel="0" collapsed="false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</row>
    <row r="24" customFormat="false" ht="23.25" hidden="false" customHeight="false" outlineLevel="0" collapsed="false">
      <c r="A24" s="141" t="s">
        <v>108</v>
      </c>
    </row>
    <row r="25" customFormat="false" ht="12.75" hidden="false" customHeight="false" outlineLevel="0" collapsed="false">
      <c r="B25" s="142" t="s">
        <v>141</v>
      </c>
      <c r="C25" s="142"/>
      <c r="D25" s="142" t="s">
        <v>142</v>
      </c>
      <c r="E25" s="142"/>
      <c r="F25" s="142" t="s">
        <v>143</v>
      </c>
      <c r="G25" s="142"/>
      <c r="H25" s="142" t="s">
        <v>144</v>
      </c>
      <c r="I25" s="142"/>
      <c r="J25" s="143" t="s">
        <v>117</v>
      </c>
    </row>
    <row r="26" customFormat="false" ht="12.75" hidden="false" customHeight="false" outlineLevel="0" collapsed="false">
      <c r="A26" s="144" t="s">
        <v>118</v>
      </c>
      <c r="B26" s="145" t="s">
        <v>1</v>
      </c>
      <c r="C26" s="145" t="s">
        <v>119</v>
      </c>
      <c r="D26" s="145" t="s">
        <v>1</v>
      </c>
      <c r="E26" s="145" t="s">
        <v>119</v>
      </c>
      <c r="F26" s="145" t="s">
        <v>1</v>
      </c>
      <c r="G26" s="145" t="s">
        <v>119</v>
      </c>
      <c r="H26" s="145" t="s">
        <v>1</v>
      </c>
      <c r="I26" s="145" t="s">
        <v>119</v>
      </c>
      <c r="J26" s="146" t="s">
        <v>80</v>
      </c>
    </row>
    <row r="27" customFormat="false" ht="12.75" hidden="false" customHeight="false" outlineLevel="0" collapsed="false">
      <c r="A27" s="82"/>
      <c r="B27" s="82"/>
      <c r="C27" s="82"/>
      <c r="D27" s="82"/>
      <c r="E27" s="82"/>
      <c r="F27" s="82"/>
      <c r="G27" s="82"/>
    </row>
    <row r="28" customFormat="false" ht="12.75" hidden="false" customHeight="false" outlineLevel="0" collapsed="false">
      <c r="A28" s="147" t="s">
        <v>10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  <row r="29" customFormat="false" ht="12.75" hidden="false" customHeight="false" outlineLevel="0" collapsed="false">
      <c r="A29" s="149" t="s">
        <v>13</v>
      </c>
      <c r="B29" s="75" t="n">
        <v>1993</v>
      </c>
      <c r="C29" s="75" t="n">
        <v>890462662</v>
      </c>
      <c r="D29" s="75" t="n">
        <v>3200</v>
      </c>
      <c r="E29" s="75" t="n">
        <v>1770313517</v>
      </c>
      <c r="F29" s="75" t="n">
        <v>2671</v>
      </c>
      <c r="G29" s="75" t="n">
        <v>1064343180</v>
      </c>
      <c r="H29" s="75" t="n">
        <v>3425</v>
      </c>
      <c r="I29" s="75" t="n">
        <v>3219027521</v>
      </c>
      <c r="J29" s="75" t="s">
        <v>57</v>
      </c>
      <c r="K29" s="75"/>
      <c r="L29" s="75"/>
      <c r="M29" s="75"/>
      <c r="N29" s="75"/>
      <c r="O29" s="75"/>
      <c r="P29" s="75"/>
    </row>
    <row r="30" customFormat="false" ht="12.75" hidden="false" customHeight="false" outlineLevel="0" collapsed="false">
      <c r="A30" s="149" t="s">
        <v>14</v>
      </c>
      <c r="B30" s="75" t="n">
        <v>1073</v>
      </c>
      <c r="C30" s="75" t="n">
        <v>9653441</v>
      </c>
      <c r="D30" s="75" t="n">
        <v>1806</v>
      </c>
      <c r="E30" s="75" t="n">
        <v>37468366</v>
      </c>
      <c r="F30" s="75" t="n">
        <v>2056</v>
      </c>
      <c r="G30" s="75" t="n">
        <v>30644030</v>
      </c>
      <c r="H30" s="75" t="n">
        <v>2149</v>
      </c>
      <c r="I30" s="75" t="n">
        <v>23302801</v>
      </c>
      <c r="J30" s="75" t="s">
        <v>58</v>
      </c>
      <c r="K30" s="75"/>
      <c r="L30" s="75"/>
      <c r="M30" s="75"/>
      <c r="N30" s="75"/>
      <c r="O30" s="75"/>
      <c r="P30" s="75"/>
    </row>
    <row r="31" customFormat="false" ht="12.75" hidden="false" customHeight="false" outlineLevel="0" collapsed="false">
      <c r="A31" s="147" t="s">
        <v>16</v>
      </c>
      <c r="B31" s="75"/>
      <c r="C31" s="75"/>
      <c r="D31" s="148"/>
      <c r="E31" s="148"/>
      <c r="F31" s="148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customFormat="false" ht="12.75" hidden="false" customHeight="false" outlineLevel="0" collapsed="false">
      <c r="A32" s="149" t="s">
        <v>17</v>
      </c>
      <c r="B32" s="75" t="n">
        <v>995</v>
      </c>
      <c r="C32" s="75" t="n">
        <v>69536383</v>
      </c>
      <c r="D32" s="75" t="n">
        <v>1678</v>
      </c>
      <c r="E32" s="75" t="n">
        <v>131872348</v>
      </c>
      <c r="F32" s="75" t="n">
        <v>1147</v>
      </c>
      <c r="G32" s="75" t="n">
        <v>82109720</v>
      </c>
      <c r="H32" s="75" t="n">
        <v>1511</v>
      </c>
      <c r="I32" s="75" t="n">
        <v>114536993</v>
      </c>
      <c r="J32" s="75" t="s">
        <v>61</v>
      </c>
      <c r="K32" s="75"/>
      <c r="L32" s="75"/>
      <c r="M32" s="75"/>
      <c r="N32" s="75"/>
      <c r="O32" s="75"/>
      <c r="P32" s="75"/>
    </row>
    <row r="33" customFormat="false" ht="12.75" hidden="false" customHeight="false" outlineLevel="0" collapsed="false">
      <c r="A33" s="149" t="s">
        <v>19</v>
      </c>
      <c r="B33" s="75" t="n">
        <v>8</v>
      </c>
      <c r="C33" s="75" t="n">
        <v>691091</v>
      </c>
      <c r="D33" s="75" t="n">
        <v>39</v>
      </c>
      <c r="E33" s="75" t="n">
        <v>2157306</v>
      </c>
      <c r="F33" s="75" t="n">
        <v>34</v>
      </c>
      <c r="G33" s="75" t="n">
        <v>2376119.09</v>
      </c>
      <c r="H33" s="75" t="n">
        <v>24</v>
      </c>
      <c r="I33" s="75" t="n">
        <v>1716010</v>
      </c>
      <c r="J33" s="75" t="s">
        <v>63</v>
      </c>
      <c r="K33" s="75"/>
      <c r="L33" s="75"/>
      <c r="M33" s="75"/>
      <c r="N33" s="75"/>
      <c r="O33" s="75"/>
      <c r="P33" s="75"/>
    </row>
    <row r="34" customFormat="false" ht="12.75" hidden="false" customHeight="false" outlineLevel="0" collapsed="false">
      <c r="A34" s="149" t="s">
        <v>120</v>
      </c>
      <c r="B34" s="75" t="n">
        <v>15</v>
      </c>
      <c r="C34" s="75" t="n">
        <v>1089373</v>
      </c>
      <c r="D34" s="75" t="n">
        <v>8</v>
      </c>
      <c r="E34" s="75" t="n">
        <v>357627</v>
      </c>
      <c r="F34" s="75" t="n">
        <v>18</v>
      </c>
      <c r="G34" s="75" t="n">
        <v>1166000</v>
      </c>
      <c r="H34" s="75" t="n">
        <v>34</v>
      </c>
      <c r="I34" s="75" t="n">
        <v>1765000</v>
      </c>
      <c r="J34" s="75" t="s">
        <v>63</v>
      </c>
      <c r="K34" s="75"/>
      <c r="L34" s="75"/>
      <c r="M34" s="75"/>
      <c r="N34" s="75"/>
      <c r="O34" s="75"/>
      <c r="P34" s="75"/>
    </row>
    <row r="35" customFormat="false" ht="12.75" hidden="false" customHeight="false" outlineLevel="0" collapsed="false">
      <c r="A35" s="149" t="s">
        <v>22</v>
      </c>
      <c r="B35" s="75" t="n">
        <v>4</v>
      </c>
      <c r="C35" s="75" t="n">
        <v>46550</v>
      </c>
      <c r="D35" s="75" t="n">
        <v>19</v>
      </c>
      <c r="E35" s="75" t="n">
        <v>42950</v>
      </c>
      <c r="F35" s="75" t="n">
        <v>11</v>
      </c>
      <c r="G35" s="75" t="n">
        <v>112500</v>
      </c>
      <c r="H35" s="75" t="n">
        <v>23</v>
      </c>
      <c r="I35" s="75" t="n">
        <v>111600</v>
      </c>
      <c r="J35" s="75" t="s">
        <v>65</v>
      </c>
      <c r="K35" s="75"/>
      <c r="L35" s="75"/>
      <c r="M35" s="75"/>
      <c r="N35" s="75"/>
      <c r="O35" s="75"/>
      <c r="P35" s="75"/>
    </row>
    <row r="36" customFormat="false" ht="12.75" hidden="false" customHeight="false" outlineLevel="0" collapsed="false">
      <c r="A36" s="149" t="s">
        <v>18</v>
      </c>
      <c r="B36" s="75" t="n">
        <v>91</v>
      </c>
      <c r="C36" s="75" t="n">
        <v>6275000</v>
      </c>
      <c r="D36" s="75" t="n">
        <v>130</v>
      </c>
      <c r="E36" s="75" t="n">
        <v>6398750</v>
      </c>
      <c r="F36" s="75" t="n">
        <v>103</v>
      </c>
      <c r="G36" s="75" t="n">
        <v>3718000</v>
      </c>
      <c r="H36" s="75" t="n">
        <v>169</v>
      </c>
      <c r="I36" s="75" t="n">
        <v>6618000</v>
      </c>
      <c r="J36" s="75" t="s">
        <v>66</v>
      </c>
      <c r="K36" s="75"/>
      <c r="L36" s="75"/>
      <c r="M36" s="75"/>
      <c r="N36" s="75"/>
      <c r="O36" s="75"/>
      <c r="P36" s="75"/>
    </row>
    <row r="37" customFormat="false" ht="12.75" hidden="false" customHeight="false" outlineLevel="0" collapsed="false">
      <c r="A37" s="149" t="s">
        <v>20</v>
      </c>
      <c r="B37" s="75" t="n">
        <v>0</v>
      </c>
      <c r="C37" s="75" t="n">
        <v>0</v>
      </c>
      <c r="D37" s="75" t="n">
        <v>0</v>
      </c>
      <c r="E37" s="75" t="n">
        <v>0</v>
      </c>
      <c r="F37" s="75" t="n">
        <v>4</v>
      </c>
      <c r="G37" s="75" t="n">
        <v>9100</v>
      </c>
      <c r="H37" s="75" t="n">
        <v>9</v>
      </c>
      <c r="I37" s="75" t="n">
        <v>97570</v>
      </c>
      <c r="J37" s="75" t="s">
        <v>68</v>
      </c>
      <c r="K37" s="75"/>
      <c r="L37" s="75"/>
      <c r="M37" s="75"/>
      <c r="N37" s="75"/>
      <c r="O37" s="75"/>
      <c r="P37" s="75"/>
    </row>
    <row r="38" customFormat="false" ht="12.75" hidden="false" customHeight="false" outlineLevel="0" collapsed="false">
      <c r="A38" s="147" t="s">
        <v>26</v>
      </c>
      <c r="B38" s="75"/>
      <c r="C38" s="75"/>
      <c r="D38" s="148"/>
      <c r="E38" s="148"/>
      <c r="F38" s="148"/>
      <c r="G38" s="75"/>
      <c r="H38" s="75"/>
      <c r="I38" s="75"/>
      <c r="J38" s="75"/>
      <c r="K38" s="75"/>
      <c r="L38" s="75"/>
      <c r="M38" s="75"/>
      <c r="N38" s="75"/>
      <c r="O38" s="75"/>
      <c r="P38" s="75"/>
    </row>
    <row r="39" customFormat="false" ht="12.75" hidden="false" customHeight="false" outlineLevel="0" collapsed="false">
      <c r="A39" s="149" t="s">
        <v>121</v>
      </c>
      <c r="B39" s="75" t="n">
        <v>29</v>
      </c>
      <c r="C39" s="75" t="n">
        <v>59379.954</v>
      </c>
      <c r="D39" s="75" t="n">
        <v>33</v>
      </c>
      <c r="E39" s="75" t="n">
        <v>23310.969</v>
      </c>
      <c r="F39" s="75" t="n">
        <v>31</v>
      </c>
      <c r="G39" s="75" t="n">
        <v>213378.002</v>
      </c>
      <c r="H39" s="75" t="n">
        <v>53</v>
      </c>
      <c r="I39" s="75" t="n">
        <v>19114.955</v>
      </c>
      <c r="J39" s="75" t="s">
        <v>63</v>
      </c>
      <c r="K39" s="75"/>
      <c r="L39" s="75"/>
      <c r="M39" s="75"/>
      <c r="N39" s="75"/>
      <c r="O39" s="75"/>
      <c r="P39" s="75"/>
    </row>
    <row r="40" customFormat="false" ht="12.75" hidden="false" customHeight="false" outlineLevel="0" collapsed="false">
      <c r="A40" s="149" t="s">
        <v>27</v>
      </c>
      <c r="B40" s="75" t="n">
        <v>0</v>
      </c>
      <c r="C40" s="75" t="n">
        <v>0</v>
      </c>
      <c r="D40" s="75" t="n">
        <v>0</v>
      </c>
      <c r="E40" s="75" t="n">
        <v>0</v>
      </c>
      <c r="F40" s="75" t="n">
        <v>0</v>
      </c>
      <c r="G40" s="75" t="n">
        <v>0</v>
      </c>
      <c r="H40" s="75" t="n">
        <v>0</v>
      </c>
      <c r="I40" s="75" t="n">
        <v>0</v>
      </c>
      <c r="J40" s="75" t="s">
        <v>63</v>
      </c>
      <c r="K40" s="75"/>
      <c r="L40" s="75"/>
      <c r="M40" s="75"/>
      <c r="N40" s="75"/>
      <c r="O40" s="75"/>
      <c r="P40" s="75"/>
    </row>
    <row r="41" customFormat="false" ht="12.75" hidden="false" customHeight="false" outlineLevel="0" collapsed="false">
      <c r="A41" s="149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customFormat="false" ht="12.75" hidden="false" customHeight="false" outlineLevel="0" collapsed="false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customFormat="false" ht="12.75" hidden="false" customHeight="false" outlineLevel="0" collapsed="false"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</row>
    <row r="44" customFormat="false" ht="23.25" hidden="false" customHeight="false" outlineLevel="0" collapsed="false">
      <c r="A44" s="141" t="s">
        <v>123</v>
      </c>
    </row>
    <row r="45" customFormat="false" ht="12.75" hidden="false" customHeight="false" outlineLevel="0" collapsed="false">
      <c r="B45" s="142" t="s">
        <v>141</v>
      </c>
      <c r="C45" s="142"/>
      <c r="D45" s="142" t="s">
        <v>142</v>
      </c>
      <c r="E45" s="142"/>
      <c r="F45" s="142" t="s">
        <v>143</v>
      </c>
      <c r="G45" s="142"/>
      <c r="H45" s="142" t="s">
        <v>144</v>
      </c>
      <c r="I45" s="142"/>
      <c r="J45" s="143" t="s">
        <v>117</v>
      </c>
    </row>
    <row r="46" customFormat="false" ht="12.75" hidden="false" customHeight="false" outlineLevel="0" collapsed="false">
      <c r="A46" s="144" t="s">
        <v>118</v>
      </c>
      <c r="B46" s="145" t="s">
        <v>1</v>
      </c>
      <c r="C46" s="145" t="s">
        <v>119</v>
      </c>
      <c r="D46" s="145" t="s">
        <v>1</v>
      </c>
      <c r="E46" s="145" t="s">
        <v>119</v>
      </c>
      <c r="F46" s="145" t="s">
        <v>1</v>
      </c>
      <c r="G46" s="145" t="s">
        <v>119</v>
      </c>
      <c r="H46" s="145" t="s">
        <v>1</v>
      </c>
      <c r="I46" s="145" t="s">
        <v>119</v>
      </c>
      <c r="J46" s="146" t="s">
        <v>80</v>
      </c>
    </row>
    <row r="48" customFormat="false" ht="12.75" hidden="false" customHeight="false" outlineLevel="0" collapsed="false">
      <c r="A48" s="147" t="s">
        <v>26</v>
      </c>
      <c r="B48" s="34"/>
      <c r="C48" s="34"/>
      <c r="D48" s="34"/>
      <c r="E48" s="34"/>
      <c r="F48" s="34"/>
      <c r="G48" s="34"/>
      <c r="H48" s="34"/>
      <c r="I48" s="34"/>
    </row>
    <row r="49" customFormat="false" ht="12.75" hidden="false" customHeight="false" outlineLevel="0" collapsed="false">
      <c r="A49" s="149" t="s">
        <v>25</v>
      </c>
      <c r="B49" s="34" t="n">
        <v>4</v>
      </c>
      <c r="C49" s="34" t="n">
        <v>247000</v>
      </c>
      <c r="D49" s="34" t="n">
        <v>9</v>
      </c>
      <c r="E49" s="34" t="n">
        <v>492000</v>
      </c>
      <c r="F49" s="34" t="n">
        <v>4</v>
      </c>
      <c r="G49" s="34" t="n">
        <v>88000</v>
      </c>
      <c r="H49" s="34" t="n">
        <v>2</v>
      </c>
      <c r="I49" s="34" t="n">
        <v>220000</v>
      </c>
      <c r="J49" s="0" t="s">
        <v>124</v>
      </c>
    </row>
    <row r="50" customFormat="false" ht="12.75" hidden="false" customHeight="false" outlineLevel="0" collapsed="false">
      <c r="A50" s="149" t="s">
        <v>23</v>
      </c>
      <c r="B50" s="34" t="n">
        <v>0</v>
      </c>
      <c r="C50" s="34" t="n">
        <v>0</v>
      </c>
      <c r="D50" s="34" t="n">
        <v>0</v>
      </c>
      <c r="E50" s="34" t="n">
        <v>0</v>
      </c>
      <c r="F50" s="34" t="n">
        <v>0</v>
      </c>
      <c r="G50" s="34" t="n">
        <v>0</v>
      </c>
      <c r="H50" s="34" t="n">
        <v>0</v>
      </c>
      <c r="I50" s="34" t="n">
        <v>0</v>
      </c>
    </row>
    <row r="51" customFormat="false" ht="12.75" hidden="false" customHeight="false" outlineLevel="0" collapsed="false">
      <c r="A51" s="149" t="s">
        <v>114</v>
      </c>
      <c r="B51" s="34" t="n">
        <v>4</v>
      </c>
      <c r="C51" s="34" t="n">
        <v>910</v>
      </c>
      <c r="D51" s="34" t="n">
        <v>4</v>
      </c>
      <c r="E51" s="34" t="n">
        <v>12450</v>
      </c>
      <c r="F51" s="34" t="n">
        <v>1</v>
      </c>
      <c r="G51" s="34" t="n">
        <v>20</v>
      </c>
      <c r="H51" s="34" t="n">
        <v>0</v>
      </c>
      <c r="I51" s="34" t="n">
        <v>0</v>
      </c>
      <c r="J51" s="0" t="s">
        <v>125</v>
      </c>
    </row>
    <row r="53" customFormat="false" ht="12.75" hidden="false" customHeight="false" outlineLevel="0" collapsed="false">
      <c r="A53" s="82" t="s">
        <v>126</v>
      </c>
      <c r="B53" s="82" t="n">
        <v>1</v>
      </c>
      <c r="C53" s="82"/>
      <c r="D53" s="82" t="n">
        <v>1</v>
      </c>
      <c r="E53" s="82"/>
      <c r="F53" s="82" t="n">
        <v>0</v>
      </c>
      <c r="G53" s="82"/>
      <c r="H53" s="82" t="n">
        <v>0</v>
      </c>
    </row>
    <row r="55" customFormat="false" ht="12.75" hidden="false" customHeight="false" outlineLevel="0" collapsed="false">
      <c r="A55" s="78" t="s">
        <v>127</v>
      </c>
      <c r="C55" s="159" t="n">
        <f aca="false">C49*0.0022374</f>
        <v>552.6378</v>
      </c>
      <c r="E55" s="159" t="n">
        <f aca="false">E49*0.0022374</f>
        <v>1100.8008</v>
      </c>
      <c r="G55" s="159" t="n">
        <f aca="false">G49*0.0022374</f>
        <v>196.8912</v>
      </c>
      <c r="I55" s="159" t="n">
        <f aca="false">I49*0.0022374</f>
        <v>492.228</v>
      </c>
    </row>
    <row r="58" customFormat="false" ht="12.75" hidden="false" customHeight="false" outlineLevel="0" collapsed="false">
      <c r="A58" s="147" t="s">
        <v>128</v>
      </c>
      <c r="B58" s="82"/>
      <c r="C58" s="160" t="n">
        <f aca="false">C55+C51+C40+C39+C17+C16</f>
        <v>60842.5918</v>
      </c>
      <c r="D58" s="82"/>
      <c r="E58" s="160" t="n">
        <f aca="false">E55+E51+E40+E39+E17+E16</f>
        <v>36861.7698</v>
      </c>
      <c r="F58" s="82"/>
      <c r="G58" s="160" t="n">
        <f aca="false">G55+G51+G40+G39+G17+G16</f>
        <v>213594.8932</v>
      </c>
      <c r="H58" s="82"/>
      <c r="I58" s="160" t="n">
        <f aca="false">I55+I51+I40+I39+I17+I16</f>
        <v>19607.183</v>
      </c>
      <c r="J58" s="82"/>
      <c r="K58" s="82"/>
      <c r="L58" s="82"/>
    </row>
    <row r="61" customFormat="false" ht="23.25" hidden="false" customHeight="false" outlineLevel="0" collapsed="false">
      <c r="A61" s="141" t="s">
        <v>107</v>
      </c>
      <c r="H61" s="162"/>
      <c r="I61" s="162"/>
    </row>
    <row r="62" customFormat="false" ht="12.75" hidden="false" customHeight="false" outlineLevel="0" collapsed="false">
      <c r="B62" s="142" t="s">
        <v>141</v>
      </c>
      <c r="C62" s="142"/>
      <c r="D62" s="142" t="s">
        <v>142</v>
      </c>
      <c r="E62" s="142"/>
      <c r="F62" s="142" t="s">
        <v>143</v>
      </c>
      <c r="G62" s="142"/>
      <c r="H62" s="179" t="s">
        <v>144</v>
      </c>
      <c r="I62" s="179"/>
      <c r="J62" s="143" t="s">
        <v>117</v>
      </c>
    </row>
    <row r="63" customFormat="false" ht="12.75" hidden="false" customHeight="false" outlineLevel="0" collapsed="false">
      <c r="A63" s="144" t="s">
        <v>118</v>
      </c>
      <c r="B63" s="145" t="s">
        <v>1</v>
      </c>
      <c r="C63" s="145" t="s">
        <v>119</v>
      </c>
      <c r="D63" s="145" t="s">
        <v>1</v>
      </c>
      <c r="E63" s="145" t="s">
        <v>119</v>
      </c>
      <c r="F63" s="145" t="s">
        <v>1</v>
      </c>
      <c r="G63" s="145" t="s">
        <v>119</v>
      </c>
      <c r="H63" s="145" t="s">
        <v>1</v>
      </c>
      <c r="I63" s="145" t="s">
        <v>119</v>
      </c>
      <c r="J63" s="146" t="s">
        <v>80</v>
      </c>
    </row>
    <row r="64" customFormat="false" ht="12.75" hidden="false" customHeight="false" outlineLevel="0" collapsed="false">
      <c r="A64" s="82"/>
      <c r="B64" s="82"/>
      <c r="C64" s="82"/>
      <c r="D64" s="82"/>
      <c r="E64" s="82"/>
      <c r="F64" s="82"/>
      <c r="G64" s="82"/>
    </row>
    <row r="65" customFormat="false" ht="12.75" hidden="false" customHeight="false" outlineLevel="0" collapsed="false">
      <c r="A65" s="147" t="s">
        <v>10</v>
      </c>
      <c r="B65" s="148"/>
      <c r="C65" s="148"/>
      <c r="D65" s="148"/>
      <c r="E65" s="148"/>
      <c r="F65" s="148"/>
      <c r="G65" s="148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</row>
    <row r="66" customFormat="false" ht="12.75" hidden="false" customHeight="false" outlineLevel="0" collapsed="false">
      <c r="A66" s="149" t="s">
        <v>13</v>
      </c>
      <c r="B66" s="75" t="n">
        <f aca="false">B6+B29</f>
        <v>10153</v>
      </c>
      <c r="C66" s="75" t="n">
        <f aca="false">C6+C29</f>
        <v>1758331589</v>
      </c>
      <c r="D66" s="75" t="n">
        <f aca="false">D6+D29</f>
        <v>15464</v>
      </c>
      <c r="E66" s="75" t="n">
        <f aca="false">E6+E29</f>
        <v>3201106470</v>
      </c>
      <c r="F66" s="75" t="n">
        <f aca="false">F6+F29</f>
        <v>12754</v>
      </c>
      <c r="G66" s="75" t="n">
        <f aca="false">G6+G29</f>
        <v>1942345461</v>
      </c>
      <c r="H66" s="75" t="n">
        <f aca="false">H6+H29</f>
        <v>16623</v>
      </c>
      <c r="I66" s="75" t="n">
        <f aca="false">I6+I29</f>
        <v>4952206066</v>
      </c>
      <c r="J66" s="75" t="s">
        <v>57</v>
      </c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</row>
    <row r="67" customFormat="false" ht="12.75" hidden="false" customHeight="false" outlineLevel="0" collapsed="false">
      <c r="A67" s="149" t="s">
        <v>14</v>
      </c>
      <c r="B67" s="75" t="n">
        <f aca="false">B7+B30</f>
        <v>1730</v>
      </c>
      <c r="C67" s="75" t="n">
        <f aca="false">C7+C30</f>
        <v>16046241</v>
      </c>
      <c r="D67" s="75" t="n">
        <f aca="false">D7+D30</f>
        <v>3436</v>
      </c>
      <c r="E67" s="75" t="n">
        <f aca="false">E7+E30</f>
        <v>52662791</v>
      </c>
      <c r="F67" s="75" t="n">
        <f aca="false">F7+F30</f>
        <v>3781</v>
      </c>
      <c r="G67" s="75" t="n">
        <f aca="false">G7+G30</f>
        <v>48150655</v>
      </c>
      <c r="H67" s="75" t="n">
        <f aca="false">H7+H30</f>
        <v>3695</v>
      </c>
      <c r="I67" s="75" t="n">
        <f aca="false">I7+I30</f>
        <v>37589241</v>
      </c>
      <c r="J67" s="75" t="s">
        <v>58</v>
      </c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</row>
    <row r="68" customFormat="false" ht="12.75" hidden="false" customHeight="false" outlineLevel="0" collapsed="false">
      <c r="A68" s="147" t="s">
        <v>16</v>
      </c>
      <c r="B68" s="75" t="n">
        <f aca="false">B8+B31</f>
        <v>0</v>
      </c>
      <c r="C68" s="75" t="n">
        <f aca="false">C8+C31</f>
        <v>0</v>
      </c>
      <c r="D68" s="75" t="n">
        <f aca="false">D8+D31</f>
        <v>0</v>
      </c>
      <c r="E68" s="75" t="n">
        <f aca="false">E8+E31</f>
        <v>0</v>
      </c>
      <c r="F68" s="75" t="n">
        <f aca="false">F8+F31</f>
        <v>0</v>
      </c>
      <c r="G68" s="75" t="n">
        <f aca="false">G8+G31</f>
        <v>0</v>
      </c>
      <c r="H68" s="75" t="n">
        <f aca="false">H8+H31</f>
        <v>0</v>
      </c>
      <c r="I68" s="75" t="n">
        <f aca="false">I8+I31</f>
        <v>0</v>
      </c>
      <c r="J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</row>
    <row r="69" customFormat="false" ht="12.75" hidden="false" customHeight="false" outlineLevel="0" collapsed="false">
      <c r="A69" s="149" t="s">
        <v>17</v>
      </c>
      <c r="B69" s="75" t="n">
        <f aca="false">B9+B32</f>
        <v>1835</v>
      </c>
      <c r="C69" s="75" t="n">
        <f aca="false">C9+C32</f>
        <v>90430383</v>
      </c>
      <c r="D69" s="75" t="n">
        <f aca="false">D9+D32</f>
        <v>3258</v>
      </c>
      <c r="E69" s="75" t="n">
        <f aca="false">E9+E32</f>
        <v>172783348</v>
      </c>
      <c r="F69" s="75" t="n">
        <f aca="false">F9+F32</f>
        <v>2199</v>
      </c>
      <c r="G69" s="75" t="n">
        <f aca="false">G9+G32</f>
        <v>107852720</v>
      </c>
      <c r="H69" s="75" t="n">
        <f aca="false">H9+H32</f>
        <v>3063</v>
      </c>
      <c r="I69" s="75" t="n">
        <f aca="false">I9+I32</f>
        <v>150981588</v>
      </c>
      <c r="J69" s="75" t="s">
        <v>61</v>
      </c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</row>
    <row r="70" customFormat="false" ht="12.75" hidden="false" customHeight="false" outlineLevel="0" collapsed="false">
      <c r="A70" s="149" t="s">
        <v>19</v>
      </c>
      <c r="B70" s="75" t="n">
        <f aca="false">B10+B33</f>
        <v>33</v>
      </c>
      <c r="C70" s="75" t="n">
        <f aca="false">C10+C33</f>
        <v>1745341</v>
      </c>
      <c r="D70" s="75" t="n">
        <f aca="false">D10+D33</f>
        <v>71</v>
      </c>
      <c r="E70" s="75" t="n">
        <f aca="false">E10+E33</f>
        <v>2854306</v>
      </c>
      <c r="F70" s="75" t="n">
        <f aca="false">F10+F33</f>
        <v>55</v>
      </c>
      <c r="G70" s="75" t="n">
        <f aca="false">G10+G33</f>
        <v>3053119.09</v>
      </c>
      <c r="H70" s="75" t="n">
        <f aca="false">H10+H33</f>
        <v>36</v>
      </c>
      <c r="I70" s="75" t="n">
        <f aca="false">I10+I33</f>
        <v>1974010</v>
      </c>
      <c r="J70" s="75" t="s">
        <v>63</v>
      </c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</row>
    <row r="71" customFormat="false" ht="12.75" hidden="false" customHeight="false" outlineLevel="0" collapsed="false">
      <c r="A71" s="149" t="s">
        <v>120</v>
      </c>
      <c r="B71" s="75" t="n">
        <f aca="false">B11+B34</f>
        <v>19</v>
      </c>
      <c r="C71" s="75" t="n">
        <f aca="false">C11+C34</f>
        <v>1242373</v>
      </c>
      <c r="D71" s="75" t="n">
        <f aca="false">D11+D34</f>
        <v>12</v>
      </c>
      <c r="E71" s="75" t="n">
        <f aca="false">E11+E34</f>
        <v>534627</v>
      </c>
      <c r="F71" s="75" t="n">
        <f aca="false">F11+F34</f>
        <v>29</v>
      </c>
      <c r="G71" s="75" t="n">
        <f aca="false">G11+G34</f>
        <v>1631000</v>
      </c>
      <c r="H71" s="75" t="n">
        <f aca="false">H11+H34</f>
        <v>39</v>
      </c>
      <c r="I71" s="75" t="n">
        <f aca="false">I11+I34</f>
        <v>1990000</v>
      </c>
      <c r="J71" s="75" t="s">
        <v>63</v>
      </c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</row>
    <row r="72" customFormat="false" ht="12.75" hidden="false" customHeight="false" outlineLevel="0" collapsed="false">
      <c r="A72" s="149" t="s">
        <v>22</v>
      </c>
      <c r="B72" s="75" t="n">
        <f aca="false">B12+B35</f>
        <v>13</v>
      </c>
      <c r="C72" s="75" t="n">
        <f aca="false">C12+C35</f>
        <v>49250</v>
      </c>
      <c r="D72" s="75" t="n">
        <f aca="false">D12+D35</f>
        <v>27</v>
      </c>
      <c r="E72" s="75" t="n">
        <f aca="false">E12+E35</f>
        <v>45350</v>
      </c>
      <c r="F72" s="75" t="n">
        <f aca="false">F12+F35</f>
        <v>37</v>
      </c>
      <c r="G72" s="75" t="n">
        <f aca="false">G12+G35</f>
        <v>120900</v>
      </c>
      <c r="H72" s="75" t="n">
        <f aca="false">H12+H35</f>
        <v>36</v>
      </c>
      <c r="I72" s="75" t="n">
        <f aca="false">I12+I35</f>
        <v>115500</v>
      </c>
      <c r="J72" s="75" t="s">
        <v>65</v>
      </c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</row>
    <row r="73" customFormat="false" ht="12.75" hidden="false" customHeight="false" outlineLevel="0" collapsed="false">
      <c r="A73" s="149" t="s">
        <v>18</v>
      </c>
      <c r="B73" s="75" t="n">
        <f aca="false">B13+B36</f>
        <v>91</v>
      </c>
      <c r="C73" s="75" t="n">
        <f aca="false">C13+C36</f>
        <v>6275000</v>
      </c>
      <c r="D73" s="75" t="n">
        <f aca="false">D13+D36</f>
        <v>130</v>
      </c>
      <c r="E73" s="75" t="n">
        <f aca="false">E13+E36</f>
        <v>6398750</v>
      </c>
      <c r="F73" s="75" t="n">
        <f aca="false">F13+F36</f>
        <v>103</v>
      </c>
      <c r="G73" s="75" t="n">
        <f aca="false">G13+G36</f>
        <v>3718000</v>
      </c>
      <c r="H73" s="75" t="n">
        <f aca="false">H13+H36</f>
        <v>169</v>
      </c>
      <c r="I73" s="75" t="n">
        <f aca="false">I13+I36</f>
        <v>6618000</v>
      </c>
      <c r="J73" s="75" t="s">
        <v>66</v>
      </c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</row>
    <row r="74" customFormat="false" ht="12.75" hidden="false" customHeight="false" outlineLevel="0" collapsed="false">
      <c r="A74" s="149" t="s">
        <v>20</v>
      </c>
      <c r="B74" s="75" t="n">
        <f aca="false">B14+B37</f>
        <v>2</v>
      </c>
      <c r="C74" s="75" t="n">
        <f aca="false">C14+C37</f>
        <v>5000</v>
      </c>
      <c r="D74" s="75" t="n">
        <f aca="false">D14+D37</f>
        <v>2</v>
      </c>
      <c r="E74" s="75" t="n">
        <f aca="false">E14+E37</f>
        <v>5000</v>
      </c>
      <c r="F74" s="75" t="n">
        <f aca="false">F14+F37</f>
        <v>14</v>
      </c>
      <c r="G74" s="75" t="n">
        <f aca="false">G14+G37</f>
        <v>34100</v>
      </c>
      <c r="H74" s="75" t="n">
        <f aca="false">H14+H37</f>
        <v>13</v>
      </c>
      <c r="I74" s="75" t="n">
        <f aca="false">I14+I37</f>
        <v>107570</v>
      </c>
      <c r="J74" s="75" t="s">
        <v>68</v>
      </c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</row>
    <row r="75" customFormat="false" ht="12.75" hidden="false" customHeight="false" outlineLevel="0" collapsed="false">
      <c r="A75" s="147" t="s">
        <v>26</v>
      </c>
      <c r="B75" s="75" t="n">
        <f aca="false">B15+B38</f>
        <v>0</v>
      </c>
      <c r="C75" s="75" t="n">
        <f aca="false">C15+C38</f>
        <v>0</v>
      </c>
      <c r="D75" s="75" t="n">
        <f aca="false">D15+D38</f>
        <v>0</v>
      </c>
      <c r="E75" s="75" t="n">
        <f aca="false">E15+E38</f>
        <v>0</v>
      </c>
      <c r="F75" s="75" t="n">
        <f aca="false">F15+F38</f>
        <v>0</v>
      </c>
      <c r="G75" s="75" t="n">
        <f aca="false">G15+G38</f>
        <v>0</v>
      </c>
      <c r="H75" s="75" t="n">
        <f aca="false">H15+H38</f>
        <v>0</v>
      </c>
      <c r="I75" s="75" t="n">
        <f aca="false">I15+I38</f>
        <v>0</v>
      </c>
      <c r="J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</row>
    <row r="76" customFormat="false" ht="12.75" hidden="false" customHeight="false" outlineLevel="0" collapsed="false">
      <c r="A76" s="149" t="s">
        <v>121</v>
      </c>
      <c r="B76" s="75" t="n">
        <f aca="false">B16+B39</f>
        <v>29</v>
      </c>
      <c r="C76" s="75" t="n">
        <f aca="false">C16+C39</f>
        <v>59379.954</v>
      </c>
      <c r="D76" s="75" t="n">
        <f aca="false">D16+D39</f>
        <v>33</v>
      </c>
      <c r="E76" s="75" t="n">
        <f aca="false">E16+E39</f>
        <v>23310.969</v>
      </c>
      <c r="F76" s="75" t="n">
        <f aca="false">F16+F39</f>
        <v>31</v>
      </c>
      <c r="G76" s="75" t="n">
        <f aca="false">G16+G39</f>
        <v>213378.002</v>
      </c>
      <c r="H76" s="75" t="n">
        <f aca="false">H16+H39</f>
        <v>53</v>
      </c>
      <c r="I76" s="75" t="n">
        <f aca="false">I16+I39</f>
        <v>19114.955</v>
      </c>
      <c r="J76" s="75" t="s">
        <v>63</v>
      </c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</row>
    <row r="77" customFormat="false" ht="12.75" hidden="false" customHeight="false" outlineLevel="0" collapsed="false">
      <c r="A77" s="149" t="s">
        <v>27</v>
      </c>
      <c r="B77" s="75" t="n">
        <f aca="false">B17+B40</f>
        <v>0</v>
      </c>
      <c r="C77" s="75" t="n">
        <f aca="false">C17+C40</f>
        <v>0</v>
      </c>
      <c r="D77" s="75" t="n">
        <f aca="false">D17+D40</f>
        <v>0</v>
      </c>
      <c r="E77" s="75" t="n">
        <f aca="false">E17+E40</f>
        <v>0</v>
      </c>
      <c r="F77" s="75" t="n">
        <f aca="false">F17+F40</f>
        <v>0</v>
      </c>
      <c r="G77" s="75" t="n">
        <f aca="false">G17+G40</f>
        <v>0</v>
      </c>
      <c r="H77" s="75" t="n">
        <f aca="false">H17+H40</f>
        <v>0</v>
      </c>
      <c r="I77" s="75" t="n">
        <f aca="false">I17+I40</f>
        <v>0</v>
      </c>
      <c r="J77" s="75" t="s">
        <v>63</v>
      </c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</row>
    <row r="78" customFormat="false" ht="12.75" hidden="false" customHeight="false" outlineLevel="0" collapsed="false">
      <c r="B78" s="75"/>
      <c r="C78" s="75"/>
      <c r="D78" s="75"/>
      <c r="E78" s="75"/>
      <c r="F78" s="75"/>
      <c r="G78" s="75"/>
      <c r="H78" s="75"/>
      <c r="I78" s="75"/>
      <c r="J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82" t="s">
        <v>145</v>
      </c>
      <c r="C1" s="82" t="s">
        <v>146</v>
      </c>
      <c r="D1" s="82" t="s">
        <v>147</v>
      </c>
      <c r="E1" s="82" t="s">
        <v>29</v>
      </c>
      <c r="F1" s="82" t="s">
        <v>148</v>
      </c>
    </row>
    <row r="2" customFormat="false" ht="12.75" hidden="false" customHeight="false" outlineLevel="0" collapsed="false">
      <c r="A2" s="82" t="s">
        <v>109</v>
      </c>
    </row>
    <row r="3" customFormat="false" ht="12.75" hidden="false" customHeight="false" outlineLevel="0" collapsed="false">
      <c r="A3" s="180" t="s">
        <v>18</v>
      </c>
      <c r="B3" s="0" t="s">
        <v>149</v>
      </c>
      <c r="C3" s="0" t="s">
        <v>150</v>
      </c>
    </row>
    <row r="4" customFormat="false" ht="12.75" hidden="false" customHeight="false" outlineLevel="0" collapsed="false">
      <c r="A4" s="180" t="s">
        <v>110</v>
      </c>
      <c r="B4" s="0" t="s">
        <v>151</v>
      </c>
      <c r="D4" s="181" t="s">
        <v>152</v>
      </c>
    </row>
    <row r="5" customFormat="false" ht="12.75" hidden="false" customHeight="false" outlineLevel="0" collapsed="false">
      <c r="A5" s="180" t="s">
        <v>111</v>
      </c>
      <c r="B5" s="0" t="s">
        <v>153</v>
      </c>
      <c r="C5" s="0" t="s">
        <v>150</v>
      </c>
    </row>
    <row r="6" customFormat="false" ht="12.75" hidden="false" customHeight="false" outlineLevel="0" collapsed="false">
      <c r="A6" s="180" t="s">
        <v>112</v>
      </c>
      <c r="B6" s="0" t="s">
        <v>153</v>
      </c>
      <c r="C6" s="0" t="s">
        <v>150</v>
      </c>
    </row>
    <row r="7" customFormat="false" ht="12.75" hidden="false" customHeight="false" outlineLevel="0" collapsed="false">
      <c r="A7" s="180" t="s">
        <v>113</v>
      </c>
    </row>
    <row r="8" customFormat="false" ht="12.75" hidden="false" customHeight="false" outlineLevel="0" collapsed="false">
      <c r="A8" s="180" t="s">
        <v>154</v>
      </c>
      <c r="B8" s="0" t="s">
        <v>153</v>
      </c>
      <c r="C8" s="0" t="s">
        <v>150</v>
      </c>
    </row>
    <row r="9" customFormat="false" ht="12.75" hidden="false" customHeight="false" outlineLevel="0" collapsed="false">
      <c r="A9" s="180" t="s">
        <v>22</v>
      </c>
      <c r="B9" s="0" t="s">
        <v>155</v>
      </c>
      <c r="C9" s="0" t="s">
        <v>150</v>
      </c>
    </row>
    <row r="10" customFormat="false" ht="12" hidden="false" customHeight="true" outlineLevel="0" collapsed="false">
      <c r="A10" s="180" t="s">
        <v>17</v>
      </c>
      <c r="B10" s="0" t="s">
        <v>155</v>
      </c>
      <c r="C10" s="0" t="s">
        <v>150</v>
      </c>
    </row>
    <row r="11" customFormat="false" ht="12" hidden="false" customHeight="true" outlineLevel="0" collapsed="false">
      <c r="A11" s="180" t="s">
        <v>20</v>
      </c>
      <c r="B11" s="0" t="s">
        <v>155</v>
      </c>
      <c r="C11" s="0" t="s">
        <v>150</v>
      </c>
    </row>
    <row r="12" customFormat="false" ht="12.75" hidden="false" customHeight="false" outlineLevel="0" collapsed="false">
      <c r="A12" s="82" t="s">
        <v>115</v>
      </c>
    </row>
    <row r="13" customFormat="false" ht="12.75" hidden="false" customHeight="false" outlineLevel="0" collapsed="false">
      <c r="A13" s="180" t="s">
        <v>111</v>
      </c>
      <c r="B13" s="0" t="s">
        <v>156</v>
      </c>
      <c r="C13" s="0" t="s">
        <v>150</v>
      </c>
      <c r="D13" s="0" t="s">
        <v>157</v>
      </c>
    </row>
    <row r="14" customFormat="false" ht="12.75" hidden="false" customHeight="false" outlineLevel="0" collapsed="false">
      <c r="A14" s="180" t="s">
        <v>110</v>
      </c>
      <c r="B14" s="0" t="s">
        <v>151</v>
      </c>
      <c r="D14" s="181" t="s">
        <v>152</v>
      </c>
    </row>
    <row r="15" customFormat="false" ht="12.75" hidden="false" customHeight="false" outlineLevel="0" collapsed="false">
      <c r="A15" s="180" t="s">
        <v>112</v>
      </c>
      <c r="B15" s="0" t="s">
        <v>158</v>
      </c>
      <c r="C15" s="0" t="s">
        <v>150</v>
      </c>
    </row>
    <row r="16" customFormat="false" ht="12.75" hidden="false" customHeight="false" outlineLevel="0" collapsed="false">
      <c r="A16" s="180" t="s">
        <v>113</v>
      </c>
    </row>
    <row r="17" customFormat="false" ht="12.75" hidden="false" customHeight="false" outlineLevel="0" collapsed="false">
      <c r="A17" s="180" t="s">
        <v>154</v>
      </c>
      <c r="B17" s="0" t="s">
        <v>159</v>
      </c>
      <c r="C17" s="0" t="s">
        <v>150</v>
      </c>
    </row>
    <row r="18" customFormat="false" ht="12.75" hidden="false" customHeight="false" outlineLevel="0" collapsed="false">
      <c r="A18" s="180" t="s">
        <v>17</v>
      </c>
      <c r="B18" s="0" t="s">
        <v>155</v>
      </c>
      <c r="C18" s="0" t="s">
        <v>150</v>
      </c>
    </row>
    <row r="19" customFormat="false" ht="12.75" hidden="false" customHeight="false" outlineLevel="0" collapsed="false">
      <c r="A19" s="180" t="s">
        <v>19</v>
      </c>
      <c r="B19" s="0" t="s">
        <v>155</v>
      </c>
      <c r="C19" s="0" t="s">
        <v>150</v>
      </c>
    </row>
    <row r="21" customFormat="false" ht="12.75" hidden="false" customHeight="false" outlineLevel="0" collapsed="false">
      <c r="A21" s="82" t="s">
        <v>160</v>
      </c>
      <c r="E21" s="0" t="s">
        <v>161</v>
      </c>
      <c r="F21" s="0" t="s">
        <v>162</v>
      </c>
    </row>
    <row r="44" customFormat="false" ht="12.75" hidden="false" customHeight="false" outlineLevel="0" collapsed="false">
      <c r="F44" s="0" t="s">
        <v>148</v>
      </c>
    </row>
    <row r="46" customFormat="false" ht="12.75" hidden="false" customHeight="false" outlineLevel="0" collapsed="false">
      <c r="F46" s="82" t="s">
        <v>13</v>
      </c>
      <c r="G46" s="82" t="n">
        <f aca="false">SUM(G47:G50)</f>
        <v>27</v>
      </c>
    </row>
    <row r="47" customFormat="false" ht="12.75" hidden="false" customHeight="false" outlineLevel="0" collapsed="false">
      <c r="F47" s="0" t="s">
        <v>38</v>
      </c>
      <c r="G47" s="0" t="n">
        <v>8</v>
      </c>
    </row>
    <row r="48" customFormat="false" ht="12.75" hidden="false" customHeight="false" outlineLevel="0" collapsed="false">
      <c r="F48" s="0" t="s">
        <v>40</v>
      </c>
      <c r="G48" s="0" t="n">
        <v>13</v>
      </c>
    </row>
    <row r="49" customFormat="false" ht="12.75" hidden="false" customHeight="false" outlineLevel="0" collapsed="false">
      <c r="F49" s="0" t="s">
        <v>42</v>
      </c>
      <c r="G49" s="0" t="n">
        <v>6</v>
      </c>
    </row>
    <row r="50" customFormat="false" ht="12.75" hidden="false" customHeight="false" outlineLevel="0" collapsed="false">
      <c r="F50" s="0" t="s">
        <v>44</v>
      </c>
      <c r="G50" s="0" t="n">
        <v>0</v>
      </c>
    </row>
    <row r="52" customFormat="false" ht="12.75" hidden="false" customHeight="false" outlineLevel="0" collapsed="false">
      <c r="F52" s="82" t="s">
        <v>14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38</v>
      </c>
      <c r="G53" s="0" t="n">
        <v>3</v>
      </c>
    </row>
    <row r="54" customFormat="false" ht="12.75" hidden="false" customHeight="false" outlineLevel="0" collapsed="false">
      <c r="F54" s="0" t="s">
        <v>40</v>
      </c>
      <c r="G54" s="0" t="n">
        <v>2</v>
      </c>
    </row>
    <row r="55" customFormat="false" ht="12.75" hidden="false" customHeight="false" outlineLevel="0" collapsed="false">
      <c r="F55" s="0" t="s">
        <v>42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7"/>
  <sheetViews>
    <sheetView showFormulas="false" showGridLines="true" showRowColHeaders="true" showZeros="true" rightToLeft="false" tabSelected="false" showOutlineSymbols="true" defaultGridColor="true" view="normal" topLeftCell="E14" colorId="64" zoomScale="100" zoomScaleNormal="100" zoomScalePageLayoutView="100" workbookViewId="0">
      <selection pane="topLeft" activeCell="N39" activeCellId="0" sqref="N39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2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6" min="6" style="0" width="14.41"/>
    <col collapsed="false" customWidth="true" hidden="false" outlineLevel="0" max="7" min="7" style="0" width="14.28"/>
    <col collapsed="false" customWidth="true" hidden="false" outlineLevel="0" max="8" min="8" style="0" width="10.85"/>
    <col collapsed="false" customWidth="true" hidden="false" outlineLevel="0" max="9" min="9" style="34" width="10.85"/>
    <col collapsed="false" customWidth="true" hidden="false" outlineLevel="0" max="12" min="10" style="0" width="9.7"/>
    <col collapsed="false" customWidth="true" hidden="false" outlineLevel="0" max="14" min="13" style="0" width="10.56"/>
    <col collapsed="false" customWidth="true" hidden="false" outlineLevel="0" max="15" min="15" style="0" width="3.28"/>
    <col collapsed="false" customWidth="true" hidden="false" outlineLevel="0" max="16" min="16" style="0" width="13.85"/>
  </cols>
  <sheetData>
    <row r="1" customFormat="false" ht="12.75" hidden="true" customHeight="false" outlineLevel="0" collapsed="false">
      <c r="A1" s="72" t="s">
        <v>1</v>
      </c>
      <c r="E1" s="0" t="s">
        <v>33</v>
      </c>
    </row>
    <row r="2" customFormat="false" ht="12.75" hidden="true" customHeight="false" outlineLevel="0" collapsed="false">
      <c r="A2" s="72" t="s">
        <v>34</v>
      </c>
      <c r="B2" s="0" t="n">
        <v>6500</v>
      </c>
      <c r="F2" s="0" t="s">
        <v>35</v>
      </c>
      <c r="G2" s="0" t="s">
        <v>36</v>
      </c>
      <c r="H2" s="0" t="s">
        <v>14</v>
      </c>
    </row>
    <row r="3" customFormat="false" ht="12.75" hidden="true" customHeight="false" outlineLevel="0" collapsed="false">
      <c r="A3" s="72" t="s">
        <v>37</v>
      </c>
      <c r="B3" s="0" t="n">
        <v>7500</v>
      </c>
      <c r="E3" s="0" t="s">
        <v>38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2" t="s">
        <v>39</v>
      </c>
      <c r="B4" s="0" t="n">
        <v>4000</v>
      </c>
      <c r="E4" s="0" t="s">
        <v>40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2" t="s">
        <v>41</v>
      </c>
      <c r="B5" s="0" t="n">
        <v>55</v>
      </c>
      <c r="E5" s="0" t="s">
        <v>42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2" t="s">
        <v>43</v>
      </c>
      <c r="B6" s="0" t="n">
        <v>3</v>
      </c>
      <c r="E6" s="0" t="s">
        <v>44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2" t="s">
        <v>45</v>
      </c>
      <c r="B7" s="0" t="n">
        <v>5</v>
      </c>
    </row>
    <row r="8" customFormat="false" ht="12.75" hidden="true" customHeight="false" outlineLevel="0" collapsed="false">
      <c r="A8" s="72" t="s">
        <v>46</v>
      </c>
      <c r="B8" s="0" t="n">
        <v>10</v>
      </c>
    </row>
    <row r="9" customFormat="false" ht="12.75" hidden="true" customHeight="false" outlineLevel="0" collapsed="false">
      <c r="A9" s="72" t="s">
        <v>47</v>
      </c>
      <c r="B9" s="0" t="n">
        <v>20</v>
      </c>
    </row>
    <row r="10" customFormat="false" ht="12.75" hidden="false" customHeight="false" outlineLevel="0" collapsed="false">
      <c r="E10" s="73" t="s">
        <v>1</v>
      </c>
    </row>
    <row r="11" customFormat="false" ht="15" hidden="false" customHeight="false" outlineLevel="0" collapsed="false">
      <c r="A11" s="72" t="s">
        <v>48</v>
      </c>
      <c r="B11" s="0" t="n">
        <v>50</v>
      </c>
      <c r="F11" s="74" t="s">
        <v>49</v>
      </c>
      <c r="G11" s="74" t="s">
        <v>50</v>
      </c>
      <c r="H11" s="74" t="s">
        <v>51</v>
      </c>
      <c r="I11" s="74" t="s">
        <v>52</v>
      </c>
      <c r="J11" s="74" t="s">
        <v>4</v>
      </c>
      <c r="K11" s="74" t="s">
        <v>53</v>
      </c>
      <c r="L11" s="74" t="s">
        <v>54</v>
      </c>
      <c r="M11" s="74" t="s">
        <v>55</v>
      </c>
      <c r="N11" s="74" t="s">
        <v>56</v>
      </c>
    </row>
    <row r="12" customFormat="false" ht="12.75" hidden="false" customHeight="false" outlineLevel="0" collapsed="false">
      <c r="A12" s="72" t="s">
        <v>18</v>
      </c>
      <c r="B12" s="0" t="n">
        <v>175</v>
      </c>
      <c r="E12" s="0" t="s">
        <v>13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34" t="n">
        <f aca="false">+'template from individuals'!H37+'template from individuals'!I37</f>
        <v>16623</v>
      </c>
      <c r="J12" s="75" t="n">
        <f aca="false">+'WE 2-1 EOL Data'!B6+'WE 2-1 EOL Data'!B29</f>
        <v>19791</v>
      </c>
      <c r="K12" s="75" t="n">
        <f aca="false">+'WE 2-8 EOL Data'!B6+'WE 2-8 EOL Data'!B29</f>
        <v>18521</v>
      </c>
      <c r="L12" s="75" t="n">
        <f aca="false">+'WE 2-15 EOL Data'!$B6+'WE 2-15 EOL Data'!$B29</f>
        <v>17223</v>
      </c>
      <c r="M12" s="75" t="n">
        <f aca="false">+'WE 2-22 EOL Data'!$B6+'WE 2-22 EOL Data'!$B29</f>
        <v>12660</v>
      </c>
      <c r="N12" s="75" t="n">
        <f aca="false">+'WE 2-28 EOL Data'!B6+'WE 2-28 EOL Data'!B29</f>
        <v>15072</v>
      </c>
      <c r="P12" s="76" t="s">
        <v>57</v>
      </c>
    </row>
    <row r="13" customFormat="false" ht="12.75" hidden="false" customHeight="false" outlineLevel="0" collapsed="false">
      <c r="A13" s="72" t="s">
        <v>22</v>
      </c>
      <c r="B13" s="0" t="n">
        <v>2</v>
      </c>
      <c r="E13" s="0" t="s">
        <v>14</v>
      </c>
      <c r="F13" s="0" t="n">
        <f aca="false">+'template from individuals'!B38+'template from individuals'!C38</f>
        <v>1730</v>
      </c>
      <c r="G13" s="0" t="n">
        <f aca="false">+'template from individuals'!D38+'template from individuals'!E38</f>
        <v>3436</v>
      </c>
      <c r="H13" s="0" t="n">
        <f aca="false">+'template from individuals'!F38+'template from individuals'!G38</f>
        <v>3781</v>
      </c>
      <c r="I13" s="34" t="n">
        <f aca="false">+'template from individuals'!H38+'template from individuals'!I38</f>
        <v>3695</v>
      </c>
      <c r="J13" s="75" t="n">
        <f aca="false">+'WE 2-1 EOL Data'!B7+'WE 2-1 EOL Data'!B30</f>
        <v>4599</v>
      </c>
      <c r="K13" s="75" t="n">
        <f aca="false">+'WE 2-8 EOL Data'!B7+'WE 2-8 EOL Data'!B30</f>
        <v>4631</v>
      </c>
      <c r="L13" s="75" t="n">
        <f aca="false">+'WE 2-15 EOL Data'!$B7+'WE 2-15 EOL Data'!$B30</f>
        <v>4587</v>
      </c>
      <c r="M13" s="75" t="n">
        <f aca="false">+'WE 2-22 EOL Data'!$B7+'WE 2-22 EOL Data'!$B30</f>
        <v>3656</v>
      </c>
      <c r="N13" s="75" t="n">
        <f aca="false">+'WE 2-28 EOL Data'!B7+'WE 2-28 EOL Data'!B30</f>
        <v>3771</v>
      </c>
      <c r="P13" s="76" t="s">
        <v>58</v>
      </c>
    </row>
    <row r="14" customFormat="false" ht="15" hidden="false" customHeight="false" outlineLevel="0" collapsed="false">
      <c r="A14" s="72" t="s">
        <v>59</v>
      </c>
      <c r="B14" s="0" t="n">
        <v>20</v>
      </c>
      <c r="F14" s="74" t="s">
        <v>49</v>
      </c>
      <c r="G14" s="74" t="s">
        <v>50</v>
      </c>
      <c r="H14" s="74" t="s">
        <v>51</v>
      </c>
      <c r="I14" s="74" t="s">
        <v>52</v>
      </c>
      <c r="J14" s="74" t="s">
        <v>4</v>
      </c>
      <c r="K14" s="74" t="str">
        <f aca="false">+K11</f>
        <v>2/2 - 2/8</v>
      </c>
      <c r="L14" s="74" t="str">
        <f aca="false">+L11</f>
        <v>2/9 - 2/15</v>
      </c>
      <c r="M14" s="74" t="str">
        <f aca="false">+M11</f>
        <v>2/16 - 2/22</v>
      </c>
      <c r="N14" s="74" t="str">
        <f aca="false">+N11</f>
        <v>2/23 - 2/28</v>
      </c>
      <c r="P14" s="77"/>
    </row>
    <row r="15" customFormat="false" ht="12.75" hidden="false" customHeight="false" outlineLevel="0" collapsed="false">
      <c r="A15" s="72" t="s">
        <v>60</v>
      </c>
      <c r="B15" s="0" t="n">
        <v>30</v>
      </c>
      <c r="E15" s="0" t="s">
        <v>18</v>
      </c>
      <c r="F15" s="0" t="n">
        <f aca="false">+'template from individuals'!B45+'template from individuals'!C45</f>
        <v>91</v>
      </c>
      <c r="G15" s="0" t="n">
        <f aca="false">+'template from individuals'!D45+'template from individuals'!E45</f>
        <v>130</v>
      </c>
      <c r="H15" s="0" t="n">
        <f aca="false">+'template from individuals'!F45+'template from individuals'!G45</f>
        <v>103</v>
      </c>
      <c r="I15" s="34" t="n">
        <f aca="false">+'template from individuals'!H45+'template from individuals'!I45</f>
        <v>169</v>
      </c>
      <c r="J15" s="75" t="n">
        <f aca="false">+'WE 2-1 EOL Data'!B13+'WE 2-1 EOL Data'!B36</f>
        <v>145</v>
      </c>
      <c r="K15" s="75" t="n">
        <f aca="false">+'WE 2-8 EOL Data'!B13+'WE 2-8 EOL Data'!B36</f>
        <v>153</v>
      </c>
      <c r="L15" s="75" t="n">
        <f aca="false">+'WE 2-15 EOL Data'!$B13+'WE 2-15 EOL Data'!$B36</f>
        <v>122</v>
      </c>
      <c r="M15" s="75" t="n">
        <f aca="false">+'WE 2-22 EOL Data'!$B13+'WE 2-22 EOL Data'!$B36</f>
        <v>142</v>
      </c>
      <c r="N15" s="75" t="n">
        <f aca="false">+'WE 2-28 EOL Data'!B13+'WE 2-28 EOL Data'!B36</f>
        <v>102</v>
      </c>
      <c r="P15" s="76" t="s">
        <v>61</v>
      </c>
    </row>
    <row r="16" customFormat="false" ht="12.75" hidden="false" customHeight="false" outlineLevel="0" collapsed="false">
      <c r="A16" s="72" t="s">
        <v>62</v>
      </c>
      <c r="B16" s="0" t="n">
        <v>1</v>
      </c>
      <c r="E16" s="0" t="s">
        <v>17</v>
      </c>
      <c r="F16" s="0" t="n">
        <f aca="false">+'template from individuals'!B47+'template from individuals'!C47</f>
        <v>1835</v>
      </c>
      <c r="G16" s="0" t="n">
        <f aca="false">+'template from individuals'!D47+'template from individuals'!E47</f>
        <v>3258</v>
      </c>
      <c r="H16" s="0" t="n">
        <f aca="false">+'template from individuals'!F47+'template from individuals'!G47</f>
        <v>2199</v>
      </c>
      <c r="I16" s="34" t="n">
        <f aca="false">+'template from individuals'!H47+'template from individuals'!I47</f>
        <v>3063</v>
      </c>
      <c r="J16" s="75" t="n">
        <f aca="false">+'WE 2-1 EOL Data'!B9+'WE 2-1 EOL Data'!B32</f>
        <v>3322</v>
      </c>
      <c r="K16" s="75" t="n">
        <f aca="false">+'WE 2-8 EOL Data'!B9+'WE 2-8 EOL Data'!B32</f>
        <v>3375</v>
      </c>
      <c r="L16" s="75" t="n">
        <f aca="false">+'WE 2-15 EOL Data'!$B9+'WE 2-15 EOL Data'!$B32</f>
        <v>3353</v>
      </c>
      <c r="M16" s="75" t="n">
        <f aca="false">+'WE 2-22 EOL Data'!$B9+'WE 2-22 EOL Data'!$B32</f>
        <v>3135</v>
      </c>
      <c r="N16" s="75" t="n">
        <f aca="false">+'WE 2-28 EOL Data'!B9+'WE 2-28 EOL Data'!B32</f>
        <v>2593</v>
      </c>
      <c r="P16" s="76" t="s">
        <v>63</v>
      </c>
    </row>
    <row r="17" customFormat="false" ht="12.75" hidden="false" customHeight="false" outlineLevel="0" collapsed="false">
      <c r="A17" s="72" t="s">
        <v>64</v>
      </c>
      <c r="B17" s="0" t="n">
        <v>3</v>
      </c>
      <c r="E17" s="0" t="s">
        <v>19</v>
      </c>
      <c r="F17" s="0" t="n">
        <f aca="false">+'template from individuals'!B49+'template from individuals'!C49</f>
        <v>52</v>
      </c>
      <c r="G17" s="0" t="n">
        <f aca="false">+'template from individuals'!D49+'template from individuals'!E49</f>
        <v>83</v>
      </c>
      <c r="H17" s="0" t="n">
        <f aca="false">+'template from individuals'!F49+'template from individuals'!G49</f>
        <v>84</v>
      </c>
      <c r="I17" s="34" t="n">
        <f aca="false">+'template from individuals'!H49+'template from individuals'!I49</f>
        <v>75</v>
      </c>
      <c r="J17" s="75" t="n">
        <f aca="false">+'WE 2-1 EOL Data'!B10+'WE 2-1 EOL Data'!B11+'WE 2-1 EOL Data'!B33+'WE 2-1 EOL Data'!B34</f>
        <v>83</v>
      </c>
      <c r="K17" s="75" t="n">
        <f aca="false">+'WE 2-8 EOL Data'!B10+'WE 2-8 EOL Data'!B33+'WE 2-8 EOL Data'!B11+'WE 2-8 EOL Data'!B34</f>
        <v>52</v>
      </c>
      <c r="L17" s="75" t="n">
        <f aca="false">+'WE 2-15 EOL Data'!$B10+'WE 2-15 EOL Data'!$B11+'WE 2-15 EOL Data'!$B33+'WE 2-15 EOL Data'!$B34</f>
        <v>58</v>
      </c>
      <c r="M17" s="75" t="n">
        <f aca="false">+'WE 2-22 EOL Data'!$B10+'WE 2-22 EOL Data'!$B11+'WE 2-22 EOL Data'!$B33+'WE 2-22 EOL Data'!$B34</f>
        <v>28</v>
      </c>
      <c r="N17" s="75" t="n">
        <f aca="false">+'WE 2-28 EOL Data'!B10+'WE 2-28 EOL Data'!B33+'WE 2-28 EOL Data'!B11+'WE 2-28 EOL Data'!B34</f>
        <v>12</v>
      </c>
      <c r="P17" s="76" t="s">
        <v>65</v>
      </c>
    </row>
    <row r="18" customFormat="false" ht="12.75" hidden="false" customHeight="false" outlineLevel="0" collapsed="false">
      <c r="A18" s="72" t="s">
        <v>19</v>
      </c>
      <c r="B18" s="0" t="n">
        <v>2</v>
      </c>
      <c r="E18" s="0" t="s">
        <v>22</v>
      </c>
      <c r="F18" s="0" t="n">
        <f aca="false">+'template from individuals'!B46+'template from individuals'!C46</f>
        <v>13</v>
      </c>
      <c r="G18" s="0" t="n">
        <f aca="false">+'template from individuals'!D46+'template from individuals'!E46</f>
        <v>27</v>
      </c>
      <c r="H18" s="0" t="n">
        <f aca="false">+'template from individuals'!F46+'template from individuals'!G46</f>
        <v>37</v>
      </c>
      <c r="I18" s="34" t="n">
        <f aca="false">+'template from individuals'!H46+'template from individuals'!I46</f>
        <v>36</v>
      </c>
      <c r="J18" s="75" t="n">
        <f aca="false">+'WE 2-1 EOL Data'!B12+'WE 2-1 EOL Data'!B35</f>
        <v>19</v>
      </c>
      <c r="K18" s="75" t="n">
        <f aca="false">+'WE 2-8 EOL Data'!B12+'WE 2-8 EOL Data'!B35</f>
        <v>24</v>
      </c>
      <c r="L18" s="75" t="n">
        <f aca="false">+'WE 2-15 EOL Data'!$B12+'WE 2-15 EOL Data'!$B35</f>
        <v>39</v>
      </c>
      <c r="M18" s="75" t="n">
        <f aca="false">+'WE 2-22 EOL Data'!$B12+'WE 2-22 EOL Data'!$B35</f>
        <v>24</v>
      </c>
      <c r="N18" s="75" t="n">
        <f aca="false">+'WE 2-28 EOL Data'!B12+'WE 2-28 EOL Data'!B35</f>
        <v>18</v>
      </c>
      <c r="P18" s="76" t="s">
        <v>66</v>
      </c>
    </row>
    <row r="19" customFormat="false" ht="12.75" hidden="false" customHeight="false" outlineLevel="0" collapsed="false">
      <c r="A19" s="72" t="s">
        <v>67</v>
      </c>
      <c r="B19" s="0" t="n">
        <v>65</v>
      </c>
      <c r="E19" s="0" t="s">
        <v>20</v>
      </c>
      <c r="F19" s="0" t="n">
        <f aca="false">+'template from individuals'!B48+'template from individuals'!C48</f>
        <v>2</v>
      </c>
      <c r="G19" s="0" t="n">
        <f aca="false">+'template from individuals'!D48+'template from individuals'!E48</f>
        <v>2</v>
      </c>
      <c r="H19" s="0" t="n">
        <f aca="false">+'template from individuals'!F48+'template from individuals'!G48</f>
        <v>14</v>
      </c>
      <c r="I19" s="34" t="n">
        <f aca="false">+'template from individuals'!H48+'template from individuals'!I48</f>
        <v>13</v>
      </c>
      <c r="J19" s="75" t="n">
        <f aca="false">+'WE 2-1 EOL Data'!B14+'WE 2-1 EOL Data'!B37</f>
        <v>14</v>
      </c>
      <c r="K19" s="75" t="n">
        <f aca="false">+'WE 2-8 EOL Data'!B14+'WE 2-8 EOL Data'!B37</f>
        <v>33</v>
      </c>
      <c r="L19" s="75" t="n">
        <f aca="false">+'WE 2-15 EOL Data'!$B14+'WE 2-15 EOL Data'!$B37</f>
        <v>20</v>
      </c>
      <c r="M19" s="75" t="n">
        <f aca="false">+'WE 2-22 EOL Data'!$B14+'WE 2-22 EOL Data'!$B37</f>
        <v>6</v>
      </c>
      <c r="N19" s="75" t="n">
        <f aca="false">+'WE 2-28 EOL Data'!B14+'WE 2-28 EOL Data'!B37</f>
        <v>3</v>
      </c>
      <c r="P19" s="76" t="s">
        <v>68</v>
      </c>
    </row>
    <row r="20" customFormat="false" ht="15" hidden="false" customHeight="false" outlineLevel="0" collapsed="false">
      <c r="A20" s="72" t="s">
        <v>20</v>
      </c>
      <c r="B20" s="0" t="n">
        <v>10</v>
      </c>
      <c r="F20" s="74" t="s">
        <v>49</v>
      </c>
      <c r="G20" s="74" t="s">
        <v>50</v>
      </c>
      <c r="H20" s="74" t="s">
        <v>51</v>
      </c>
      <c r="I20" s="74" t="s">
        <v>52</v>
      </c>
      <c r="J20" s="74" t="s">
        <v>4</v>
      </c>
      <c r="K20" s="74" t="str">
        <f aca="false">+K14</f>
        <v>2/2 - 2/8</v>
      </c>
      <c r="L20" s="74" t="str">
        <f aca="false">+L14</f>
        <v>2/9 - 2/15</v>
      </c>
      <c r="M20" s="74" t="str">
        <f aca="false">+M14</f>
        <v>2/16 - 2/22</v>
      </c>
      <c r="N20" s="74" t="str">
        <f aca="false">+N14</f>
        <v>2/23 - 2/28</v>
      </c>
      <c r="P20" s="77"/>
    </row>
    <row r="21" customFormat="false" ht="12.75" hidden="false" customHeight="false" outlineLevel="0" collapsed="false">
      <c r="E21" s="0" t="s">
        <v>23</v>
      </c>
      <c r="F21" s="0" t="n">
        <f aca="false">+'template from individuals'!B56+'template from individuals'!C56</f>
        <v>5</v>
      </c>
      <c r="G21" s="0" t="n">
        <f aca="false">+'template from individuals'!D56+'template from individuals'!E56</f>
        <v>17</v>
      </c>
      <c r="H21" s="0" t="n">
        <f aca="false">+'template from individuals'!F56+'template from individuals'!G56</f>
        <v>9</v>
      </c>
      <c r="I21" s="34" t="n">
        <f aca="false">+'template from individuals'!H56+'template from individuals'!I56</f>
        <v>24</v>
      </c>
      <c r="J21" s="75" t="n">
        <f aca="false">+'EIM New Deals'!J12+'EIM New Deals'!K12+'EIM New Deals'!J28+'EIM New Deals'!K28</f>
        <v>4</v>
      </c>
      <c r="K21" s="75" t="n">
        <f aca="false">+'EIM New Deals'!L12+'EIM New Deals'!M12+'EIM New Deals'!L28+'EIM New Deals'!M28</f>
        <v>12</v>
      </c>
      <c r="L21" s="75" t="n">
        <f aca="false">+'EIM New Deals'!N$12+'EIM New Deals'!O$12+'EIM New Deals'!N$28+'EIM New Deals'!O$28</f>
        <v>30</v>
      </c>
      <c r="M21" s="75" t="n">
        <f aca="false">+'EIM New Deals'!P$12+'EIM New Deals'!Q$12+'EIM New Deals'!P$28+'EIM New Deals'!Q$28</f>
        <v>17</v>
      </c>
      <c r="N21" s="75" t="n">
        <f aca="false">+'EIM New Deals'!S12+'EIM New Deals'!R12+'EIM New Deals'!R28+'EIM New Deals'!S28</f>
        <v>18</v>
      </c>
      <c r="P21" s="76" t="s">
        <v>63</v>
      </c>
    </row>
    <row r="22" customFormat="false" ht="12.75" hidden="false" customHeight="false" outlineLevel="0" collapsed="false">
      <c r="A22" s="72" t="s">
        <v>69</v>
      </c>
      <c r="B22" s="0" t="n">
        <v>0</v>
      </c>
      <c r="E22" s="0" t="s">
        <v>24</v>
      </c>
      <c r="F22" s="0" t="n">
        <f aca="false">+'template from individuals'!B57+'template from individuals'!C57</f>
        <v>6</v>
      </c>
      <c r="G22" s="0" t="n">
        <f aca="false">+'template from individuals'!D57+'template from individuals'!E57</f>
        <v>17</v>
      </c>
      <c r="H22" s="0" t="n">
        <f aca="false">+'template from individuals'!F57+'template from individuals'!G57</f>
        <v>24</v>
      </c>
      <c r="I22" s="34" t="n">
        <f aca="false">+'template from individuals'!H57+'template from individuals'!I57</f>
        <v>19</v>
      </c>
      <c r="J22" s="75" t="n">
        <f aca="false">+'EIM New Deals'!J13+'EIM New Deals'!K13+'EIM New Deals'!J29+'EIM New Deals'!K29</f>
        <v>29</v>
      </c>
      <c r="K22" s="75" t="n">
        <f aca="false">+'EIM New Deals'!L13+'EIM New Deals'!M13+'EIM New Deals'!L29+'EIM New Deals'!M29</f>
        <v>17</v>
      </c>
      <c r="L22" s="75" t="n">
        <f aca="false">+'EIM New Deals'!$N13+'EIM New Deals'!$O13+'EIM New Deals'!$N29+'EIM New Deals'!$O29</f>
        <v>15</v>
      </c>
      <c r="M22" s="75" t="n">
        <f aca="false">+'EIM New Deals'!P13+'EIM New Deals'!Q13+'EIM New Deals'!P29+'EIM New Deals'!Q29</f>
        <v>23</v>
      </c>
      <c r="N22" s="75" t="n">
        <f aca="false">+'EIM New Deals'!R13+'EIM New Deals'!S13+'EIM New Deals'!R29+'EIM New Deals'!S29</f>
        <v>57</v>
      </c>
      <c r="P22" s="76" t="s">
        <v>63</v>
      </c>
    </row>
    <row r="23" customFormat="false" ht="12.75" hidden="false" customHeight="false" outlineLevel="0" collapsed="false">
      <c r="A23" s="72" t="s">
        <v>70</v>
      </c>
      <c r="B23" s="0" t="n">
        <v>0</v>
      </c>
      <c r="E23" s="0" t="s">
        <v>25</v>
      </c>
      <c r="F23" s="0" t="n">
        <f aca="false">+'template from individuals'!B55+'template from individuals'!C55</f>
        <v>86</v>
      </c>
      <c r="G23" s="0" t="n">
        <f aca="false">+'template from individuals'!D55+'template from individuals'!E55</f>
        <v>126</v>
      </c>
      <c r="H23" s="0" t="n">
        <f aca="false">+'template from individuals'!F55+'template from individuals'!G55</f>
        <v>103</v>
      </c>
      <c r="I23" s="34" t="n">
        <f aca="false">+'template from individuals'!H55+'template from individuals'!I55</f>
        <v>124</v>
      </c>
      <c r="J23" s="75" t="n">
        <f aca="false">+'EIM New Deals'!J11+'EIM New Deals'!K11+'EIM New Deals'!J27+'EIM New Deals'!K27</f>
        <v>86</v>
      </c>
      <c r="K23" s="75" t="n">
        <f aca="false">+'EIM New Deals'!L11+'EIM New Deals'!M11+'EIM New Deals'!L27+'EIM New Deals'!M27</f>
        <v>69</v>
      </c>
      <c r="L23" s="75" t="n">
        <f aca="false">+'EIM New Deals'!$N11+'EIM New Deals'!$O11+'EIM New Deals'!$N27+'EIM New Deals'!$O27</f>
        <v>38</v>
      </c>
      <c r="M23" s="75" t="n">
        <f aca="false">+'EIM New Deals'!P11+'EIM New Deals'!Q11+'EIM New Deals'!P27+'EIM New Deals'!Q27</f>
        <v>41</v>
      </c>
      <c r="N23" s="75" t="n">
        <f aca="false">+'EIM New Deals'!R11+'EIM New Deals'!S11+'EIM New Deals'!R27+'EIM New Deals'!S27</f>
        <v>69</v>
      </c>
      <c r="P23" s="76" t="s">
        <v>63</v>
      </c>
    </row>
    <row r="24" customFormat="false" ht="12.75" hidden="false" customHeight="false" outlineLevel="0" collapsed="false">
      <c r="A24" s="72" t="s">
        <v>71</v>
      </c>
      <c r="B24" s="0" t="n">
        <v>0</v>
      </c>
      <c r="E24" s="0" t="s">
        <v>27</v>
      </c>
      <c r="F24" s="0" t="n">
        <f aca="false">+'template from individuals'!B58+'template from individuals'!C58</f>
        <v>0</v>
      </c>
      <c r="G24" s="0" t="n">
        <v>0</v>
      </c>
      <c r="H24" s="0" t="n">
        <v>0</v>
      </c>
      <c r="I24" s="34" t="n">
        <v>0</v>
      </c>
      <c r="J24" s="75" t="n">
        <f aca="false">+'EIM New Deals'!J14+'EIM New Deals'!K14+'EIM New Deals'!J30+'EIM New Deals'!K30</f>
        <v>1</v>
      </c>
      <c r="K24" s="75" t="n">
        <f aca="false">+'EIM New Deals'!L14+'EIM New Deals'!M14+'EIM New Deals'!L30+'EIM New Deals'!M30</f>
        <v>1</v>
      </c>
      <c r="L24" s="75" t="n">
        <f aca="false">+'EIM New Deals'!$N14+'EIM New Deals'!$O14+'EIM New Deals'!$N30+'EIM New Deals'!$O30</f>
        <v>2</v>
      </c>
      <c r="M24" s="75" t="n">
        <f aca="false">+'EIM New Deals'!P14+'EIM New Deals'!Q14+'EIM New Deals'!P30+'EIM New Deals'!Q30</f>
        <v>0</v>
      </c>
      <c r="N24" s="75" t="n">
        <f aca="false">+'EIM New Deals'!R14+'EIM New Deals'!S14+'EIM New Deals'!R30+'EIM New Deals'!S30</f>
        <v>1</v>
      </c>
      <c r="P24" s="76" t="s">
        <v>63</v>
      </c>
    </row>
    <row r="25" customFormat="false" ht="12.75" hidden="false" customHeight="false" outlineLevel="0" collapsed="false">
      <c r="A25" s="72" t="s">
        <v>72</v>
      </c>
      <c r="B25" s="0" t="n">
        <v>1</v>
      </c>
      <c r="P25" s="77"/>
    </row>
    <row r="26" customFormat="false" ht="12.75" hidden="false" customHeight="false" outlineLevel="0" collapsed="false">
      <c r="A26" s="72" t="s">
        <v>13</v>
      </c>
      <c r="B26" s="0" t="n">
        <v>1300</v>
      </c>
      <c r="E26" s="73" t="s">
        <v>73</v>
      </c>
      <c r="P26" s="77"/>
    </row>
    <row r="27" customFormat="false" ht="15" hidden="false" customHeight="false" outlineLevel="0" collapsed="false">
      <c r="A27" s="72" t="s">
        <v>14</v>
      </c>
      <c r="B27" s="0" t="n">
        <v>250</v>
      </c>
      <c r="F27" s="74" t="s">
        <v>49</v>
      </c>
      <c r="G27" s="74" t="s">
        <v>50</v>
      </c>
      <c r="H27" s="74" t="s">
        <v>51</v>
      </c>
      <c r="I27" s="74" t="s">
        <v>52</v>
      </c>
      <c r="J27" s="74" t="s">
        <v>4</v>
      </c>
      <c r="K27" s="74" t="str">
        <f aca="false">+K20</f>
        <v>2/2 - 2/8</v>
      </c>
      <c r="L27" s="74" t="str">
        <f aca="false">+L20</f>
        <v>2/9 - 2/15</v>
      </c>
      <c r="M27" s="74" t="str">
        <f aca="false">+M20</f>
        <v>2/16 - 2/22</v>
      </c>
      <c r="N27" s="74" t="str">
        <f aca="false">+N20</f>
        <v>2/23 - 2/28</v>
      </c>
    </row>
    <row r="28" customFormat="false" ht="12.75" hidden="false" customHeight="false" outlineLevel="0" collapsed="false">
      <c r="A28" s="72" t="s">
        <v>74</v>
      </c>
      <c r="B28" s="0" t="n">
        <v>50</v>
      </c>
      <c r="E28" s="78" t="s">
        <v>57</v>
      </c>
      <c r="F28" s="79" t="n">
        <f aca="false">1758331589/1000000</f>
        <v>1758.331589</v>
      </c>
      <c r="G28" s="79" t="n">
        <f aca="false">3201106470/1000000</f>
        <v>3201.10647</v>
      </c>
      <c r="H28" s="34" t="n">
        <f aca="false">1942345461/1000000</f>
        <v>1942.345461</v>
      </c>
      <c r="I28" s="34" t="n">
        <f aca="false">4952206066/1000000</f>
        <v>4952.206066</v>
      </c>
      <c r="J28" s="80" t="n">
        <f aca="false">(+'WE 2-1 EOL Data'!C6+'WE 2-1 EOL Data'!C29)/1000000</f>
        <v>4273.27122</v>
      </c>
      <c r="K28" s="80" t="n">
        <f aca="false">(+'WE 2-8 EOL Data'!C6+'WE 2-8 EOL Data'!C29)/1000000</f>
        <v>3586.17836464</v>
      </c>
      <c r="L28" s="80" t="n">
        <f aca="false">(+'WE 2-15 EOL Data'!$C6+'WE 2-15 EOL Data'!$C29)/1000000</f>
        <v>4250.73800221</v>
      </c>
      <c r="M28" s="80" t="n">
        <f aca="false">(+'WE 2-22 EOL Data'!$C6+'WE 2-22 EOL Data'!$C29)/1000000</f>
        <v>2865.687651</v>
      </c>
      <c r="N28" s="80" t="n">
        <f aca="false">(+'WE 2-28 EOL Data'!C6+'WE 2-28 EOL Data'!C29)/1000000</f>
        <v>3382.07865119</v>
      </c>
    </row>
    <row r="29" customFormat="false" ht="13.5" hidden="false" customHeight="true" outlineLevel="0" collapsed="false">
      <c r="A29" s="72" t="s">
        <v>25</v>
      </c>
      <c r="B29" s="0" t="n">
        <v>0</v>
      </c>
      <c r="E29" s="78" t="s">
        <v>58</v>
      </c>
      <c r="F29" s="79" t="n">
        <f aca="false">16046241/1000000</f>
        <v>16.046241</v>
      </c>
      <c r="G29" s="79" t="n">
        <f aca="false">52662791/1000000</f>
        <v>52.662791</v>
      </c>
      <c r="H29" s="34" t="n">
        <f aca="false">48150655/1000000</f>
        <v>48.150655</v>
      </c>
      <c r="I29" s="34" t="n">
        <f aca="false">37589241/1000000</f>
        <v>37.589241</v>
      </c>
      <c r="J29" s="80" t="n">
        <f aca="false">(+'WE 2-1 EOL Data'!C7+'WE 2-1 EOL Data'!C30)/1000000</f>
        <v>53.945233</v>
      </c>
      <c r="K29" s="80" t="n">
        <f aca="false">(+'WE 2-8 EOL Data'!C7+'WE 2-8 EOL Data'!C30)/1000000</f>
        <v>51.39996514</v>
      </c>
      <c r="L29" s="80" t="n">
        <f aca="false">(+'WE 2-15 EOL Data'!$C7+'WE 2-15 EOL Data'!$C30)/1000000</f>
        <v>49.09131919</v>
      </c>
      <c r="M29" s="80" t="n">
        <f aca="false">(+'WE 2-22 EOL Data'!$C7+'WE 2-22 EOL Data'!$C30)/1000000</f>
        <v>37.99049</v>
      </c>
      <c r="N29" s="80" t="n">
        <f aca="false">(+'WE 2-28 EOL Data'!C7+'WE 2-28 EOL Data'!C30)/1000000</f>
        <v>43.64763638</v>
      </c>
    </row>
    <row r="30" customFormat="false" ht="15" hidden="false" customHeight="false" outlineLevel="0" collapsed="false">
      <c r="A30" s="72" t="s">
        <v>14</v>
      </c>
      <c r="B30" s="0" t="n">
        <v>250</v>
      </c>
      <c r="F30" s="74" t="s">
        <v>49</v>
      </c>
      <c r="G30" s="74" t="s">
        <v>50</v>
      </c>
      <c r="H30" s="74" t="s">
        <v>51</v>
      </c>
      <c r="I30" s="74" t="s">
        <v>52</v>
      </c>
      <c r="J30" s="74" t="s">
        <v>4</v>
      </c>
      <c r="K30" s="74" t="str">
        <f aca="false">+K27</f>
        <v>2/2 - 2/8</v>
      </c>
      <c r="L30" s="74" t="str">
        <f aca="false">+L27</f>
        <v>2/9 - 2/15</v>
      </c>
      <c r="M30" s="74" t="str">
        <f aca="false">+M27</f>
        <v>2/16 - 2/22</v>
      </c>
      <c r="N30" s="74" t="str">
        <f aca="false">+N27</f>
        <v>2/23 - 2/28</v>
      </c>
    </row>
    <row r="31" customFormat="false" ht="12.75" hidden="false" customHeight="false" outlineLevel="0" collapsed="false">
      <c r="E31" s="0" t="s">
        <v>75</v>
      </c>
      <c r="F31" s="79" t="n">
        <f aca="false">'template from eol'!C58</f>
        <v>60842.5918</v>
      </c>
      <c r="G31" s="79" t="n">
        <f aca="false">'template from eol'!E58</f>
        <v>36861.7698</v>
      </c>
      <c r="H31" s="34" t="n">
        <f aca="false">'template from eol'!G58</f>
        <v>213594.8932</v>
      </c>
      <c r="I31" s="34" t="n">
        <f aca="false">'template from eol'!I58</f>
        <v>19607.183</v>
      </c>
      <c r="J31" s="0" t="n">
        <f aca="false">+'WE 2-1 EOL Data'!C58</f>
        <v>25872</v>
      </c>
      <c r="K31" s="81" t="n">
        <f aca="false">+'WE 2-8 EOL Data'!C58</f>
        <v>106865.9</v>
      </c>
      <c r="L31" s="81" t="n">
        <f aca="false">+'WE 2-15 EOL Data'!$C58</f>
        <v>11962.5</v>
      </c>
      <c r="M31" s="81" t="n">
        <f aca="false">+'WE 2-22 EOL Data'!$C58</f>
        <v>56612</v>
      </c>
      <c r="N31" s="81" t="n">
        <f aca="false">+'WE 2-28 EOL Data'!C58</f>
        <v>163303.196</v>
      </c>
      <c r="P31" s="81"/>
    </row>
    <row r="32" customFormat="false" ht="12.75" hidden="false" customHeight="false" outlineLevel="0" collapsed="false">
      <c r="A32" s="72" t="s">
        <v>23</v>
      </c>
      <c r="B32" s="0" t="n">
        <v>0</v>
      </c>
      <c r="E32" s="0" t="s">
        <v>23</v>
      </c>
      <c r="F32" s="79"/>
      <c r="G32" s="79"/>
      <c r="H32" s="34"/>
    </row>
    <row r="33" customFormat="false" ht="12.75" hidden="false" customHeight="false" outlineLevel="0" collapsed="false">
      <c r="A33" s="72" t="s">
        <v>24</v>
      </c>
      <c r="B33" s="0" t="n">
        <v>5</v>
      </c>
      <c r="E33" s="0" t="s">
        <v>24</v>
      </c>
      <c r="F33" s="79"/>
      <c r="G33" s="79"/>
      <c r="H33" s="34"/>
    </row>
    <row r="34" customFormat="false" ht="12.75" hidden="false" customHeight="false" outlineLevel="0" collapsed="false">
      <c r="A34" s="72" t="s">
        <v>27</v>
      </c>
      <c r="B34" s="0" t="n">
        <v>0</v>
      </c>
      <c r="E34" s="0" t="s">
        <v>25</v>
      </c>
      <c r="F34" s="79"/>
      <c r="G34" s="79"/>
      <c r="H34" s="34"/>
    </row>
    <row r="35" customFormat="false" ht="12.75" hidden="false" customHeight="false" outlineLevel="0" collapsed="false">
      <c r="E35" s="0" t="s">
        <v>27</v>
      </c>
      <c r="F35" s="79"/>
      <c r="G35" s="79"/>
      <c r="H35" s="34"/>
    </row>
    <row r="36" customFormat="false" ht="15" hidden="false" customHeight="false" outlineLevel="0" collapsed="false">
      <c r="A36" s="72" t="s">
        <v>14</v>
      </c>
      <c r="B36" s="0" t="n">
        <v>250</v>
      </c>
      <c r="F36" s="74" t="s">
        <v>49</v>
      </c>
      <c r="G36" s="74" t="s">
        <v>50</v>
      </c>
      <c r="H36" s="74" t="s">
        <v>51</v>
      </c>
      <c r="I36" s="74" t="s">
        <v>52</v>
      </c>
      <c r="J36" s="74" t="s">
        <v>4</v>
      </c>
      <c r="K36" s="74" t="str">
        <f aca="false">+K30</f>
        <v>2/2 - 2/8</v>
      </c>
      <c r="L36" s="74" t="str">
        <f aca="false">+L30</f>
        <v>2/9 - 2/15</v>
      </c>
      <c r="M36" s="74" t="str">
        <f aca="false">+M30</f>
        <v>2/16 - 2/22</v>
      </c>
      <c r="N36" s="74" t="str">
        <f aca="false">+N30</f>
        <v>2/23 - 2/28</v>
      </c>
    </row>
    <row r="37" customFormat="false" ht="12.75" hidden="false" customHeight="false" outlineLevel="0" collapsed="false">
      <c r="E37" s="0" t="s">
        <v>17</v>
      </c>
      <c r="F37" s="79" t="n">
        <f aca="false">90430383/1000</f>
        <v>90430.383</v>
      </c>
      <c r="G37" s="79" t="n">
        <f aca="false">172783348/1000</f>
        <v>172783.348</v>
      </c>
      <c r="H37" s="34" t="n">
        <f aca="false">107852720/1000</f>
        <v>107852.72</v>
      </c>
      <c r="I37" s="34" t="n">
        <f aca="false">150981588/1000</f>
        <v>150981.588</v>
      </c>
      <c r="J37" s="80" t="n">
        <f aca="false">(+'WE 2-1 EOL Data'!C9+'WE 2-1 EOL Data'!C32)/1000</f>
        <v>171949.351</v>
      </c>
      <c r="K37" s="80" t="n">
        <f aca="false">(+'WE 2-8 EOL Data'!C9+'WE 2-8 EOL Data'!C32)/1000</f>
        <v>154397.51923</v>
      </c>
      <c r="L37" s="80" t="n">
        <f aca="false">(+'WE 2-15 EOL Data'!$C9+'WE 2-15 EOL Data'!$C32)/1000</f>
        <v>174794.27447</v>
      </c>
      <c r="M37" s="80" t="n">
        <f aca="false">(+'WE 2-22 EOL Data'!$C9+'WE 2-22 EOL Data'!$C32)/1000</f>
        <v>147649.834</v>
      </c>
      <c r="N37" s="80" t="n">
        <f aca="false">(+'WE 2-28 EOL Data'!C9+'WE 2-28 EOL Data'!C32)/1000</f>
        <v>147313.01308</v>
      </c>
    </row>
    <row r="38" customFormat="false" ht="12.75" hidden="false" customHeight="false" outlineLevel="0" collapsed="false">
      <c r="A38" s="82" t="s">
        <v>16</v>
      </c>
      <c r="B38" s="82"/>
      <c r="C38" s="82"/>
      <c r="D38" s="82"/>
      <c r="E38" s="0" t="s">
        <v>19</v>
      </c>
      <c r="F38" s="34" t="n">
        <f aca="false">(1745341+1242373)/1000</f>
        <v>2987.714</v>
      </c>
      <c r="G38" s="34" t="n">
        <f aca="false">(2854306+534627)/1000</f>
        <v>3388.933</v>
      </c>
      <c r="H38" s="34" t="n">
        <f aca="false">(3053119+1631000)/1000</f>
        <v>4684.119</v>
      </c>
      <c r="I38" s="34" t="n">
        <f aca="false">(1974010+1990000)/1000</f>
        <v>3964.01</v>
      </c>
      <c r="J38" s="80" t="n">
        <f aca="false">(+'WE 2-1 EOL Data'!C10+'WE 2-1 EOL Data'!C11+'WE 2-1 EOL Data'!C33+'WE 2-1 EOL Data'!C34)/1000</f>
        <v>6572.327</v>
      </c>
      <c r="K38" s="80" t="n">
        <f aca="false">(+'WE 2-8 EOL Data'!C10+'WE 2-8 EOL Data'!C11+'WE 2-8 EOL Data'!C33+'WE 2-8 EOL Data'!C34)/1000</f>
        <v>5662.489</v>
      </c>
      <c r="L38" s="80" t="n">
        <f aca="false">(+'WE 2-15 EOL Data'!$C10+'WE 2-15 EOL Data'!$C11+'WE 2-15 EOL Data'!$C33+'WE 2-15 EOL Data'!$C34)/1000</f>
        <v>4037.94996</v>
      </c>
      <c r="M38" s="80" t="n">
        <f aca="false">(+'WE 2-22 EOL Data'!$C10+'WE 2-22 EOL Data'!$C11+'WE 2-22 EOL Data'!$C33+'WE 2-22 EOL Data'!$C34)/1000</f>
        <v>2425.5</v>
      </c>
      <c r="N38" s="80" t="n">
        <f aca="false">(+'WE 2-28 EOL Data'!C10+'WE 2-28 EOL Data'!C11+'WE 2-28 EOL Data'!C33+'WE 2-28 EOL Data'!C34)/1000</f>
        <v>818.5</v>
      </c>
    </row>
    <row r="39" customFormat="false" ht="12.75" hidden="false" customHeight="false" outlineLevel="0" collapsed="false">
      <c r="A39" s="83" t="s">
        <v>17</v>
      </c>
      <c r="B39" s="0" t="n">
        <v>45</v>
      </c>
      <c r="C39" s="0" t="n">
        <v>40</v>
      </c>
      <c r="D39" s="0" t="n">
        <v>55</v>
      </c>
      <c r="E39" s="0" t="s">
        <v>20</v>
      </c>
      <c r="F39" s="34" t="n">
        <v>5</v>
      </c>
      <c r="G39" s="34" t="n">
        <v>5</v>
      </c>
      <c r="H39" s="34" t="n">
        <f aca="false">34100/1000</f>
        <v>34.1</v>
      </c>
      <c r="I39" s="34" t="n">
        <f aca="false">107570/1000</f>
        <v>107.57</v>
      </c>
      <c r="J39" s="80" t="n">
        <f aca="false">(+'WE 2-1 EOL Data'!C14+'WE 2-1 EOL Data'!C37)/1000</f>
        <v>46.35</v>
      </c>
      <c r="K39" s="80" t="n">
        <f aca="false">(+'WE 2-8 EOL Data'!C14+'WE 2-8 EOL Data'!C37)/1000</f>
        <v>100.1</v>
      </c>
      <c r="L39" s="80" t="n">
        <f aca="false">(+'WE 2-15 EOL Data'!$C14+'WE 2-15 EOL Data'!$C37)/1000</f>
        <v>40</v>
      </c>
      <c r="M39" s="80" t="n">
        <f aca="false">(+'WE 2-22 EOL Data'!$C14+'WE 2-22 EOL Data'!$C37)/1000</f>
        <v>37.5</v>
      </c>
      <c r="N39" s="80" t="n">
        <f aca="false">(+'WE 2-28 EOL Data'!C14+'WE 2-28 EOL Data'!C37)/1000</f>
        <v>7.5</v>
      </c>
    </row>
    <row r="40" customFormat="false" ht="12.75" hidden="false" customHeight="false" outlineLevel="0" collapsed="false">
      <c r="A40" s="83" t="s">
        <v>18</v>
      </c>
      <c r="B40" s="0" t="n">
        <v>150</v>
      </c>
      <c r="C40" s="0" t="n">
        <v>120</v>
      </c>
      <c r="D40" s="0" t="n">
        <v>125</v>
      </c>
      <c r="E40" s="0" t="s">
        <v>22</v>
      </c>
      <c r="F40" s="34" t="n">
        <v>49250</v>
      </c>
      <c r="G40" s="34" t="n">
        <v>45350</v>
      </c>
      <c r="H40" s="34" t="n">
        <v>120900</v>
      </c>
      <c r="I40" s="34" t="n">
        <v>115500</v>
      </c>
      <c r="J40" s="80" t="n">
        <f aca="false">+'WE 2-1 EOL Data'!C12+'WE 2-1 EOL Data'!C35</f>
        <v>56000</v>
      </c>
      <c r="K40" s="80" t="n">
        <f aca="false">+'WE 2-8 EOL Data'!C12+'WE 2-8 EOL Data'!C35</f>
        <v>103400</v>
      </c>
      <c r="L40" s="80" t="n">
        <f aca="false">+'WE 2-15 EOL Data'!$C12+'WE 2-15 EOL Data'!$C35</f>
        <v>143000</v>
      </c>
      <c r="M40" s="80" t="n">
        <f aca="false">+'WE 2-22 EOL Data'!$C12+'WE 2-22 EOL Data'!$C35</f>
        <v>377800</v>
      </c>
      <c r="N40" s="80" t="n">
        <f aca="false">+'WE 2-28 EOL Data'!C12+'WE 2-28 EOL Data'!C35</f>
        <v>69200</v>
      </c>
      <c r="P40" s="80"/>
    </row>
    <row r="41" customFormat="false" ht="12.75" hidden="false" customHeight="false" outlineLevel="0" collapsed="false">
      <c r="E41" s="0" t="s">
        <v>18</v>
      </c>
      <c r="F41" s="79" t="n">
        <v>6275000</v>
      </c>
      <c r="G41" s="79" t="n">
        <v>6398750</v>
      </c>
      <c r="H41" s="34" t="n">
        <v>3718000</v>
      </c>
      <c r="I41" s="34" t="n">
        <v>6618000</v>
      </c>
      <c r="J41" s="80" t="n">
        <f aca="false">+'WE 2-1 EOL Data'!C13+'WE 2-1 EOL Data'!C36</f>
        <v>5632500</v>
      </c>
      <c r="K41" s="80" t="n">
        <f aca="false">+'WE 2-8 EOL Data'!C13+'WE 2-8 EOL Data'!C36</f>
        <v>8754250</v>
      </c>
      <c r="L41" s="80" t="n">
        <f aca="false">+'WE 2-15 EOL Data'!$C13+'WE 2-15 EOL Data'!$C36</f>
        <v>4975000</v>
      </c>
      <c r="M41" s="80" t="n">
        <f aca="false">+'WE 2-22 EOL Data'!$C13+'WE 2-22 EOL Data'!$C36</f>
        <v>5786000</v>
      </c>
      <c r="N41" s="80" t="n">
        <f aca="false">+'WE 2-28 EOL Data'!C13+'WE 2-28 EOL Data'!C36</f>
        <v>4422278</v>
      </c>
      <c r="P41" s="80"/>
    </row>
    <row r="42" customFormat="false" ht="12.75" hidden="false" customHeight="false" outlineLevel="0" collapsed="false">
      <c r="A42" s="83" t="s">
        <v>22</v>
      </c>
      <c r="B42" s="0" t="n">
        <v>2</v>
      </c>
      <c r="C42" s="0" t="n">
        <v>5</v>
      </c>
      <c r="D42" s="0" t="n">
        <v>2</v>
      </c>
    </row>
    <row r="43" customFormat="false" ht="12.75" hidden="false" customHeight="false" outlineLevel="0" collapsed="false">
      <c r="A43" s="83" t="s">
        <v>20</v>
      </c>
      <c r="B43" s="0" t="n">
        <v>2</v>
      </c>
      <c r="C43" s="0" t="n">
        <v>1</v>
      </c>
      <c r="D43" s="0" t="n">
        <v>10</v>
      </c>
      <c r="P43" s="34"/>
    </row>
    <row r="44" customFormat="false" ht="12.75" hidden="false" customHeight="false" outlineLevel="0" collapsed="false">
      <c r="A44" s="82" t="s">
        <v>76</v>
      </c>
    </row>
    <row r="45" customFormat="false" ht="12.75" hidden="false" customHeight="false" outlineLevel="0" collapsed="false">
      <c r="A45" s="83" t="s">
        <v>13</v>
      </c>
      <c r="B45" s="0" t="n">
        <v>11000</v>
      </c>
      <c r="C45" s="0" t="n">
        <v>12500</v>
      </c>
      <c r="D45" s="0" t="n">
        <v>12000</v>
      </c>
    </row>
    <row r="46" customFormat="false" ht="12.75" hidden="false" customHeight="false" outlineLevel="0" collapsed="false">
      <c r="A46" s="83" t="s">
        <v>14</v>
      </c>
      <c r="B46" s="0" t="n">
        <v>5500</v>
      </c>
      <c r="C46" s="0" t="n">
        <v>5000</v>
      </c>
      <c r="D46" s="0" t="n">
        <v>4055</v>
      </c>
    </row>
    <row r="47" customFormat="false" ht="12.75" hidden="false" customHeight="false" outlineLevel="0" collapsed="false">
      <c r="A47" s="82" t="s">
        <v>26</v>
      </c>
    </row>
    <row r="48" customFormat="false" ht="12.75" hidden="false" customHeight="false" outlineLevel="0" collapsed="false">
      <c r="A48" s="83" t="s">
        <v>23</v>
      </c>
      <c r="B48" s="0" t="n">
        <v>25</v>
      </c>
      <c r="C48" s="0" t="n">
        <v>52</v>
      </c>
      <c r="D48" s="0" t="n">
        <v>30</v>
      </c>
    </row>
    <row r="49" customFormat="false" ht="12.75" hidden="false" customHeight="false" outlineLevel="0" collapsed="false">
      <c r="A49" s="83" t="s">
        <v>24</v>
      </c>
      <c r="B49" s="0" t="n">
        <v>10</v>
      </c>
      <c r="C49" s="0" t="n">
        <v>42</v>
      </c>
      <c r="D49" s="0" t="n">
        <v>50</v>
      </c>
    </row>
    <row r="50" customFormat="false" ht="12.75" hidden="false" customHeight="false" outlineLevel="0" collapsed="false">
      <c r="A50" s="83" t="s">
        <v>25</v>
      </c>
      <c r="B50" s="0" t="n">
        <v>8</v>
      </c>
      <c r="C50" s="0" t="n">
        <v>8</v>
      </c>
      <c r="D50" s="0" t="n">
        <v>8</v>
      </c>
    </row>
    <row r="51" customFormat="false" ht="12.75" hidden="false" customHeight="false" outlineLevel="0" collapsed="false">
      <c r="A51" s="83" t="s">
        <v>27</v>
      </c>
      <c r="B51" s="0" t="n">
        <v>3</v>
      </c>
      <c r="C51" s="0" t="n">
        <v>1</v>
      </c>
      <c r="D51" s="0" t="n">
        <v>4</v>
      </c>
    </row>
    <row r="53" customFormat="false" ht="12.75" hidden="false" customHeight="false" outlineLevel="0" collapsed="false">
      <c r="A53" s="0" t="s">
        <v>77</v>
      </c>
      <c r="B53" s="0" t="s">
        <v>78</v>
      </c>
      <c r="C53" s="0" t="s">
        <v>79</v>
      </c>
      <c r="D53" s="0" t="s">
        <v>80</v>
      </c>
      <c r="E53" s="84" t="s">
        <v>1</v>
      </c>
      <c r="F53" s="84"/>
    </row>
    <row r="54" customFormat="false" ht="12.75" hidden="false" customHeight="false" outlineLevel="0" collapsed="false">
      <c r="A54" s="82" t="s">
        <v>81</v>
      </c>
      <c r="B54" s="78" t="s">
        <v>57</v>
      </c>
      <c r="C54" s="0" t="s">
        <v>13</v>
      </c>
      <c r="D54" s="78" t="n">
        <v>1350</v>
      </c>
      <c r="E54" s="0" t="n">
        <f aca="false">B45</f>
        <v>11000</v>
      </c>
    </row>
    <row r="55" customFormat="false" ht="12.75" hidden="false" customHeight="false" outlineLevel="0" collapsed="false">
      <c r="A55" s="82" t="s">
        <v>81</v>
      </c>
      <c r="B55" s="78" t="s">
        <v>58</v>
      </c>
      <c r="C55" s="0" t="s">
        <v>14</v>
      </c>
      <c r="D55" s="78" t="n">
        <v>180</v>
      </c>
      <c r="E55" s="0" t="n">
        <v>5500</v>
      </c>
    </row>
    <row r="56" customFormat="false" ht="12.75" hidden="false" customHeight="false" outlineLevel="0" collapsed="false">
      <c r="A56" s="82" t="s">
        <v>81</v>
      </c>
      <c r="B56" s="78" t="s">
        <v>82</v>
      </c>
      <c r="C56" s="0" t="s">
        <v>25</v>
      </c>
      <c r="D56" s="78" t="n">
        <v>8</v>
      </c>
      <c r="E56" s="0" t="n">
        <v>8</v>
      </c>
    </row>
    <row r="57" customFormat="false" ht="12.75" hidden="false" customHeight="false" outlineLevel="0" collapsed="false">
      <c r="A57" s="82" t="s">
        <v>81</v>
      </c>
      <c r="B57" s="78" t="s">
        <v>83</v>
      </c>
      <c r="C57" s="0" t="s">
        <v>23</v>
      </c>
      <c r="D57" s="78" t="n">
        <v>15</v>
      </c>
      <c r="E57" s="0" t="n">
        <v>25</v>
      </c>
    </row>
    <row r="58" customFormat="false" ht="12.75" hidden="false" customHeight="false" outlineLevel="0" collapsed="false">
      <c r="A58" s="82" t="s">
        <v>81</v>
      </c>
      <c r="B58" s="78" t="s">
        <v>84</v>
      </c>
      <c r="C58" s="0" t="s">
        <v>27</v>
      </c>
      <c r="D58" s="78" t="n">
        <v>5</v>
      </c>
      <c r="E58" s="0" t="n">
        <v>3</v>
      </c>
    </row>
    <row r="59" customFormat="false" ht="12.75" hidden="false" customHeight="false" outlineLevel="0" collapsed="false">
      <c r="A59" s="82" t="s">
        <v>81</v>
      </c>
      <c r="B59" s="78" t="s">
        <v>85</v>
      </c>
      <c r="C59" s="0" t="s">
        <v>24</v>
      </c>
      <c r="D59" s="78" t="n">
        <v>10</v>
      </c>
      <c r="E59" s="0" t="n">
        <v>10</v>
      </c>
    </row>
    <row r="60" customFormat="false" ht="12.75" hidden="false" customHeight="false" outlineLevel="0" collapsed="false">
      <c r="A60" s="82" t="s">
        <v>81</v>
      </c>
      <c r="B60" s="78" t="s">
        <v>86</v>
      </c>
      <c r="C60" s="0" t="s">
        <v>87</v>
      </c>
      <c r="D60" s="78" t="n">
        <v>45</v>
      </c>
      <c r="E60" s="0" t="n">
        <v>45</v>
      </c>
    </row>
    <row r="61" customFormat="false" ht="12.75" hidden="false" customHeight="false" outlineLevel="0" collapsed="false">
      <c r="A61" s="82" t="s">
        <v>81</v>
      </c>
      <c r="B61" s="78" t="s">
        <v>88</v>
      </c>
      <c r="C61" s="0" t="s">
        <v>19</v>
      </c>
      <c r="D61" s="78" t="n">
        <v>2</v>
      </c>
      <c r="E61" s="0" t="n">
        <v>2</v>
      </c>
    </row>
    <row r="62" customFormat="false" ht="12.75" hidden="false" customHeight="false" outlineLevel="0" collapsed="false">
      <c r="A62" s="72" t="s">
        <v>89</v>
      </c>
      <c r="B62" s="78" t="s">
        <v>57</v>
      </c>
      <c r="C62" s="0" t="s">
        <v>13</v>
      </c>
      <c r="D62" s="78" t="n">
        <v>1505</v>
      </c>
      <c r="E62" s="0" t="n">
        <f aca="false">C45</f>
        <v>12500</v>
      </c>
    </row>
    <row r="63" customFormat="false" ht="12.75" hidden="false" customHeight="false" outlineLevel="0" collapsed="false">
      <c r="A63" s="72" t="s">
        <v>89</v>
      </c>
      <c r="B63" s="78" t="s">
        <v>58</v>
      </c>
      <c r="C63" s="0" t="s">
        <v>14</v>
      </c>
      <c r="D63" s="78" t="n">
        <v>175</v>
      </c>
      <c r="E63" s="0" t="n">
        <v>5000</v>
      </c>
    </row>
    <row r="64" customFormat="false" ht="12.75" hidden="false" customHeight="false" outlineLevel="0" collapsed="false">
      <c r="A64" s="72" t="s">
        <v>89</v>
      </c>
      <c r="B64" s="78" t="s">
        <v>82</v>
      </c>
      <c r="C64" s="0" t="s">
        <v>25</v>
      </c>
      <c r="D64" s="78" t="n">
        <v>10</v>
      </c>
      <c r="E64" s="0" t="n">
        <v>8</v>
      </c>
    </row>
    <row r="65" customFormat="false" ht="12.75" hidden="false" customHeight="false" outlineLevel="0" collapsed="false">
      <c r="A65" s="72" t="s">
        <v>89</v>
      </c>
      <c r="B65" s="78" t="s">
        <v>83</v>
      </c>
      <c r="C65" s="0" t="s">
        <v>23</v>
      </c>
      <c r="D65" s="78" t="n">
        <v>25</v>
      </c>
      <c r="E65" s="0" t="n">
        <v>52</v>
      </c>
    </row>
    <row r="66" customFormat="false" ht="12.75" hidden="false" customHeight="false" outlineLevel="0" collapsed="false">
      <c r="A66" s="72" t="s">
        <v>89</v>
      </c>
      <c r="B66" s="78" t="s">
        <v>84</v>
      </c>
      <c r="C66" s="0" t="s">
        <v>27</v>
      </c>
      <c r="D66" s="78" t="n">
        <v>7</v>
      </c>
      <c r="E66" s="0" t="n">
        <v>1</v>
      </c>
    </row>
    <row r="67" customFormat="false" ht="12.75" hidden="false" customHeight="false" outlineLevel="0" collapsed="false">
      <c r="A67" s="72" t="s">
        <v>89</v>
      </c>
      <c r="B67" s="78" t="s">
        <v>85</v>
      </c>
      <c r="C67" s="0" t="s">
        <v>24</v>
      </c>
      <c r="D67" s="78" t="n">
        <v>30</v>
      </c>
      <c r="E67" s="0" t="n">
        <v>42</v>
      </c>
    </row>
    <row r="68" customFormat="false" ht="12.75" hidden="false" customHeight="false" outlineLevel="0" collapsed="false">
      <c r="A68" s="72" t="s">
        <v>89</v>
      </c>
      <c r="B68" s="78" t="s">
        <v>86</v>
      </c>
      <c r="C68" s="0" t="s">
        <v>87</v>
      </c>
      <c r="D68" s="78" t="n">
        <v>32</v>
      </c>
      <c r="E68" s="0" t="n">
        <v>40</v>
      </c>
    </row>
    <row r="69" customFormat="false" ht="12.75" hidden="false" customHeight="false" outlineLevel="0" collapsed="false">
      <c r="A69" s="72" t="s">
        <v>89</v>
      </c>
      <c r="B69" s="78" t="s">
        <v>88</v>
      </c>
      <c r="C69" s="0" t="s">
        <v>19</v>
      </c>
      <c r="D69" s="78" t="n">
        <v>2</v>
      </c>
      <c r="E69" s="0" t="n">
        <v>1</v>
      </c>
    </row>
    <row r="70" customFormat="false" ht="12.75" hidden="false" customHeight="false" outlineLevel="0" collapsed="false">
      <c r="A70" s="72" t="s">
        <v>90</v>
      </c>
      <c r="B70" s="78" t="s">
        <v>57</v>
      </c>
      <c r="C70" s="0" t="s">
        <v>13</v>
      </c>
      <c r="D70" s="0" t="n">
        <v>1600</v>
      </c>
      <c r="E70" s="0" t="n">
        <f aca="false">D45</f>
        <v>12000</v>
      </c>
    </row>
    <row r="71" customFormat="false" ht="12.75" hidden="false" customHeight="false" outlineLevel="0" collapsed="false">
      <c r="A71" s="72" t="s">
        <v>90</v>
      </c>
      <c r="B71" s="78" t="s">
        <v>58</v>
      </c>
      <c r="C71" s="0" t="s">
        <v>14</v>
      </c>
      <c r="D71" s="0" t="n">
        <v>190</v>
      </c>
      <c r="E71" s="0" t="n">
        <v>4055</v>
      </c>
    </row>
    <row r="72" customFormat="false" ht="12.75" hidden="false" customHeight="false" outlineLevel="0" collapsed="false">
      <c r="A72" s="72" t="s">
        <v>90</v>
      </c>
      <c r="B72" s="78" t="s">
        <v>82</v>
      </c>
      <c r="C72" s="0" t="s">
        <v>25</v>
      </c>
      <c r="D72" s="0" t="n">
        <v>10</v>
      </c>
      <c r="E72" s="0" t="n">
        <v>8</v>
      </c>
    </row>
    <row r="73" customFormat="false" ht="12.75" hidden="false" customHeight="false" outlineLevel="0" collapsed="false">
      <c r="A73" s="72" t="s">
        <v>90</v>
      </c>
      <c r="B73" s="78" t="s">
        <v>83</v>
      </c>
      <c r="C73" s="0" t="s">
        <v>23</v>
      </c>
      <c r="D73" s="0" t="n">
        <v>25</v>
      </c>
      <c r="E73" s="0" t="n">
        <v>30</v>
      </c>
    </row>
    <row r="74" customFormat="false" ht="12.75" hidden="false" customHeight="false" outlineLevel="0" collapsed="false">
      <c r="A74" s="72" t="s">
        <v>90</v>
      </c>
      <c r="B74" s="78" t="s">
        <v>84</v>
      </c>
      <c r="C74" s="0" t="s">
        <v>27</v>
      </c>
      <c r="D74" s="0" t="n">
        <v>8</v>
      </c>
      <c r="E74" s="0" t="n">
        <v>4</v>
      </c>
    </row>
    <row r="75" customFormat="false" ht="12.75" hidden="false" customHeight="false" outlineLevel="0" collapsed="false">
      <c r="A75" s="72" t="s">
        <v>90</v>
      </c>
      <c r="B75" s="78" t="s">
        <v>85</v>
      </c>
      <c r="C75" s="0" t="s">
        <v>24</v>
      </c>
      <c r="D75" s="0" t="n">
        <v>40</v>
      </c>
      <c r="E75" s="0" t="n">
        <v>50</v>
      </c>
    </row>
    <row r="76" customFormat="false" ht="12.75" hidden="false" customHeight="false" outlineLevel="0" collapsed="false">
      <c r="A76" s="72" t="s">
        <v>90</v>
      </c>
      <c r="B76" s="78" t="s">
        <v>86</v>
      </c>
      <c r="C76" s="0" t="s">
        <v>87</v>
      </c>
      <c r="D76" s="0" t="n">
        <v>37</v>
      </c>
      <c r="E76" s="0" t="n">
        <v>55</v>
      </c>
    </row>
    <row r="77" customFormat="false" ht="12.75" hidden="false" customHeight="false" outlineLevel="0" collapsed="false">
      <c r="A77" s="72" t="s">
        <v>90</v>
      </c>
      <c r="B77" s="78" t="s">
        <v>88</v>
      </c>
      <c r="C77" s="0" t="s">
        <v>19</v>
      </c>
      <c r="D77" s="0" t="n">
        <v>2</v>
      </c>
      <c r="E77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K4" activePane="bottomRight" state="frozen"/>
      <selection pane="topLeft" activeCell="A1" activeCellId="0" sqref="A1"/>
      <selection pane="topRight" activeCell="K1" activeCellId="0" sqref="K1"/>
      <selection pane="bottomLeft" activeCell="A4" activeCellId="0" sqref="A4"/>
      <selection pane="bottomRight" activeCell="P11" activeCellId="0" sqref="P11:Q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85" t="s">
        <v>91</v>
      </c>
      <c r="B1" s="86" t="s">
        <v>92</v>
      </c>
      <c r="C1" s="86"/>
      <c r="D1" s="86"/>
      <c r="E1" s="86"/>
      <c r="F1" s="86"/>
      <c r="G1" s="86"/>
      <c r="H1" s="86"/>
      <c r="I1" s="86"/>
      <c r="J1" s="86" t="s">
        <v>93</v>
      </c>
      <c r="K1" s="86"/>
      <c r="L1" s="86"/>
      <c r="M1" s="86"/>
      <c r="N1" s="86"/>
      <c r="O1" s="86"/>
      <c r="P1" s="86"/>
      <c r="Q1" s="86"/>
      <c r="R1" s="87"/>
      <c r="S1" s="88"/>
      <c r="T1" s="86" t="s">
        <v>94</v>
      </c>
      <c r="U1" s="86"/>
      <c r="V1" s="86"/>
      <c r="W1" s="86"/>
      <c r="X1" s="86"/>
      <c r="Y1" s="86"/>
      <c r="Z1" s="86"/>
      <c r="AA1" s="86"/>
    </row>
    <row r="2" customFormat="false" ht="12.75" hidden="false" customHeight="false" outlineLevel="0" collapsed="false">
      <c r="A2" s="85"/>
      <c r="B2" s="89" t="s">
        <v>95</v>
      </c>
      <c r="C2" s="89"/>
      <c r="D2" s="90" t="s">
        <v>96</v>
      </c>
      <c r="E2" s="90"/>
      <c r="F2" s="90" t="s">
        <v>97</v>
      </c>
      <c r="G2" s="90"/>
      <c r="H2" s="91" t="s">
        <v>98</v>
      </c>
      <c r="I2" s="91"/>
      <c r="J2" s="92" t="s">
        <v>99</v>
      </c>
      <c r="K2" s="92"/>
      <c r="L2" s="90" t="s">
        <v>100</v>
      </c>
      <c r="M2" s="90"/>
      <c r="N2" s="90" t="s">
        <v>101</v>
      </c>
      <c r="O2" s="90"/>
      <c r="P2" s="90" t="s">
        <v>102</v>
      </c>
      <c r="Q2" s="90"/>
      <c r="R2" s="91" t="s">
        <v>103</v>
      </c>
      <c r="S2" s="91"/>
      <c r="T2" s="89" t="s">
        <v>104</v>
      </c>
      <c r="U2" s="89"/>
      <c r="V2" s="90" t="s">
        <v>105</v>
      </c>
      <c r="W2" s="90"/>
      <c r="X2" s="90" t="s">
        <v>106</v>
      </c>
      <c r="Y2" s="90"/>
      <c r="Z2" s="91" t="s">
        <v>103</v>
      </c>
      <c r="AA2" s="91"/>
    </row>
    <row r="3" customFormat="false" ht="13.5" hidden="false" customHeight="false" outlineLevel="0" collapsed="false">
      <c r="A3" s="85"/>
      <c r="B3" s="93" t="s">
        <v>107</v>
      </c>
      <c r="C3" s="94" t="s">
        <v>108</v>
      </c>
      <c r="D3" s="94" t="s">
        <v>107</v>
      </c>
      <c r="E3" s="94" t="s">
        <v>108</v>
      </c>
      <c r="F3" s="94" t="s">
        <v>107</v>
      </c>
      <c r="G3" s="94" t="s">
        <v>108</v>
      </c>
      <c r="H3" s="94" t="s">
        <v>107</v>
      </c>
      <c r="I3" s="95" t="s">
        <v>108</v>
      </c>
      <c r="J3" s="96" t="s">
        <v>107</v>
      </c>
      <c r="K3" s="94" t="s">
        <v>108</v>
      </c>
      <c r="L3" s="94" t="s">
        <v>107</v>
      </c>
      <c r="M3" s="94" t="s">
        <v>108</v>
      </c>
      <c r="N3" s="94" t="s">
        <v>107</v>
      </c>
      <c r="O3" s="94" t="s">
        <v>108</v>
      </c>
      <c r="P3" s="94" t="s">
        <v>107</v>
      </c>
      <c r="Q3" s="94" t="s">
        <v>108</v>
      </c>
      <c r="R3" s="94" t="s">
        <v>107</v>
      </c>
      <c r="S3" s="95" t="s">
        <v>108</v>
      </c>
      <c r="T3" s="93" t="s">
        <v>107</v>
      </c>
      <c r="U3" s="94" t="s">
        <v>108</v>
      </c>
      <c r="V3" s="94" t="s">
        <v>107</v>
      </c>
      <c r="W3" s="94" t="s">
        <v>108</v>
      </c>
      <c r="X3" s="94" t="s">
        <v>107</v>
      </c>
      <c r="Y3" s="94" t="s">
        <v>108</v>
      </c>
      <c r="Z3" s="94" t="s">
        <v>107</v>
      </c>
      <c r="AA3" s="95" t="s">
        <v>108</v>
      </c>
    </row>
    <row r="4" customFormat="false" ht="13.5" hidden="false" customHeight="false" outlineLevel="0" collapsed="false">
      <c r="A4" s="97" t="s">
        <v>109</v>
      </c>
      <c r="B4" s="98"/>
      <c r="C4" s="98"/>
      <c r="D4" s="98"/>
      <c r="E4" s="98"/>
      <c r="F4" s="98"/>
      <c r="G4" s="98"/>
      <c r="H4" s="98"/>
      <c r="I4" s="99"/>
      <c r="J4" s="98"/>
      <c r="K4" s="98"/>
      <c r="L4" s="98"/>
      <c r="M4" s="98"/>
      <c r="N4" s="98"/>
      <c r="O4" s="98"/>
      <c r="P4" s="98"/>
      <c r="Q4" s="98"/>
      <c r="R4" s="98"/>
      <c r="S4" s="99"/>
      <c r="T4" s="100"/>
      <c r="U4" s="98"/>
      <c r="V4" s="98"/>
      <c r="W4" s="98"/>
      <c r="X4" s="98"/>
      <c r="Y4" s="98"/>
      <c r="Z4" s="98"/>
      <c r="AA4" s="99"/>
    </row>
    <row r="5" customFormat="false" ht="13.5" hidden="false" customHeight="false" outlineLevel="0" collapsed="false">
      <c r="A5" s="101" t="s">
        <v>76</v>
      </c>
      <c r="B5" s="102"/>
      <c r="C5" s="102"/>
      <c r="D5" s="102"/>
      <c r="E5" s="102"/>
      <c r="F5" s="102"/>
      <c r="G5" s="102"/>
      <c r="H5" s="102"/>
      <c r="I5" s="103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104"/>
      <c r="U5" s="102"/>
      <c r="V5" s="102"/>
      <c r="W5" s="102"/>
      <c r="X5" s="102"/>
      <c r="Y5" s="102"/>
      <c r="Z5" s="102"/>
      <c r="AA5" s="103"/>
    </row>
    <row r="6" customFormat="false" ht="12.75" hidden="false" customHeight="false" outlineLevel="0" collapsed="false">
      <c r="A6" s="105" t="s">
        <v>110</v>
      </c>
      <c r="B6" s="106"/>
      <c r="C6" s="106"/>
      <c r="D6" s="106"/>
      <c r="E6" s="106"/>
      <c r="F6" s="106"/>
      <c r="G6" s="106"/>
      <c r="H6" s="106"/>
      <c r="I6" s="107"/>
      <c r="J6" s="108"/>
      <c r="K6" s="106"/>
      <c r="L6" s="106"/>
      <c r="M6" s="106"/>
      <c r="N6" s="106"/>
      <c r="O6" s="106"/>
      <c r="P6" s="106"/>
      <c r="Q6" s="106"/>
      <c r="R6" s="108"/>
      <c r="S6" s="107"/>
      <c r="T6" s="109"/>
      <c r="U6" s="106"/>
      <c r="V6" s="106"/>
      <c r="W6" s="106"/>
      <c r="X6" s="106"/>
      <c r="Y6" s="106"/>
      <c r="Z6" s="106"/>
      <c r="AA6" s="107"/>
    </row>
    <row r="7" customFormat="false" ht="12.75" hidden="false" customHeight="false" outlineLevel="0" collapsed="false">
      <c r="A7" s="110" t="s">
        <v>111</v>
      </c>
      <c r="B7" s="111"/>
      <c r="C7" s="111"/>
      <c r="D7" s="111"/>
      <c r="E7" s="111"/>
      <c r="F7" s="111"/>
      <c r="G7" s="111"/>
      <c r="H7" s="111"/>
      <c r="I7" s="112"/>
      <c r="J7" s="113"/>
      <c r="K7" s="111"/>
      <c r="L7" s="111"/>
      <c r="M7" s="111"/>
      <c r="N7" s="111"/>
      <c r="O7" s="111"/>
      <c r="P7" s="111"/>
      <c r="Q7" s="111"/>
      <c r="R7" s="113"/>
      <c r="S7" s="112"/>
      <c r="T7" s="114"/>
      <c r="U7" s="111"/>
      <c r="V7" s="111"/>
      <c r="W7" s="111"/>
      <c r="X7" s="111"/>
      <c r="Y7" s="111"/>
      <c r="Z7" s="111"/>
      <c r="AA7" s="112"/>
    </row>
    <row r="8" customFormat="false" ht="12.75" hidden="false" customHeight="false" outlineLevel="0" collapsed="false">
      <c r="A8" s="110" t="s">
        <v>112</v>
      </c>
      <c r="B8" s="111"/>
      <c r="C8" s="111"/>
      <c r="D8" s="111"/>
      <c r="E8" s="111"/>
      <c r="F8" s="111"/>
      <c r="G8" s="111"/>
      <c r="H8" s="111"/>
      <c r="I8" s="112"/>
      <c r="J8" s="113"/>
      <c r="K8" s="111"/>
      <c r="L8" s="111"/>
      <c r="M8" s="111"/>
      <c r="N8" s="111"/>
      <c r="O8" s="111"/>
      <c r="P8" s="111"/>
      <c r="Q8" s="111"/>
      <c r="R8" s="113"/>
      <c r="S8" s="112"/>
      <c r="T8" s="114"/>
      <c r="U8" s="111"/>
      <c r="V8" s="111"/>
      <c r="W8" s="111"/>
      <c r="X8" s="111"/>
      <c r="Y8" s="111"/>
      <c r="Z8" s="111"/>
      <c r="AA8" s="112"/>
    </row>
    <row r="9" customFormat="false" ht="13.5" hidden="false" customHeight="false" outlineLevel="0" collapsed="false">
      <c r="A9" s="115" t="s">
        <v>113</v>
      </c>
      <c r="B9" s="116"/>
      <c r="C9" s="116"/>
      <c r="D9" s="116"/>
      <c r="E9" s="116"/>
      <c r="F9" s="116"/>
      <c r="G9" s="116"/>
      <c r="H9" s="116"/>
      <c r="I9" s="117"/>
      <c r="J9" s="118"/>
      <c r="K9" s="116"/>
      <c r="L9" s="116"/>
      <c r="M9" s="116"/>
      <c r="N9" s="116"/>
      <c r="O9" s="116"/>
      <c r="P9" s="116"/>
      <c r="Q9" s="116"/>
      <c r="R9" s="118"/>
      <c r="S9" s="117"/>
      <c r="T9" s="119"/>
      <c r="U9" s="116"/>
      <c r="V9" s="116"/>
      <c r="W9" s="116"/>
      <c r="X9" s="116"/>
      <c r="Y9" s="116"/>
      <c r="Z9" s="116"/>
      <c r="AA9" s="117"/>
    </row>
    <row r="10" customFormat="false" ht="13.5" hidden="false" customHeight="false" outlineLevel="0" collapsed="false">
      <c r="A10" s="120" t="s">
        <v>26</v>
      </c>
      <c r="B10" s="121"/>
      <c r="C10" s="121"/>
      <c r="D10" s="121"/>
      <c r="E10" s="121"/>
      <c r="F10" s="121"/>
      <c r="G10" s="121"/>
      <c r="H10" s="121"/>
      <c r="I10" s="122"/>
      <c r="J10" s="121"/>
      <c r="K10" s="121"/>
      <c r="L10" s="121"/>
      <c r="M10" s="121"/>
      <c r="N10" s="121"/>
      <c r="O10" s="121"/>
      <c r="P10" s="121"/>
      <c r="Q10" s="121"/>
      <c r="R10" s="121"/>
      <c r="S10" s="122"/>
      <c r="T10" s="123"/>
      <c r="U10" s="121"/>
      <c r="V10" s="121"/>
      <c r="W10" s="121"/>
      <c r="X10" s="121"/>
      <c r="Y10" s="121"/>
      <c r="Z10" s="121"/>
      <c r="AA10" s="122"/>
    </row>
    <row r="11" customFormat="false" ht="12.75" hidden="false" customHeight="false" outlineLevel="0" collapsed="false">
      <c r="A11" s="105" t="s">
        <v>25</v>
      </c>
      <c r="B11" s="106" t="n">
        <v>0</v>
      </c>
      <c r="C11" s="106" t="n">
        <v>23</v>
      </c>
      <c r="D11" s="106" t="n">
        <v>0</v>
      </c>
      <c r="E11" s="106" t="n">
        <v>7</v>
      </c>
      <c r="F11" s="106" t="n">
        <v>0</v>
      </c>
      <c r="G11" s="106" t="n">
        <v>10</v>
      </c>
      <c r="H11" s="106" t="n">
        <v>0</v>
      </c>
      <c r="I11" s="107" t="n">
        <v>19</v>
      </c>
      <c r="J11" s="108" t="n">
        <v>0</v>
      </c>
      <c r="K11" s="106" t="n">
        <v>19</v>
      </c>
      <c r="L11" s="106" t="n">
        <v>0</v>
      </c>
      <c r="M11" s="106" t="n">
        <v>24</v>
      </c>
      <c r="N11" s="106" t="n">
        <v>0</v>
      </c>
      <c r="O11" s="106" t="n">
        <v>8</v>
      </c>
      <c r="P11" s="106" t="n">
        <v>0</v>
      </c>
      <c r="Q11" s="106" t="n">
        <v>9</v>
      </c>
      <c r="R11" s="108" t="n">
        <v>0</v>
      </c>
      <c r="S11" s="107" t="n">
        <v>14</v>
      </c>
      <c r="T11" s="109"/>
      <c r="U11" s="106"/>
      <c r="V11" s="106"/>
      <c r="W11" s="106"/>
      <c r="X11" s="106"/>
      <c r="Y11" s="106"/>
      <c r="Z11" s="106"/>
      <c r="AA11" s="107"/>
    </row>
    <row r="12" customFormat="false" ht="12.75" hidden="false" customHeight="false" outlineLevel="0" collapsed="false">
      <c r="A12" s="110" t="s">
        <v>23</v>
      </c>
      <c r="B12" s="111" t="n">
        <v>0</v>
      </c>
      <c r="C12" s="111" t="n">
        <v>2</v>
      </c>
      <c r="D12" s="111" t="n">
        <v>2</v>
      </c>
      <c r="E12" s="111" t="n">
        <v>0</v>
      </c>
      <c r="F12" s="111" t="n">
        <v>0</v>
      </c>
      <c r="G12" s="111" t="n">
        <v>2</v>
      </c>
      <c r="H12" s="111" t="n">
        <v>0</v>
      </c>
      <c r="I12" s="112" t="n">
        <v>2</v>
      </c>
      <c r="J12" s="113" t="n">
        <v>0</v>
      </c>
      <c r="K12" s="111" t="n">
        <v>0</v>
      </c>
      <c r="L12" s="111" t="n">
        <v>0</v>
      </c>
      <c r="M12" s="111" t="n">
        <v>10</v>
      </c>
      <c r="N12" s="111" t="n">
        <v>0</v>
      </c>
      <c r="O12" s="111" t="n">
        <v>12</v>
      </c>
      <c r="P12" s="111" t="n">
        <v>0</v>
      </c>
      <c r="Q12" s="111" t="n">
        <v>0</v>
      </c>
      <c r="R12" s="113" t="n">
        <v>0</v>
      </c>
      <c r="S12" s="112" t="n">
        <v>0</v>
      </c>
      <c r="T12" s="114"/>
      <c r="U12" s="111"/>
      <c r="V12" s="111"/>
      <c r="W12" s="111"/>
      <c r="X12" s="111"/>
      <c r="Y12" s="111"/>
      <c r="Z12" s="111"/>
      <c r="AA12" s="112"/>
    </row>
    <row r="13" customFormat="false" ht="12.75" hidden="false" customHeight="false" outlineLevel="0" collapsed="false">
      <c r="A13" s="110" t="s">
        <v>114</v>
      </c>
      <c r="B13" s="111" t="n">
        <v>0</v>
      </c>
      <c r="C13" s="111" t="n">
        <v>1</v>
      </c>
      <c r="D13" s="111" t="n">
        <v>0</v>
      </c>
      <c r="E13" s="111" t="n">
        <v>4</v>
      </c>
      <c r="F13" s="111" t="n">
        <v>0</v>
      </c>
      <c r="G13" s="111" t="n">
        <v>12</v>
      </c>
      <c r="H13" s="111" t="n">
        <v>0</v>
      </c>
      <c r="I13" s="112" t="n">
        <v>10</v>
      </c>
      <c r="J13" s="113" t="n">
        <v>0</v>
      </c>
      <c r="K13" s="111" t="n">
        <v>4</v>
      </c>
      <c r="L13" s="111" t="n">
        <v>0</v>
      </c>
      <c r="M13" s="111" t="n">
        <v>0</v>
      </c>
      <c r="N13" s="111" t="n">
        <v>0</v>
      </c>
      <c r="O13" s="111" t="n">
        <v>0</v>
      </c>
      <c r="P13" s="111" t="n">
        <v>0</v>
      </c>
      <c r="Q13" s="111" t="n">
        <v>2</v>
      </c>
      <c r="R13" s="113" t="n">
        <v>0</v>
      </c>
      <c r="S13" s="112" t="n">
        <v>11</v>
      </c>
      <c r="T13" s="114"/>
      <c r="U13" s="111"/>
      <c r="V13" s="111"/>
      <c r="W13" s="111"/>
      <c r="X13" s="111"/>
      <c r="Y13" s="111"/>
      <c r="Z13" s="111"/>
      <c r="AA13" s="112"/>
    </row>
    <row r="14" customFormat="false" ht="13.5" hidden="false" customHeight="false" outlineLevel="0" collapsed="false">
      <c r="A14" s="115" t="s">
        <v>27</v>
      </c>
      <c r="B14" s="116" t="n">
        <v>0</v>
      </c>
      <c r="C14" s="116" t="n">
        <v>0</v>
      </c>
      <c r="D14" s="116" t="n">
        <v>0</v>
      </c>
      <c r="E14" s="116" t="n">
        <v>0</v>
      </c>
      <c r="F14" s="116" t="n">
        <v>0</v>
      </c>
      <c r="G14" s="116" t="n">
        <v>0</v>
      </c>
      <c r="H14" s="116" t="n">
        <v>0</v>
      </c>
      <c r="I14" s="117" t="n">
        <v>0</v>
      </c>
      <c r="J14" s="118" t="n">
        <v>0</v>
      </c>
      <c r="K14" s="116" t="n">
        <v>1</v>
      </c>
      <c r="L14" s="116" t="n">
        <v>0</v>
      </c>
      <c r="M14" s="116" t="n">
        <v>0</v>
      </c>
      <c r="N14" s="116" t="n">
        <v>0</v>
      </c>
      <c r="O14" s="116" t="n">
        <v>0</v>
      </c>
      <c r="P14" s="116" t="n">
        <v>0</v>
      </c>
      <c r="Q14" s="116" t="n">
        <v>0</v>
      </c>
      <c r="R14" s="118" t="n">
        <v>0</v>
      </c>
      <c r="S14" s="117" t="n">
        <v>0</v>
      </c>
      <c r="T14" s="119"/>
      <c r="U14" s="116"/>
      <c r="V14" s="116"/>
      <c r="W14" s="116"/>
      <c r="X14" s="116"/>
      <c r="Y14" s="116"/>
      <c r="Z14" s="116"/>
      <c r="AA14" s="117"/>
    </row>
    <row r="15" customFormat="false" ht="13.5" hidden="false" customHeight="false" outlineLevel="0" collapsed="false">
      <c r="A15" s="124" t="s">
        <v>16</v>
      </c>
      <c r="B15" s="125"/>
      <c r="C15" s="125"/>
      <c r="D15" s="125"/>
      <c r="E15" s="125"/>
      <c r="F15" s="125"/>
      <c r="G15" s="125"/>
      <c r="H15" s="125"/>
      <c r="I15" s="126"/>
      <c r="J15" s="125"/>
      <c r="K15" s="125"/>
      <c r="L15" s="125"/>
      <c r="M15" s="125"/>
      <c r="N15" s="125"/>
      <c r="O15" s="125"/>
      <c r="P15" s="125"/>
      <c r="Q15" s="125"/>
      <c r="R15" s="125"/>
      <c r="S15" s="126"/>
      <c r="T15" s="127"/>
      <c r="U15" s="125"/>
      <c r="V15" s="125"/>
      <c r="W15" s="125"/>
      <c r="X15" s="125"/>
      <c r="Y15" s="125"/>
      <c r="Z15" s="125"/>
      <c r="AA15" s="126"/>
    </row>
    <row r="16" customFormat="false" ht="12.75" hidden="false" customHeight="false" outlineLevel="0" collapsed="false">
      <c r="A16" s="105" t="s">
        <v>18</v>
      </c>
      <c r="B16" s="106"/>
      <c r="C16" s="106"/>
      <c r="D16" s="106"/>
      <c r="E16" s="106"/>
      <c r="F16" s="106"/>
      <c r="G16" s="106"/>
      <c r="H16" s="106"/>
      <c r="I16" s="107"/>
      <c r="J16" s="108"/>
      <c r="K16" s="106"/>
      <c r="L16" s="106"/>
      <c r="M16" s="106"/>
      <c r="N16" s="106"/>
      <c r="O16" s="106"/>
      <c r="P16" s="106"/>
      <c r="Q16" s="106"/>
      <c r="R16" s="108"/>
      <c r="S16" s="107"/>
      <c r="T16" s="109"/>
      <c r="U16" s="106"/>
      <c r="V16" s="106"/>
      <c r="W16" s="106"/>
      <c r="X16" s="106"/>
      <c r="Y16" s="106"/>
      <c r="Z16" s="106"/>
      <c r="AA16" s="107"/>
    </row>
    <row r="17" customFormat="false" ht="12.75" hidden="false" customHeight="false" outlineLevel="0" collapsed="false">
      <c r="A17" s="110" t="s">
        <v>22</v>
      </c>
      <c r="B17" s="111"/>
      <c r="C17" s="111"/>
      <c r="D17" s="111"/>
      <c r="E17" s="111"/>
      <c r="F17" s="111"/>
      <c r="G17" s="111"/>
      <c r="H17" s="111"/>
      <c r="I17" s="112"/>
      <c r="J17" s="113"/>
      <c r="K17" s="111"/>
      <c r="L17" s="111"/>
      <c r="M17" s="111"/>
      <c r="N17" s="111"/>
      <c r="O17" s="111"/>
      <c r="P17" s="111"/>
      <c r="Q17" s="111"/>
      <c r="R17" s="113"/>
      <c r="S17" s="112"/>
      <c r="T17" s="114"/>
      <c r="U17" s="111"/>
      <c r="V17" s="111"/>
      <c r="W17" s="111"/>
      <c r="X17" s="111"/>
      <c r="Y17" s="111"/>
      <c r="Z17" s="111"/>
      <c r="AA17" s="112"/>
    </row>
    <row r="18" customFormat="false" ht="12.75" hidden="false" customHeight="false" outlineLevel="0" collapsed="false">
      <c r="A18" s="110" t="s">
        <v>17</v>
      </c>
      <c r="B18" s="111"/>
      <c r="C18" s="111"/>
      <c r="D18" s="111"/>
      <c r="E18" s="111"/>
      <c r="F18" s="111"/>
      <c r="G18" s="111"/>
      <c r="H18" s="111"/>
      <c r="I18" s="112"/>
      <c r="J18" s="113"/>
      <c r="K18" s="111"/>
      <c r="L18" s="111"/>
      <c r="M18" s="111"/>
      <c r="N18" s="111"/>
      <c r="O18" s="111"/>
      <c r="P18" s="111"/>
      <c r="Q18" s="111"/>
      <c r="R18" s="113"/>
      <c r="S18" s="112"/>
      <c r="T18" s="114"/>
      <c r="U18" s="111"/>
      <c r="V18" s="111"/>
      <c r="W18" s="111"/>
      <c r="X18" s="111"/>
      <c r="Y18" s="111"/>
      <c r="Z18" s="111"/>
      <c r="AA18" s="112"/>
    </row>
    <row r="19" customFormat="false" ht="13.5" hidden="false" customHeight="false" outlineLevel="0" collapsed="false">
      <c r="A19" s="115" t="s">
        <v>20</v>
      </c>
      <c r="B19" s="116"/>
      <c r="C19" s="116"/>
      <c r="D19" s="116"/>
      <c r="E19" s="116"/>
      <c r="F19" s="116"/>
      <c r="G19" s="116"/>
      <c r="H19" s="116"/>
      <c r="I19" s="117"/>
      <c r="J19" s="118"/>
      <c r="K19" s="116"/>
      <c r="L19" s="116"/>
      <c r="M19" s="116"/>
      <c r="N19" s="116"/>
      <c r="O19" s="116"/>
      <c r="P19" s="116"/>
      <c r="Q19" s="116"/>
      <c r="R19" s="118"/>
      <c r="S19" s="117"/>
      <c r="T19" s="119"/>
      <c r="U19" s="116"/>
      <c r="V19" s="116"/>
      <c r="W19" s="116"/>
      <c r="X19" s="116"/>
      <c r="Y19" s="116"/>
      <c r="Z19" s="116"/>
      <c r="AA19" s="117"/>
    </row>
    <row r="20" customFormat="false" ht="13.5" hidden="false" customHeight="false" outlineLevel="0" collapsed="false">
      <c r="A20" s="97" t="s">
        <v>115</v>
      </c>
      <c r="B20" s="128"/>
      <c r="C20" s="128"/>
      <c r="D20" s="128"/>
      <c r="E20" s="128"/>
      <c r="F20" s="128"/>
      <c r="G20" s="128"/>
      <c r="H20" s="128"/>
      <c r="I20" s="129"/>
      <c r="J20" s="128"/>
      <c r="K20" s="128"/>
      <c r="L20" s="128"/>
      <c r="M20" s="128"/>
      <c r="N20" s="128"/>
      <c r="O20" s="128"/>
      <c r="P20" s="128"/>
      <c r="Q20" s="128"/>
      <c r="R20" s="128"/>
      <c r="S20" s="129"/>
      <c r="T20" s="130"/>
      <c r="U20" s="128"/>
      <c r="V20" s="128"/>
      <c r="W20" s="128"/>
      <c r="X20" s="128"/>
      <c r="Y20" s="128"/>
      <c r="Z20" s="128"/>
      <c r="AA20" s="129"/>
    </row>
    <row r="21" customFormat="false" ht="13.5" hidden="false" customHeight="false" outlineLevel="0" collapsed="false">
      <c r="A21" s="124" t="s">
        <v>76</v>
      </c>
      <c r="B21" s="125"/>
      <c r="C21" s="125"/>
      <c r="D21" s="125"/>
      <c r="E21" s="125"/>
      <c r="F21" s="125"/>
      <c r="G21" s="125"/>
      <c r="H21" s="125"/>
      <c r="I21" s="126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127"/>
      <c r="U21" s="125"/>
      <c r="V21" s="125"/>
      <c r="W21" s="125"/>
      <c r="X21" s="125"/>
      <c r="Y21" s="125"/>
      <c r="Z21" s="125"/>
      <c r="AA21" s="126"/>
    </row>
    <row r="22" customFormat="false" ht="12.75" hidden="false" customHeight="false" outlineLevel="0" collapsed="false">
      <c r="A22" s="131" t="s">
        <v>111</v>
      </c>
      <c r="B22" s="132"/>
      <c r="C22" s="132"/>
      <c r="D22" s="132"/>
      <c r="E22" s="132"/>
      <c r="F22" s="132"/>
      <c r="G22" s="132"/>
      <c r="H22" s="132"/>
      <c r="I22" s="133"/>
      <c r="J22" s="134"/>
      <c r="K22" s="132"/>
      <c r="L22" s="132"/>
      <c r="M22" s="132"/>
      <c r="N22" s="132"/>
      <c r="O22" s="132"/>
      <c r="P22" s="132"/>
      <c r="Q22" s="132"/>
      <c r="R22" s="134"/>
      <c r="S22" s="133"/>
      <c r="T22" s="135"/>
      <c r="U22" s="132"/>
      <c r="V22" s="132"/>
      <c r="W22" s="132"/>
      <c r="X22" s="132"/>
      <c r="Y22" s="132"/>
      <c r="Z22" s="132"/>
      <c r="AA22" s="133"/>
    </row>
    <row r="23" customFormat="false" ht="12.75" hidden="false" customHeight="false" outlineLevel="0" collapsed="false">
      <c r="A23" s="110" t="s">
        <v>110</v>
      </c>
      <c r="B23" s="111"/>
      <c r="C23" s="111"/>
      <c r="D23" s="111"/>
      <c r="E23" s="111"/>
      <c r="F23" s="111"/>
      <c r="G23" s="111"/>
      <c r="H23" s="111"/>
      <c r="I23" s="112"/>
      <c r="J23" s="113"/>
      <c r="K23" s="111"/>
      <c r="L23" s="111"/>
      <c r="M23" s="111"/>
      <c r="N23" s="111"/>
      <c r="O23" s="111"/>
      <c r="P23" s="111"/>
      <c r="Q23" s="111"/>
      <c r="R23" s="113"/>
      <c r="S23" s="112"/>
      <c r="T23" s="114"/>
      <c r="U23" s="111"/>
      <c r="V23" s="111"/>
      <c r="W23" s="111"/>
      <c r="X23" s="111"/>
      <c r="Y23" s="111"/>
      <c r="Z23" s="111"/>
      <c r="AA23" s="112"/>
    </row>
    <row r="24" customFormat="false" ht="12.75" hidden="false" customHeight="false" outlineLevel="0" collapsed="false">
      <c r="A24" s="110" t="s">
        <v>112</v>
      </c>
      <c r="B24" s="111"/>
      <c r="C24" s="111"/>
      <c r="D24" s="111"/>
      <c r="E24" s="111"/>
      <c r="F24" s="111"/>
      <c r="G24" s="111"/>
      <c r="H24" s="111"/>
      <c r="I24" s="112"/>
      <c r="J24" s="113"/>
      <c r="K24" s="111"/>
      <c r="L24" s="111"/>
      <c r="M24" s="111"/>
      <c r="N24" s="111"/>
      <c r="O24" s="111"/>
      <c r="P24" s="111"/>
      <c r="Q24" s="111"/>
      <c r="R24" s="113"/>
      <c r="S24" s="112"/>
      <c r="T24" s="114"/>
      <c r="U24" s="111"/>
      <c r="V24" s="111"/>
      <c r="W24" s="111"/>
      <c r="X24" s="111"/>
      <c r="Y24" s="111"/>
      <c r="Z24" s="111"/>
      <c r="AA24" s="112"/>
    </row>
    <row r="25" customFormat="false" ht="13.5" hidden="false" customHeight="false" outlineLevel="0" collapsed="false">
      <c r="A25" s="136" t="s">
        <v>113</v>
      </c>
      <c r="B25" s="137"/>
      <c r="C25" s="137"/>
      <c r="D25" s="137"/>
      <c r="E25" s="137"/>
      <c r="F25" s="137"/>
      <c r="G25" s="137"/>
      <c r="H25" s="137"/>
      <c r="I25" s="138"/>
      <c r="J25" s="139"/>
      <c r="K25" s="137"/>
      <c r="L25" s="137"/>
      <c r="M25" s="137"/>
      <c r="N25" s="137"/>
      <c r="O25" s="137"/>
      <c r="P25" s="137"/>
      <c r="Q25" s="137"/>
      <c r="R25" s="139"/>
      <c r="S25" s="138"/>
      <c r="T25" s="140"/>
      <c r="U25" s="137"/>
      <c r="V25" s="137"/>
      <c r="W25" s="137"/>
      <c r="X25" s="137"/>
      <c r="Y25" s="137"/>
      <c r="Z25" s="137"/>
      <c r="AA25" s="138"/>
    </row>
    <row r="26" customFormat="false" ht="13.5" hidden="false" customHeight="false" outlineLevel="0" collapsed="false">
      <c r="A26" s="124" t="s">
        <v>26</v>
      </c>
      <c r="B26" s="125"/>
      <c r="C26" s="125"/>
      <c r="D26" s="125"/>
      <c r="E26" s="125"/>
      <c r="F26" s="125"/>
      <c r="G26" s="125"/>
      <c r="H26" s="125"/>
      <c r="I26" s="126"/>
      <c r="J26" s="125"/>
      <c r="K26" s="125"/>
      <c r="L26" s="125"/>
      <c r="M26" s="125"/>
      <c r="N26" s="125"/>
      <c r="O26" s="125"/>
      <c r="P26" s="125"/>
      <c r="Q26" s="125"/>
      <c r="R26" s="125"/>
      <c r="S26" s="126"/>
      <c r="T26" s="127"/>
      <c r="U26" s="125"/>
      <c r="V26" s="125"/>
      <c r="W26" s="125"/>
      <c r="X26" s="125"/>
      <c r="Y26" s="125"/>
      <c r="Z26" s="125"/>
      <c r="AA26" s="126"/>
    </row>
    <row r="27" customFormat="false" ht="12.75" hidden="false" customHeight="false" outlineLevel="0" collapsed="false">
      <c r="A27" s="131" t="s">
        <v>25</v>
      </c>
      <c r="B27" s="132" t="n">
        <v>1</v>
      </c>
      <c r="C27" s="132" t="n">
        <v>62</v>
      </c>
      <c r="D27" s="132" t="n">
        <v>12</v>
      </c>
      <c r="E27" s="132" t="n">
        <v>107</v>
      </c>
      <c r="F27" s="132" t="n">
        <v>10</v>
      </c>
      <c r="G27" s="132" t="n">
        <v>83</v>
      </c>
      <c r="H27" s="132" t="n">
        <v>2</v>
      </c>
      <c r="I27" s="133" t="n">
        <v>103</v>
      </c>
      <c r="J27" s="134" t="n">
        <v>5</v>
      </c>
      <c r="K27" s="132" t="n">
        <v>62</v>
      </c>
      <c r="L27" s="132" t="n">
        <v>7</v>
      </c>
      <c r="M27" s="132" t="n">
        <v>38</v>
      </c>
      <c r="N27" s="132" t="n">
        <v>4</v>
      </c>
      <c r="O27" s="132" t="n">
        <v>26</v>
      </c>
      <c r="P27" s="132" t="n">
        <v>2</v>
      </c>
      <c r="Q27" s="132" t="n">
        <v>30</v>
      </c>
      <c r="R27" s="134" t="n">
        <v>5</v>
      </c>
      <c r="S27" s="133" t="n">
        <v>50</v>
      </c>
      <c r="T27" s="135"/>
      <c r="U27" s="132"/>
      <c r="V27" s="132"/>
      <c r="W27" s="132"/>
      <c r="X27" s="132"/>
      <c r="Y27" s="132"/>
      <c r="Z27" s="132"/>
      <c r="AA27" s="133"/>
    </row>
    <row r="28" customFormat="false" ht="12.75" hidden="false" customHeight="false" outlineLevel="0" collapsed="false">
      <c r="A28" s="110" t="s">
        <v>23</v>
      </c>
      <c r="B28" s="111" t="n">
        <v>0</v>
      </c>
      <c r="C28" s="111" t="n">
        <v>3</v>
      </c>
      <c r="D28" s="111" t="n">
        <v>0</v>
      </c>
      <c r="E28" s="111" t="n">
        <v>15</v>
      </c>
      <c r="F28" s="111" t="n">
        <v>1</v>
      </c>
      <c r="G28" s="111" t="n">
        <v>6</v>
      </c>
      <c r="H28" s="111" t="n">
        <v>0</v>
      </c>
      <c r="I28" s="112" t="n">
        <v>22</v>
      </c>
      <c r="J28" s="113" t="n">
        <v>0</v>
      </c>
      <c r="K28" s="111" t="n">
        <v>4</v>
      </c>
      <c r="L28" s="111" t="n">
        <v>0</v>
      </c>
      <c r="M28" s="111" t="n">
        <v>2</v>
      </c>
      <c r="N28" s="111" t="n">
        <v>0</v>
      </c>
      <c r="O28" s="111" t="n">
        <v>18</v>
      </c>
      <c r="P28" s="111" t="n">
        <v>0</v>
      </c>
      <c r="Q28" s="111" t="n">
        <v>17</v>
      </c>
      <c r="R28" s="113" t="n">
        <v>0</v>
      </c>
      <c r="S28" s="112" t="n">
        <v>18</v>
      </c>
      <c r="T28" s="114"/>
      <c r="U28" s="111"/>
      <c r="V28" s="111"/>
      <c r="W28" s="111"/>
      <c r="X28" s="111"/>
      <c r="Y28" s="111"/>
      <c r="Z28" s="111"/>
      <c r="AA28" s="112"/>
    </row>
    <row r="29" customFormat="false" ht="12.75" hidden="false" customHeight="false" outlineLevel="0" collapsed="false">
      <c r="A29" s="110" t="s">
        <v>114</v>
      </c>
      <c r="B29" s="111" t="n">
        <v>4</v>
      </c>
      <c r="C29" s="111" t="n">
        <v>1</v>
      </c>
      <c r="D29" s="111" t="n">
        <v>3</v>
      </c>
      <c r="E29" s="111" t="n">
        <v>10</v>
      </c>
      <c r="F29" s="111" t="n">
        <v>0</v>
      </c>
      <c r="G29" s="111" t="n">
        <v>12</v>
      </c>
      <c r="H29" s="111" t="n">
        <v>0</v>
      </c>
      <c r="I29" s="112" t="n">
        <v>9</v>
      </c>
      <c r="J29" s="113" t="n">
        <v>2</v>
      </c>
      <c r="K29" s="111" t="n">
        <v>23</v>
      </c>
      <c r="L29" s="111" t="n">
        <v>4</v>
      </c>
      <c r="M29" s="111" t="n">
        <v>13</v>
      </c>
      <c r="N29" s="111" t="n">
        <v>3</v>
      </c>
      <c r="O29" s="111" t="n">
        <v>12</v>
      </c>
      <c r="P29" s="111" t="n">
        <v>3</v>
      </c>
      <c r="Q29" s="111" t="n">
        <v>18</v>
      </c>
      <c r="R29" s="113" t="n">
        <v>5</v>
      </c>
      <c r="S29" s="112" t="n">
        <v>41</v>
      </c>
      <c r="T29" s="114"/>
      <c r="U29" s="111"/>
      <c r="V29" s="111"/>
      <c r="W29" s="111"/>
      <c r="X29" s="111"/>
      <c r="Y29" s="111"/>
      <c r="Z29" s="111"/>
      <c r="AA29" s="112"/>
    </row>
    <row r="30" customFormat="false" ht="13.5" hidden="false" customHeight="false" outlineLevel="0" collapsed="false">
      <c r="A30" s="136" t="s">
        <v>27</v>
      </c>
      <c r="B30" s="137" t="n">
        <v>0</v>
      </c>
      <c r="C30" s="137" t="n">
        <v>0</v>
      </c>
      <c r="D30" s="137" t="n">
        <v>0</v>
      </c>
      <c r="E30" s="137" t="n">
        <v>0</v>
      </c>
      <c r="F30" s="137" t="n">
        <v>0</v>
      </c>
      <c r="G30" s="137" t="n">
        <v>0</v>
      </c>
      <c r="H30" s="137" t="n">
        <v>0</v>
      </c>
      <c r="I30" s="138" t="n">
        <v>0</v>
      </c>
      <c r="J30" s="139" t="n">
        <v>0</v>
      </c>
      <c r="K30" s="137" t="n">
        <v>0</v>
      </c>
      <c r="L30" s="137" t="n">
        <v>0</v>
      </c>
      <c r="M30" s="137" t="n">
        <v>1</v>
      </c>
      <c r="N30" s="137" t="n">
        <v>0</v>
      </c>
      <c r="O30" s="137" t="n">
        <v>2</v>
      </c>
      <c r="P30" s="137" t="n">
        <v>0</v>
      </c>
      <c r="Q30" s="137" t="n">
        <v>0</v>
      </c>
      <c r="R30" s="139" t="n">
        <v>0</v>
      </c>
      <c r="S30" s="138" t="n">
        <v>1</v>
      </c>
      <c r="T30" s="140"/>
      <c r="U30" s="137"/>
      <c r="V30" s="137"/>
      <c r="W30" s="137"/>
      <c r="X30" s="137"/>
      <c r="Y30" s="137"/>
      <c r="Z30" s="137"/>
      <c r="AA30" s="138"/>
    </row>
    <row r="31" customFormat="false" ht="13.5" hidden="false" customHeight="false" outlineLevel="0" collapsed="false">
      <c r="A31" s="124" t="s">
        <v>16</v>
      </c>
      <c r="B31" s="125"/>
      <c r="C31" s="125"/>
      <c r="D31" s="125"/>
      <c r="E31" s="125"/>
      <c r="F31" s="125"/>
      <c r="G31" s="125"/>
      <c r="H31" s="125"/>
      <c r="I31" s="126"/>
      <c r="J31" s="125"/>
      <c r="K31" s="125"/>
      <c r="L31" s="125"/>
      <c r="M31" s="125"/>
      <c r="N31" s="125"/>
      <c r="O31" s="125"/>
      <c r="P31" s="125"/>
      <c r="Q31" s="125"/>
      <c r="R31" s="125"/>
      <c r="S31" s="126"/>
      <c r="T31" s="127"/>
      <c r="U31" s="125"/>
      <c r="V31" s="125"/>
      <c r="W31" s="125"/>
      <c r="X31" s="125"/>
      <c r="Y31" s="125"/>
      <c r="Z31" s="125"/>
      <c r="AA31" s="126"/>
    </row>
    <row r="32" customFormat="false" ht="12.75" hidden="false" customHeight="false" outlineLevel="0" collapsed="false">
      <c r="A32" s="105" t="s">
        <v>17</v>
      </c>
      <c r="B32" s="106"/>
      <c r="C32" s="106"/>
      <c r="D32" s="106"/>
      <c r="E32" s="106"/>
      <c r="F32" s="106"/>
      <c r="G32" s="106"/>
      <c r="H32" s="106"/>
      <c r="I32" s="107"/>
      <c r="J32" s="108"/>
      <c r="K32" s="106"/>
      <c r="L32" s="106"/>
      <c r="M32" s="106"/>
      <c r="N32" s="106"/>
      <c r="O32" s="106"/>
      <c r="P32" s="106"/>
      <c r="Q32" s="106"/>
      <c r="R32" s="108"/>
      <c r="S32" s="107"/>
      <c r="T32" s="109"/>
      <c r="U32" s="106"/>
      <c r="V32" s="106"/>
      <c r="W32" s="106"/>
      <c r="X32" s="106"/>
      <c r="Y32" s="106"/>
      <c r="Z32" s="106"/>
      <c r="AA32" s="107"/>
    </row>
    <row r="33" customFormat="false" ht="13.5" hidden="false" customHeight="false" outlineLevel="0" collapsed="false">
      <c r="A33" s="115" t="s">
        <v>19</v>
      </c>
      <c r="B33" s="116"/>
      <c r="C33" s="116"/>
      <c r="D33" s="116"/>
      <c r="E33" s="116"/>
      <c r="F33" s="116"/>
      <c r="G33" s="116"/>
      <c r="H33" s="116"/>
      <c r="I33" s="117"/>
      <c r="J33" s="118"/>
      <c r="K33" s="116"/>
      <c r="L33" s="116"/>
      <c r="M33" s="116"/>
      <c r="N33" s="116"/>
      <c r="O33" s="116"/>
      <c r="P33" s="116"/>
      <c r="Q33" s="116"/>
      <c r="R33" s="118"/>
      <c r="S33" s="117"/>
      <c r="T33" s="119"/>
      <c r="U33" s="116"/>
      <c r="V33" s="116"/>
      <c r="W33" s="116"/>
      <c r="X33" s="116"/>
      <c r="Y33" s="116"/>
      <c r="Z33" s="116"/>
      <c r="AA33" s="117"/>
    </row>
  </sheetData>
  <mergeCells count="17">
    <mergeCell ref="A1:A3"/>
    <mergeCell ref="B1:I1"/>
    <mergeCell ref="J1:Q1"/>
    <mergeCell ref="T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107</v>
      </c>
    </row>
    <row r="2" customFormat="false" ht="12.75" hidden="false" customHeight="false" outlineLevel="0" collapsed="false">
      <c r="B2" s="142" t="s">
        <v>116</v>
      </c>
      <c r="C2" s="142"/>
      <c r="D2" s="143" t="s">
        <v>117</v>
      </c>
    </row>
    <row r="3" customFormat="false" ht="12.75" hidden="false" customHeight="false" outlineLevel="0" collapsed="false">
      <c r="A3" s="144" t="s">
        <v>118</v>
      </c>
      <c r="B3" s="145" t="s">
        <v>1</v>
      </c>
      <c r="C3" s="145" t="s">
        <v>119</v>
      </c>
      <c r="D3" s="146" t="s">
        <v>80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7" t="s">
        <v>10</v>
      </c>
      <c r="B5" s="148"/>
      <c r="C5" s="14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customFormat="false" ht="12.75" hidden="false" customHeight="false" outlineLevel="0" collapsed="false">
      <c r="A6" s="149" t="s">
        <v>13</v>
      </c>
      <c r="B6" s="150" t="n">
        <v>10211</v>
      </c>
      <c r="C6" s="34" t="n">
        <v>1100132468</v>
      </c>
      <c r="D6" s="75" t="s">
        <v>57</v>
      </c>
      <c r="E6" s="8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customFormat="false" ht="12.75" hidden="false" customHeight="false" outlineLevel="0" collapsed="false">
      <c r="A7" s="149" t="s">
        <v>14</v>
      </c>
      <c r="B7" s="150" t="n">
        <v>1796</v>
      </c>
      <c r="C7" s="34" t="n">
        <v>15451320</v>
      </c>
      <c r="D7" s="75" t="s">
        <v>58</v>
      </c>
      <c r="E7" s="8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customFormat="false" ht="12.75" hidden="false" customHeight="false" outlineLevel="0" collapsed="false">
      <c r="A8" s="147" t="s">
        <v>16</v>
      </c>
      <c r="B8" s="151"/>
      <c r="C8" s="152"/>
      <c r="D8" s="75"/>
      <c r="E8" s="8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customFormat="false" ht="12.75" hidden="false" customHeight="false" outlineLevel="0" collapsed="false">
      <c r="A9" s="149" t="s">
        <v>17</v>
      </c>
      <c r="B9" s="150" t="n">
        <v>1548</v>
      </c>
      <c r="C9" s="153" t="n">
        <v>40624000</v>
      </c>
      <c r="D9" s="75" t="s">
        <v>61</v>
      </c>
      <c r="E9" s="8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customFormat="false" ht="12.75" hidden="false" customHeight="false" outlineLevel="0" collapsed="false">
      <c r="A10" s="149" t="s">
        <v>19</v>
      </c>
      <c r="B10" s="150" t="n">
        <v>1</v>
      </c>
      <c r="C10" s="153" t="n">
        <v>37500</v>
      </c>
      <c r="D10" s="75" t="s">
        <v>63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customFormat="false" ht="12.75" hidden="false" customHeight="false" outlineLevel="0" collapsed="false">
      <c r="A11" s="149" t="s">
        <v>120</v>
      </c>
      <c r="B11" s="150" t="n">
        <v>3</v>
      </c>
      <c r="C11" s="153" t="n">
        <v>135000</v>
      </c>
      <c r="D11" s="75" t="s">
        <v>63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</row>
    <row r="12" customFormat="false" ht="12.75" hidden="false" customHeight="false" outlineLevel="0" collapsed="false">
      <c r="A12" s="149" t="s">
        <v>22</v>
      </c>
      <c r="B12" s="150" t="n">
        <v>1</v>
      </c>
      <c r="C12" s="153" t="n">
        <v>300</v>
      </c>
      <c r="D12" s="75" t="s">
        <v>65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customFormat="false" ht="12.75" hidden="false" customHeight="false" outlineLevel="0" collapsed="false">
      <c r="A13" s="154" t="s">
        <v>18</v>
      </c>
      <c r="B13" s="150" t="n">
        <v>0</v>
      </c>
      <c r="C13" s="150" t="n">
        <v>0</v>
      </c>
      <c r="D13" s="75" t="s">
        <v>66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customFormat="false" ht="12.75" hidden="false" customHeight="false" outlineLevel="0" collapsed="false">
      <c r="A14" s="149" t="s">
        <v>20</v>
      </c>
      <c r="B14" s="150" t="n">
        <v>0</v>
      </c>
      <c r="C14" s="150" t="n">
        <v>0</v>
      </c>
      <c r="D14" s="75" t="s">
        <v>68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customFormat="false" ht="12.75" hidden="false" customHeight="false" outlineLevel="0" collapsed="false">
      <c r="A15" s="147" t="s">
        <v>26</v>
      </c>
      <c r="B15" s="151"/>
      <c r="C15" s="152"/>
      <c r="D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customFormat="false" ht="12.75" hidden="false" customHeight="false" outlineLevel="0" collapsed="false">
      <c r="A16" s="149" t="s">
        <v>121</v>
      </c>
      <c r="B16" s="150" t="n">
        <v>0</v>
      </c>
      <c r="C16" s="150" t="n">
        <v>0</v>
      </c>
      <c r="D16" s="75" t="s">
        <v>63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customFormat="false" ht="12.75" hidden="false" customHeight="false" outlineLevel="0" collapsed="false">
      <c r="A17" s="149" t="s">
        <v>27</v>
      </c>
      <c r="B17" s="150" t="n">
        <v>0</v>
      </c>
      <c r="C17" s="150" t="n">
        <v>0</v>
      </c>
      <c r="D17" s="75" t="s">
        <v>63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</row>
    <row r="18" customFormat="false" ht="12.75" hidden="false" customHeight="false" outlineLevel="0" collapsed="false">
      <c r="B18" s="150"/>
      <c r="C18" s="150"/>
      <c r="D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</row>
    <row r="19" customFormat="false" ht="12.75" hidden="false" customHeight="false" outlineLevel="0" collapsed="false">
      <c r="B19" s="150"/>
      <c r="C19" s="150"/>
      <c r="D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customFormat="false" ht="12.75" hidden="false" customHeight="false" outlineLevel="0" collapsed="false">
      <c r="A20" s="82" t="s">
        <v>122</v>
      </c>
      <c r="B20" s="151" t="n">
        <v>6</v>
      </c>
      <c r="C20" s="151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customFormat="false" ht="12.75" hidden="false" customHeight="false" outlineLevel="0" collapsed="false">
      <c r="B21" s="150"/>
      <c r="C21" s="150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</row>
    <row r="22" customFormat="false" ht="12.75" hidden="false" customHeight="false" outlineLevel="0" collapsed="false">
      <c r="B22" s="150"/>
      <c r="C22" s="150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</row>
    <row r="23" customFormat="false" ht="12.75" hidden="false" customHeight="false" outlineLevel="0" collapsed="false">
      <c r="B23" s="150"/>
      <c r="C23" s="15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</row>
    <row r="24" customFormat="false" ht="23.25" hidden="false" customHeight="false" outlineLevel="0" collapsed="false">
      <c r="A24" s="141" t="s">
        <v>108</v>
      </c>
      <c r="B24" s="155"/>
      <c r="C24" s="155"/>
    </row>
    <row r="25" customFormat="false" ht="12.75" hidden="false" customHeight="false" outlineLevel="0" collapsed="false">
      <c r="B25" s="156" t="str">
        <f aca="false">B2</f>
        <v>Week ending 2/22</v>
      </c>
      <c r="C25" s="156"/>
      <c r="D25" s="143" t="s">
        <v>117</v>
      </c>
    </row>
    <row r="26" customFormat="false" ht="12.75" hidden="false" customHeight="false" outlineLevel="0" collapsed="false">
      <c r="A26" s="144" t="s">
        <v>118</v>
      </c>
      <c r="B26" s="157" t="s">
        <v>1</v>
      </c>
      <c r="C26" s="157" t="s">
        <v>119</v>
      </c>
      <c r="D26" s="146" t="s">
        <v>80</v>
      </c>
    </row>
    <row r="27" customFormat="false" ht="12.75" hidden="false" customHeight="false" outlineLevel="0" collapsed="false">
      <c r="A27" s="82"/>
      <c r="B27" s="158"/>
      <c r="C27" s="158"/>
    </row>
    <row r="28" customFormat="false" ht="12.75" hidden="false" customHeight="false" outlineLevel="0" collapsed="false">
      <c r="A28" s="147" t="s">
        <v>10</v>
      </c>
      <c r="B28" s="150"/>
      <c r="C28" s="150"/>
      <c r="D28" s="75"/>
      <c r="E28" s="75"/>
      <c r="F28" s="75"/>
      <c r="G28" s="75"/>
      <c r="H28" s="75"/>
      <c r="I28" s="75"/>
      <c r="J28" s="75"/>
    </row>
    <row r="29" customFormat="false" ht="12.75" hidden="false" customHeight="false" outlineLevel="0" collapsed="false">
      <c r="A29" s="149" t="s">
        <v>13</v>
      </c>
      <c r="B29" s="150" t="n">
        <v>2449</v>
      </c>
      <c r="C29" s="150" t="n">
        <v>1765555183</v>
      </c>
      <c r="D29" s="75" t="s">
        <v>57</v>
      </c>
      <c r="E29" s="75"/>
      <c r="F29" s="75"/>
      <c r="G29" s="75"/>
      <c r="H29" s="75"/>
      <c r="I29" s="75"/>
      <c r="J29" s="75"/>
    </row>
    <row r="30" customFormat="false" ht="12.75" hidden="false" customHeight="false" outlineLevel="0" collapsed="false">
      <c r="A30" s="149" t="s">
        <v>14</v>
      </c>
      <c r="B30" s="150" t="n">
        <v>1860</v>
      </c>
      <c r="C30" s="150" t="n">
        <v>22539170</v>
      </c>
      <c r="D30" s="75" t="s">
        <v>58</v>
      </c>
      <c r="E30" s="75"/>
      <c r="F30" s="75"/>
      <c r="G30" s="75"/>
      <c r="H30" s="75"/>
      <c r="I30" s="75"/>
      <c r="J30" s="75"/>
    </row>
    <row r="31" customFormat="false" ht="12.75" hidden="false" customHeight="false" outlineLevel="0" collapsed="false">
      <c r="A31" s="147" t="s">
        <v>16</v>
      </c>
      <c r="B31" s="151"/>
      <c r="C31" s="150"/>
      <c r="D31" s="75"/>
      <c r="E31" s="75"/>
      <c r="F31" s="75"/>
      <c r="G31" s="75"/>
      <c r="H31" s="75"/>
      <c r="I31" s="75"/>
      <c r="J31" s="75"/>
    </row>
    <row r="32" customFormat="false" ht="12.75" hidden="false" customHeight="false" outlineLevel="0" collapsed="false">
      <c r="A32" s="149" t="s">
        <v>17</v>
      </c>
      <c r="B32" s="150" t="n">
        <v>1587</v>
      </c>
      <c r="C32" s="150" t="n">
        <v>107025834</v>
      </c>
      <c r="D32" s="75" t="s">
        <v>61</v>
      </c>
      <c r="E32" s="75"/>
      <c r="F32" s="75"/>
      <c r="G32" s="75"/>
      <c r="H32" s="75"/>
      <c r="I32" s="75"/>
      <c r="J32" s="75"/>
    </row>
    <row r="33" customFormat="false" ht="12.75" hidden="false" customHeight="false" outlineLevel="0" collapsed="false">
      <c r="A33" s="149" t="s">
        <v>19</v>
      </c>
      <c r="B33" s="150" t="n">
        <v>14</v>
      </c>
      <c r="C33" s="150" t="n">
        <v>1613000</v>
      </c>
      <c r="D33" s="75" t="s">
        <v>63</v>
      </c>
      <c r="E33" s="75"/>
      <c r="F33" s="75"/>
      <c r="G33" s="75"/>
      <c r="H33" s="75"/>
      <c r="I33" s="75"/>
      <c r="J33" s="75"/>
    </row>
    <row r="34" customFormat="false" ht="12.75" hidden="false" customHeight="false" outlineLevel="0" collapsed="false">
      <c r="A34" s="149" t="s">
        <v>120</v>
      </c>
      <c r="B34" s="150" t="n">
        <v>10</v>
      </c>
      <c r="C34" s="150" t="n">
        <v>640000</v>
      </c>
      <c r="D34" s="75" t="s">
        <v>63</v>
      </c>
      <c r="E34" s="75"/>
      <c r="F34" s="75"/>
      <c r="G34" s="75"/>
      <c r="H34" s="75"/>
      <c r="I34" s="75"/>
      <c r="J34" s="75"/>
    </row>
    <row r="35" customFormat="false" ht="12.75" hidden="false" customHeight="false" outlineLevel="0" collapsed="false">
      <c r="A35" s="149" t="s">
        <v>22</v>
      </c>
      <c r="B35" s="150" t="n">
        <v>23</v>
      </c>
      <c r="C35" s="150" t="n">
        <v>377500</v>
      </c>
      <c r="D35" s="75" t="s">
        <v>65</v>
      </c>
      <c r="E35" s="75"/>
      <c r="F35" s="75"/>
      <c r="G35" s="75"/>
      <c r="H35" s="75"/>
      <c r="I35" s="75"/>
      <c r="J35" s="75"/>
    </row>
    <row r="36" customFormat="false" ht="12.75" hidden="false" customHeight="false" outlineLevel="0" collapsed="false">
      <c r="A36" s="149" t="s">
        <v>18</v>
      </c>
      <c r="B36" s="150" t="n">
        <v>142</v>
      </c>
      <c r="C36" s="150" t="n">
        <v>5786000</v>
      </c>
      <c r="D36" s="75" t="s">
        <v>66</v>
      </c>
      <c r="E36" s="75"/>
      <c r="F36" s="75"/>
      <c r="G36" s="75"/>
      <c r="H36" s="75"/>
      <c r="I36" s="75"/>
      <c r="J36" s="75"/>
    </row>
    <row r="37" customFormat="false" ht="12.75" hidden="false" customHeight="false" outlineLevel="0" collapsed="false">
      <c r="A37" s="149" t="s">
        <v>20</v>
      </c>
      <c r="B37" s="150" t="n">
        <v>6</v>
      </c>
      <c r="C37" s="150" t="n">
        <v>37500</v>
      </c>
      <c r="D37" s="75" t="s">
        <v>68</v>
      </c>
      <c r="E37" s="75"/>
      <c r="F37" s="75"/>
      <c r="G37" s="75"/>
      <c r="H37" s="75"/>
      <c r="I37" s="75"/>
      <c r="J37" s="75"/>
    </row>
    <row r="38" customFormat="false" ht="12.75" hidden="false" customHeight="false" outlineLevel="0" collapsed="false">
      <c r="A38" s="147" t="s">
        <v>26</v>
      </c>
      <c r="B38" s="151"/>
      <c r="C38" s="150"/>
      <c r="D38" s="75"/>
      <c r="E38" s="75"/>
      <c r="F38" s="75"/>
      <c r="G38" s="75"/>
      <c r="H38" s="75"/>
      <c r="I38" s="75"/>
      <c r="J38" s="75"/>
    </row>
    <row r="39" customFormat="false" ht="12.75" hidden="false" customHeight="false" outlineLevel="0" collapsed="false">
      <c r="A39" s="149" t="s">
        <v>121</v>
      </c>
      <c r="B39" s="150" t="n">
        <v>72</v>
      </c>
      <c r="C39" s="150" t="n">
        <v>56436</v>
      </c>
      <c r="D39" s="75" t="s">
        <v>63</v>
      </c>
      <c r="E39" s="75"/>
      <c r="F39" s="75"/>
      <c r="G39" s="75"/>
      <c r="H39" s="75"/>
      <c r="I39" s="75"/>
      <c r="J39" s="75"/>
    </row>
    <row r="40" customFormat="false" ht="12.75" hidden="false" customHeight="false" outlineLevel="0" collapsed="false">
      <c r="A40" s="149" t="s">
        <v>27</v>
      </c>
      <c r="B40" s="150" t="n">
        <v>0</v>
      </c>
      <c r="C40" s="150" t="n">
        <v>0</v>
      </c>
      <c r="D40" s="75" t="s">
        <v>63</v>
      </c>
      <c r="E40" s="75"/>
      <c r="F40" s="75"/>
      <c r="G40" s="75"/>
      <c r="H40" s="75"/>
      <c r="I40" s="75"/>
      <c r="J40" s="75"/>
    </row>
    <row r="41" customFormat="false" ht="12.75" hidden="false" customHeight="false" outlineLevel="0" collapsed="false">
      <c r="A41" s="149"/>
      <c r="B41" s="150"/>
      <c r="C41" s="150"/>
      <c r="D41" s="75"/>
      <c r="E41" s="75"/>
      <c r="F41" s="75"/>
      <c r="G41" s="75"/>
      <c r="H41" s="75"/>
      <c r="I41" s="75"/>
      <c r="J41" s="75"/>
    </row>
    <row r="42" customFormat="false" ht="12.75" hidden="false" customHeight="false" outlineLevel="0" collapsed="false">
      <c r="B42" s="150"/>
      <c r="C42" s="150"/>
      <c r="D42" s="75"/>
      <c r="E42" s="75"/>
      <c r="F42" s="75"/>
      <c r="G42" s="75"/>
      <c r="H42" s="75"/>
      <c r="I42" s="75"/>
      <c r="J42" s="75"/>
    </row>
    <row r="43" customFormat="false" ht="12.75" hidden="false" customHeight="false" outlineLevel="0" collapsed="false">
      <c r="B43" s="150"/>
      <c r="C43" s="150"/>
      <c r="D43" s="75"/>
      <c r="E43" s="75"/>
      <c r="F43" s="75"/>
      <c r="G43" s="75"/>
      <c r="H43" s="75"/>
      <c r="I43" s="75"/>
      <c r="J43" s="75"/>
    </row>
    <row r="44" customFormat="false" ht="23.25" hidden="false" customHeight="false" outlineLevel="0" collapsed="false">
      <c r="A44" s="141" t="s">
        <v>123</v>
      </c>
      <c r="B44" s="155"/>
      <c r="C44" s="155"/>
    </row>
    <row r="45" customFormat="false" ht="12.75" hidden="false" customHeight="false" outlineLevel="0" collapsed="false">
      <c r="B45" s="142" t="str">
        <f aca="false">B2</f>
        <v>Week ending 2/22</v>
      </c>
      <c r="C45" s="142"/>
      <c r="D45" s="143" t="s">
        <v>117</v>
      </c>
    </row>
    <row r="46" customFormat="false" ht="12.75" hidden="false" customHeight="false" outlineLevel="0" collapsed="false">
      <c r="A46" s="144" t="s">
        <v>118</v>
      </c>
      <c r="B46" s="145" t="s">
        <v>1</v>
      </c>
      <c r="C46" s="145" t="s">
        <v>119</v>
      </c>
      <c r="D46" s="146" t="s">
        <v>80</v>
      </c>
    </row>
    <row r="48" customFormat="false" ht="12.75" hidden="false" customHeight="false" outlineLevel="0" collapsed="false">
      <c r="A48" s="147" t="s">
        <v>26</v>
      </c>
      <c r="B48" s="34"/>
      <c r="C48" s="34"/>
    </row>
    <row r="49" customFormat="false" ht="12.75" hidden="false" customHeight="false" outlineLevel="0" collapsed="false">
      <c r="A49" s="149" t="s">
        <v>25</v>
      </c>
      <c r="B49" s="34" t="n">
        <v>4</v>
      </c>
      <c r="C49" s="34" t="n">
        <v>176000</v>
      </c>
      <c r="D49" s="0" t="s">
        <v>124</v>
      </c>
    </row>
    <row r="50" customFormat="false" ht="12.75" hidden="false" customHeight="false" outlineLevel="0" collapsed="false">
      <c r="A50" s="149" t="s">
        <v>23</v>
      </c>
      <c r="B50" s="34"/>
      <c r="C50" s="34"/>
    </row>
    <row r="51" customFormat="false" ht="12.75" hidden="false" customHeight="false" outlineLevel="0" collapsed="false">
      <c r="A51" s="149" t="s">
        <v>114</v>
      </c>
      <c r="B51" s="34"/>
      <c r="C51" s="34"/>
      <c r="D51" s="0" t="s">
        <v>125</v>
      </c>
    </row>
    <row r="53" customFormat="false" ht="12.75" hidden="false" customHeight="false" outlineLevel="0" collapsed="false">
      <c r="A53" s="82" t="s">
        <v>126</v>
      </c>
      <c r="B53" s="82" t="n">
        <v>1</v>
      </c>
      <c r="C53" s="82"/>
    </row>
    <row r="55" customFormat="false" ht="12.75" hidden="false" customHeight="false" outlineLevel="0" collapsed="false">
      <c r="A55" s="78" t="s">
        <v>127</v>
      </c>
      <c r="C55" s="159" t="n">
        <f aca="false">C49/1000</f>
        <v>176</v>
      </c>
    </row>
    <row r="58" customFormat="false" ht="12.75" hidden="false" customHeight="false" outlineLevel="0" collapsed="false">
      <c r="A58" s="147" t="s">
        <v>128</v>
      </c>
      <c r="B58" s="82"/>
      <c r="C58" s="160" t="n">
        <f aca="false">C55+C51+C40+C39+C17+C16</f>
        <v>56612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pane xSplit="1" ySplit="0" topLeftCell="B1" activePane="topRight" state="frozen"/>
      <selection pane="topLeft" activeCell="A12" activeCellId="0" sqref="A12"/>
      <selection pane="topRigh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45.13"/>
  </cols>
  <sheetData>
    <row r="1" customFormat="false" ht="23.25" hidden="false" customHeight="false" outlineLevel="0" collapsed="false">
      <c r="A1" s="141" t="s">
        <v>107</v>
      </c>
    </row>
    <row r="2" customFormat="false" ht="12.75" hidden="false" customHeight="false" outlineLevel="0" collapsed="false">
      <c r="B2" s="142" t="s">
        <v>129</v>
      </c>
      <c r="C2" s="142"/>
      <c r="D2" s="143" t="s">
        <v>117</v>
      </c>
    </row>
    <row r="3" customFormat="false" ht="12.75" hidden="false" customHeight="false" outlineLevel="0" collapsed="false">
      <c r="A3" s="144" t="s">
        <v>118</v>
      </c>
      <c r="B3" s="145" t="s">
        <v>1</v>
      </c>
      <c r="C3" s="145" t="s">
        <v>119</v>
      </c>
      <c r="D3" s="146" t="s">
        <v>80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7" t="s">
        <v>10</v>
      </c>
      <c r="B5" s="148"/>
      <c r="C5" s="14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customFormat="false" ht="12.75" hidden="false" customHeight="false" outlineLevel="0" collapsed="false">
      <c r="A6" s="149" t="s">
        <v>13</v>
      </c>
      <c r="B6" s="150" t="n">
        <v>12043</v>
      </c>
      <c r="C6" s="34" t="n">
        <v>1626706705</v>
      </c>
      <c r="D6" s="75" t="s">
        <v>57</v>
      </c>
      <c r="E6" s="8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customFormat="false" ht="12.75" hidden="false" customHeight="false" outlineLevel="0" collapsed="false">
      <c r="A7" s="149" t="s">
        <v>14</v>
      </c>
      <c r="B7" s="150" t="n">
        <v>1776</v>
      </c>
      <c r="C7" s="34" t="n">
        <v>19123325</v>
      </c>
      <c r="D7" s="75" t="s">
        <v>58</v>
      </c>
      <c r="E7" s="8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customFormat="false" ht="12.75" hidden="false" customHeight="false" outlineLevel="0" collapsed="false">
      <c r="A8" s="147" t="s">
        <v>16</v>
      </c>
      <c r="B8" s="151"/>
      <c r="C8" s="152"/>
      <c r="D8" s="75"/>
      <c r="E8" s="8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customFormat="false" ht="12.75" hidden="false" customHeight="false" outlineLevel="0" collapsed="false">
      <c r="A9" s="149" t="s">
        <v>17</v>
      </c>
      <c r="B9" s="150" t="n">
        <v>1184</v>
      </c>
      <c r="C9" s="153" t="n">
        <v>33587500.01</v>
      </c>
      <c r="D9" s="75" t="s">
        <v>61</v>
      </c>
      <c r="E9" s="8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customFormat="false" ht="12.75" hidden="false" customHeight="false" outlineLevel="0" collapsed="false">
      <c r="A10" s="149" t="s">
        <v>19</v>
      </c>
      <c r="B10" s="150" t="n">
        <v>1</v>
      </c>
      <c r="C10" s="153" t="n">
        <v>23250</v>
      </c>
      <c r="D10" s="75" t="s">
        <v>63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customFormat="false" ht="12.75" hidden="false" customHeight="false" outlineLevel="0" collapsed="false">
      <c r="A11" s="149" t="s">
        <v>120</v>
      </c>
      <c r="B11" s="150" t="n">
        <v>2</v>
      </c>
      <c r="C11" s="153" t="n">
        <v>90000</v>
      </c>
      <c r="D11" s="75" t="s">
        <v>63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</row>
    <row r="12" customFormat="false" ht="12.75" hidden="false" customHeight="false" outlineLevel="0" collapsed="false">
      <c r="A12" s="149" t="s">
        <v>22</v>
      </c>
      <c r="B12" s="150" t="n">
        <v>4</v>
      </c>
      <c r="C12" s="153" t="n">
        <v>1200</v>
      </c>
      <c r="D12" s="75" t="s">
        <v>65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customFormat="false" ht="12.75" hidden="false" customHeight="false" outlineLevel="0" collapsed="false">
      <c r="A13" s="154" t="s">
        <v>18</v>
      </c>
      <c r="B13" s="150" t="n">
        <v>0</v>
      </c>
      <c r="C13" s="150" t="n">
        <v>0</v>
      </c>
      <c r="D13" s="75" t="s">
        <v>66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customFormat="false" ht="12.75" hidden="false" customHeight="false" outlineLevel="0" collapsed="false">
      <c r="A14" s="149" t="s">
        <v>20</v>
      </c>
      <c r="B14" s="150" t="n">
        <v>0</v>
      </c>
      <c r="C14" s="150" t="n">
        <v>0</v>
      </c>
      <c r="D14" s="75" t="s">
        <v>68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customFormat="false" ht="12.75" hidden="false" customHeight="false" outlineLevel="0" collapsed="false">
      <c r="A15" s="147" t="s">
        <v>26</v>
      </c>
      <c r="B15" s="151"/>
      <c r="C15" s="152"/>
      <c r="D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customFormat="false" ht="12.75" hidden="false" customHeight="false" outlineLevel="0" collapsed="false">
      <c r="A16" s="149" t="s">
        <v>121</v>
      </c>
      <c r="B16" s="150" t="n">
        <v>0</v>
      </c>
      <c r="C16" s="150" t="n">
        <v>0</v>
      </c>
      <c r="D16" s="75" t="s">
        <v>63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customFormat="false" ht="12.75" hidden="false" customHeight="false" outlineLevel="0" collapsed="false">
      <c r="A17" s="149" t="s">
        <v>27</v>
      </c>
      <c r="B17" s="150" t="n">
        <v>0</v>
      </c>
      <c r="C17" s="150" t="n">
        <v>0</v>
      </c>
      <c r="D17" s="75" t="s">
        <v>63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</row>
    <row r="18" customFormat="false" ht="12.75" hidden="false" customHeight="false" outlineLevel="0" collapsed="false">
      <c r="B18" s="150"/>
      <c r="C18" s="150"/>
      <c r="D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</row>
    <row r="19" customFormat="false" ht="12.75" hidden="false" customHeight="false" outlineLevel="0" collapsed="false">
      <c r="B19" s="150"/>
      <c r="C19" s="150"/>
      <c r="D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customFormat="false" ht="12.75" hidden="false" customHeight="false" outlineLevel="0" collapsed="false">
      <c r="A20" s="82" t="s">
        <v>122</v>
      </c>
      <c r="B20" s="151" t="n">
        <v>7</v>
      </c>
      <c r="C20" s="151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customFormat="false" ht="12.75" hidden="false" customHeight="false" outlineLevel="0" collapsed="false">
      <c r="B21" s="150"/>
      <c r="C21" s="150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</row>
    <row r="22" customFormat="false" ht="12.75" hidden="false" customHeight="false" outlineLevel="0" collapsed="false">
      <c r="B22" s="150"/>
      <c r="C22" s="150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</row>
    <row r="23" customFormat="false" ht="12.75" hidden="false" customHeight="false" outlineLevel="0" collapsed="false">
      <c r="B23" s="150"/>
      <c r="C23" s="15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</row>
    <row r="24" customFormat="false" ht="23.25" hidden="false" customHeight="false" outlineLevel="0" collapsed="false">
      <c r="A24" s="141" t="s">
        <v>108</v>
      </c>
      <c r="B24" s="155"/>
      <c r="C24" s="155"/>
    </row>
    <row r="25" customFormat="false" ht="12.75" hidden="false" customHeight="false" outlineLevel="0" collapsed="false">
      <c r="B25" s="156" t="s">
        <v>129</v>
      </c>
      <c r="C25" s="156"/>
      <c r="D25" s="143" t="s">
        <v>117</v>
      </c>
    </row>
    <row r="26" customFormat="false" ht="12.75" hidden="false" customHeight="false" outlineLevel="0" collapsed="false">
      <c r="A26" s="144" t="s">
        <v>118</v>
      </c>
      <c r="B26" s="157" t="s">
        <v>1</v>
      </c>
      <c r="C26" s="157" t="s">
        <v>119</v>
      </c>
      <c r="D26" s="146" t="s">
        <v>80</v>
      </c>
    </row>
    <row r="27" customFormat="false" ht="12.75" hidden="false" customHeight="false" outlineLevel="0" collapsed="false">
      <c r="A27" s="82"/>
      <c r="B27" s="158"/>
      <c r="C27" s="158"/>
    </row>
    <row r="28" customFormat="false" ht="12.75" hidden="false" customHeight="false" outlineLevel="0" collapsed="false">
      <c r="A28" s="147" t="s">
        <v>10</v>
      </c>
      <c r="B28" s="150"/>
      <c r="C28" s="150"/>
      <c r="D28" s="75"/>
      <c r="E28" s="75"/>
      <c r="F28" s="75"/>
      <c r="G28" s="75"/>
      <c r="H28" s="75"/>
      <c r="I28" s="75"/>
      <c r="J28" s="75"/>
    </row>
    <row r="29" customFormat="false" ht="12.75" hidden="false" customHeight="false" outlineLevel="0" collapsed="false">
      <c r="A29" s="149" t="s">
        <v>13</v>
      </c>
      <c r="B29" s="150" t="n">
        <v>3029</v>
      </c>
      <c r="C29" s="150" t="n">
        <v>1755371946.19</v>
      </c>
      <c r="D29" s="75" t="s">
        <v>57</v>
      </c>
      <c r="E29" s="75"/>
      <c r="F29" s="75"/>
      <c r="G29" s="75"/>
      <c r="H29" s="75"/>
      <c r="I29" s="75"/>
      <c r="J29" s="75"/>
    </row>
    <row r="30" customFormat="false" ht="12.75" hidden="false" customHeight="false" outlineLevel="0" collapsed="false">
      <c r="A30" s="149" t="s">
        <v>14</v>
      </c>
      <c r="B30" s="150" t="n">
        <v>1995</v>
      </c>
      <c r="C30" s="150" t="n">
        <v>24524311.38</v>
      </c>
      <c r="D30" s="75" t="s">
        <v>58</v>
      </c>
      <c r="E30" s="75"/>
      <c r="F30" s="75"/>
      <c r="G30" s="75"/>
      <c r="H30" s="75"/>
      <c r="I30" s="75"/>
      <c r="J30" s="75"/>
    </row>
    <row r="31" customFormat="false" ht="12.75" hidden="false" customHeight="false" outlineLevel="0" collapsed="false">
      <c r="A31" s="147" t="s">
        <v>16</v>
      </c>
      <c r="B31" s="151"/>
      <c r="C31" s="150"/>
      <c r="D31" s="75"/>
      <c r="E31" s="75"/>
      <c r="F31" s="75"/>
      <c r="G31" s="75"/>
      <c r="H31" s="75"/>
      <c r="I31" s="75"/>
      <c r="J31" s="75"/>
    </row>
    <row r="32" customFormat="false" ht="12.75" hidden="false" customHeight="false" outlineLevel="0" collapsed="false">
      <c r="A32" s="149" t="s">
        <v>17</v>
      </c>
      <c r="B32" s="150" t="n">
        <v>1409</v>
      </c>
      <c r="C32" s="150" t="n">
        <v>113725513.07</v>
      </c>
      <c r="D32" s="75" t="s">
        <v>61</v>
      </c>
      <c r="E32" s="75"/>
      <c r="F32" s="75"/>
      <c r="G32" s="75"/>
      <c r="H32" s="75"/>
      <c r="I32" s="75"/>
      <c r="J32" s="75"/>
    </row>
    <row r="33" customFormat="false" ht="12.75" hidden="false" customHeight="false" outlineLevel="0" collapsed="false">
      <c r="A33" s="149" t="s">
        <v>19</v>
      </c>
      <c r="B33" s="150" t="n">
        <v>9</v>
      </c>
      <c r="C33" s="150" t="n">
        <v>705250</v>
      </c>
      <c r="D33" s="75" t="s">
        <v>63</v>
      </c>
      <c r="E33" s="75"/>
      <c r="F33" s="75"/>
      <c r="G33" s="75"/>
      <c r="H33" s="75"/>
      <c r="I33" s="75"/>
      <c r="J33" s="75"/>
    </row>
    <row r="34" customFormat="false" ht="12.75" hidden="false" customHeight="false" outlineLevel="0" collapsed="false">
      <c r="A34" s="149" t="s">
        <v>120</v>
      </c>
      <c r="B34" s="150" t="n">
        <v>0</v>
      </c>
      <c r="C34" s="150" t="n">
        <v>0</v>
      </c>
      <c r="D34" s="75" t="s">
        <v>63</v>
      </c>
      <c r="E34" s="75"/>
      <c r="F34" s="75"/>
      <c r="G34" s="75"/>
      <c r="H34" s="75"/>
      <c r="I34" s="75"/>
      <c r="J34" s="75"/>
    </row>
    <row r="35" customFormat="false" ht="12.75" hidden="false" customHeight="false" outlineLevel="0" collapsed="false">
      <c r="A35" s="149" t="s">
        <v>22</v>
      </c>
      <c r="B35" s="150" t="n">
        <v>14</v>
      </c>
      <c r="C35" s="150" t="n">
        <v>68000</v>
      </c>
      <c r="D35" s="75" t="s">
        <v>65</v>
      </c>
      <c r="E35" s="75"/>
      <c r="F35" s="75"/>
      <c r="G35" s="75"/>
      <c r="H35" s="75"/>
      <c r="I35" s="75"/>
      <c r="J35" s="75"/>
    </row>
    <row r="36" customFormat="false" ht="76.5" hidden="false" customHeight="false" outlineLevel="0" collapsed="false">
      <c r="A36" s="149" t="s">
        <v>18</v>
      </c>
      <c r="B36" s="150" t="n">
        <v>102</v>
      </c>
      <c r="C36" s="150" t="n">
        <v>4422278</v>
      </c>
      <c r="D36" s="75" t="s">
        <v>66</v>
      </c>
      <c r="E36" s="75"/>
      <c r="F36" s="161" t="s">
        <v>130</v>
      </c>
      <c r="G36" s="75"/>
      <c r="H36" s="75"/>
      <c r="I36" s="75"/>
      <c r="J36" s="75"/>
    </row>
    <row r="37" customFormat="false" ht="12.75" hidden="false" customHeight="false" outlineLevel="0" collapsed="false">
      <c r="A37" s="149" t="s">
        <v>20</v>
      </c>
      <c r="B37" s="150" t="n">
        <v>3</v>
      </c>
      <c r="C37" s="150" t="n">
        <v>7500</v>
      </c>
      <c r="D37" s="75" t="s">
        <v>68</v>
      </c>
      <c r="E37" s="75"/>
      <c r="F37" s="75"/>
      <c r="G37" s="75"/>
      <c r="H37" s="75"/>
      <c r="I37" s="75"/>
      <c r="J37" s="75"/>
    </row>
    <row r="38" customFormat="false" ht="12.75" hidden="false" customHeight="false" outlineLevel="0" collapsed="false">
      <c r="A38" s="147" t="s">
        <v>26</v>
      </c>
      <c r="B38" s="151"/>
      <c r="C38" s="150"/>
      <c r="D38" s="75"/>
      <c r="E38" s="75"/>
      <c r="F38" s="75"/>
      <c r="G38" s="75"/>
      <c r="H38" s="75"/>
      <c r="I38" s="75"/>
      <c r="J38" s="75"/>
    </row>
    <row r="39" customFormat="false" ht="12.75" hidden="false" customHeight="false" outlineLevel="0" collapsed="false">
      <c r="A39" s="149" t="s">
        <v>121</v>
      </c>
      <c r="B39" s="150" t="n">
        <v>107</v>
      </c>
      <c r="C39" s="150" t="n">
        <v>161955.196</v>
      </c>
      <c r="D39" s="75" t="s">
        <v>63</v>
      </c>
      <c r="E39" s="75"/>
      <c r="F39" s="75"/>
      <c r="G39" s="75"/>
      <c r="H39" s="75"/>
      <c r="I39" s="75"/>
      <c r="J39" s="75"/>
    </row>
    <row r="40" customFormat="false" ht="12.75" hidden="false" customHeight="false" outlineLevel="0" collapsed="false">
      <c r="A40" s="149" t="s">
        <v>27</v>
      </c>
      <c r="B40" s="150" t="n">
        <v>0</v>
      </c>
      <c r="C40" s="150" t="n">
        <v>0</v>
      </c>
      <c r="D40" s="75" t="s">
        <v>63</v>
      </c>
      <c r="E40" s="75"/>
      <c r="F40" s="75"/>
      <c r="G40" s="75"/>
      <c r="H40" s="75"/>
      <c r="I40" s="75"/>
      <c r="J40" s="75"/>
    </row>
    <row r="41" customFormat="false" ht="12.75" hidden="false" customHeight="false" outlineLevel="0" collapsed="false">
      <c r="A41" s="149"/>
      <c r="B41" s="150"/>
      <c r="C41" s="150"/>
      <c r="D41" s="75"/>
      <c r="E41" s="75"/>
      <c r="F41" s="75"/>
      <c r="G41" s="75"/>
      <c r="H41" s="75"/>
      <c r="I41" s="75"/>
      <c r="J41" s="75"/>
    </row>
    <row r="42" customFormat="false" ht="12.75" hidden="false" customHeight="false" outlineLevel="0" collapsed="false">
      <c r="B42" s="150"/>
      <c r="C42" s="150"/>
      <c r="D42" s="75"/>
      <c r="E42" s="75"/>
      <c r="F42" s="75"/>
      <c r="G42" s="75"/>
      <c r="H42" s="75"/>
      <c r="I42" s="75"/>
      <c r="J42" s="75"/>
    </row>
    <row r="43" customFormat="false" ht="12.75" hidden="false" customHeight="false" outlineLevel="0" collapsed="false">
      <c r="B43" s="150"/>
      <c r="C43" s="150"/>
      <c r="D43" s="75"/>
      <c r="E43" s="75"/>
      <c r="F43" s="75"/>
      <c r="G43" s="75"/>
      <c r="H43" s="75"/>
      <c r="I43" s="75"/>
      <c r="J43" s="75"/>
    </row>
    <row r="44" customFormat="false" ht="23.25" hidden="false" customHeight="false" outlineLevel="0" collapsed="false">
      <c r="A44" s="141" t="s">
        <v>123</v>
      </c>
      <c r="B44" s="155"/>
      <c r="C44" s="155"/>
    </row>
    <row r="45" customFormat="false" ht="12.75" hidden="false" customHeight="false" outlineLevel="0" collapsed="false">
      <c r="B45" s="142" t="s">
        <v>129</v>
      </c>
      <c r="C45" s="142"/>
      <c r="D45" s="143" t="s">
        <v>117</v>
      </c>
    </row>
    <row r="46" customFormat="false" ht="12.75" hidden="false" customHeight="false" outlineLevel="0" collapsed="false">
      <c r="A46" s="144" t="s">
        <v>118</v>
      </c>
      <c r="B46" s="145" t="s">
        <v>1</v>
      </c>
      <c r="C46" s="145" t="s">
        <v>119</v>
      </c>
      <c r="D46" s="146" t="s">
        <v>80</v>
      </c>
    </row>
    <row r="48" customFormat="false" ht="12.75" hidden="false" customHeight="false" outlineLevel="0" collapsed="false">
      <c r="A48" s="147" t="s">
        <v>26</v>
      </c>
      <c r="B48" s="34"/>
      <c r="C48" s="34"/>
    </row>
    <row r="49" customFormat="false" ht="12.75" hidden="false" customHeight="false" outlineLevel="0" collapsed="false">
      <c r="A49" s="149" t="s">
        <v>25</v>
      </c>
      <c r="B49" s="34" t="n">
        <v>5</v>
      </c>
      <c r="C49" s="34" t="n">
        <v>401000</v>
      </c>
      <c r="D49" s="0" t="s">
        <v>124</v>
      </c>
    </row>
    <row r="50" customFormat="false" ht="12.75" hidden="false" customHeight="false" outlineLevel="0" collapsed="false">
      <c r="A50" s="149" t="s">
        <v>23</v>
      </c>
      <c r="B50" s="34"/>
      <c r="C50" s="34"/>
    </row>
    <row r="51" customFormat="false" ht="12.75" hidden="false" customHeight="false" outlineLevel="0" collapsed="false">
      <c r="A51" s="149" t="s">
        <v>114</v>
      </c>
      <c r="B51" s="34" t="n">
        <v>5</v>
      </c>
      <c r="C51" s="34" t="n">
        <v>947</v>
      </c>
      <c r="D51" s="0" t="s">
        <v>125</v>
      </c>
    </row>
    <row r="53" customFormat="false" ht="12.75" hidden="false" customHeight="false" outlineLevel="0" collapsed="false">
      <c r="A53" s="82" t="s">
        <v>126</v>
      </c>
      <c r="B53" s="82" t="n">
        <v>1</v>
      </c>
      <c r="C53" s="82"/>
    </row>
    <row r="55" customFormat="false" ht="12.75" hidden="false" customHeight="false" outlineLevel="0" collapsed="false">
      <c r="A55" s="78" t="s">
        <v>127</v>
      </c>
      <c r="C55" s="159" t="n">
        <v>401</v>
      </c>
    </row>
    <row r="58" customFormat="false" ht="12.75" hidden="false" customHeight="false" outlineLevel="0" collapsed="false">
      <c r="A58" s="147" t="s">
        <v>128</v>
      </c>
      <c r="B58" s="82"/>
      <c r="C58" s="160" t="n">
        <v>163303.196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107</v>
      </c>
    </row>
    <row r="2" customFormat="false" ht="12.75" hidden="false" customHeight="false" outlineLevel="0" collapsed="false">
      <c r="B2" s="142" t="s">
        <v>131</v>
      </c>
      <c r="C2" s="142"/>
      <c r="D2" s="143" t="s">
        <v>117</v>
      </c>
    </row>
    <row r="3" customFormat="false" ht="12.75" hidden="false" customHeight="false" outlineLevel="0" collapsed="false">
      <c r="A3" s="144" t="s">
        <v>118</v>
      </c>
      <c r="B3" s="145" t="s">
        <v>1</v>
      </c>
      <c r="C3" s="145" t="s">
        <v>119</v>
      </c>
      <c r="D3" s="146" t="s">
        <v>80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7" t="s">
        <v>10</v>
      </c>
      <c r="B5" s="148"/>
      <c r="C5" s="14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customFormat="false" ht="12.75" hidden="false" customHeight="false" outlineLevel="0" collapsed="false">
      <c r="A6" s="149" t="s">
        <v>13</v>
      </c>
      <c r="B6" s="150" t="n">
        <f aca="false">'[2]Thrusday 02-15-01'!S9+'[2]Thrusday 02-15-01'!S10+-'[2]Thursday 02-08-01'!S9-'[2]Thursday 02-08-01'!S10</f>
        <v>14423</v>
      </c>
      <c r="C6" s="34" t="n">
        <f aca="false">'[2]Thrusday 02-15-01'!S67+'[2]Thrusday 02-15-01'!S68-'[2]Thursday 02-08-01'!S67-'[2]Thursday 02-08-01'!S68</f>
        <v>1547814272.26</v>
      </c>
      <c r="D6" s="75" t="s">
        <v>57</v>
      </c>
      <c r="E6" s="8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customFormat="false" ht="12.75" hidden="false" customHeight="false" outlineLevel="0" collapsed="false">
      <c r="A7" s="149" t="s">
        <v>14</v>
      </c>
      <c r="B7" s="150" t="n">
        <f aca="false">'[2]Thrusday 02-15-01'!S17+'[2]Thrusday 02-15-01'!S18-'[2]Thursday 02-08-01'!S17-'[2]Thursday 02-08-01'!S18</f>
        <v>2195</v>
      </c>
      <c r="C7" s="34" t="n">
        <f aca="false">'[2]Thrusday 02-15-01'!S75+'[2]Thrusday 02-15-01'!S76-'[2]Thursday 02-08-01'!S75-'[2]Thursday 02-08-01'!S76</f>
        <v>19115360</v>
      </c>
      <c r="D7" s="75" t="s">
        <v>58</v>
      </c>
      <c r="E7" s="8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customFormat="false" ht="12.75" hidden="false" customHeight="false" outlineLevel="0" collapsed="false">
      <c r="A8" s="147" t="s">
        <v>16</v>
      </c>
      <c r="B8" s="151"/>
      <c r="C8" s="152"/>
      <c r="D8" s="75"/>
      <c r="E8" s="8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customFormat="false" ht="12.75" hidden="false" customHeight="false" outlineLevel="0" collapsed="false">
      <c r="A9" s="149" t="s">
        <v>17</v>
      </c>
      <c r="B9" s="150" t="n">
        <f aca="false">'[2]Thrusday 02-15-01'!S30+'[2]Thrusday 02-15-01'!S31+'[2]Thrusday 02-15-01'!S33-'[2]Thursday 02-08-01'!S30-'[2]Thursday 02-08-01'!S31-'[2]Thursday 02-08-01'!S33</f>
        <v>1567</v>
      </c>
      <c r="C9" s="153" t="n">
        <f aca="false">'[2]Thrusday 02-15-01'!S88+'[2]Thrusday 02-15-01'!S89+'[2]Thrusday 02-15-01'!S91-'[2]Thursday 02-08-01'!S88-'[2]Thursday 02-08-01'!S89-'[2]Thursday 02-08-01'!S91</f>
        <v>40310000.01</v>
      </c>
      <c r="D9" s="75" t="s">
        <v>61</v>
      </c>
      <c r="E9" s="8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customFormat="false" ht="12.75" hidden="false" customHeight="false" outlineLevel="0" collapsed="false">
      <c r="A10" s="149" t="s">
        <v>19</v>
      </c>
      <c r="B10" s="150" t="n">
        <f aca="false">'[2]Thrusday 02-15-01'!S34-'[2]Thursday 02-08-01'!S34</f>
        <v>3</v>
      </c>
      <c r="C10" s="153" t="n">
        <f aca="false">'[2]Thrusday 02-15-01'!S92-'[2]Thursday 02-08-01'!S92</f>
        <v>82750</v>
      </c>
      <c r="D10" s="75" t="s">
        <v>63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customFormat="false" ht="12.75" hidden="false" customHeight="false" outlineLevel="0" collapsed="false">
      <c r="A11" s="149" t="s">
        <v>120</v>
      </c>
      <c r="B11" s="150" t="n">
        <f aca="false">'[2]Thrusday 02-15-01'!S35-'[2]Thursday 02-08-01'!S35</f>
        <v>19</v>
      </c>
      <c r="C11" s="153" t="n">
        <f aca="false">'[2]Thrusday 02-15-01'!S93-'[2]Thursday 02-08-01'!S93</f>
        <v>825000</v>
      </c>
      <c r="D11" s="75" t="s">
        <v>63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</row>
    <row r="12" customFormat="false" ht="12.75" hidden="false" customHeight="false" outlineLevel="0" collapsed="false">
      <c r="A12" s="149" t="s">
        <v>22</v>
      </c>
      <c r="B12" s="150" t="n">
        <f aca="false">'[2]Thrusday 02-15-01'!S39-'[2]Thursday 02-08-01'!S39</f>
        <v>10</v>
      </c>
      <c r="C12" s="153" t="n">
        <f aca="false">'[2]Thrusday 02-15-01'!S97-'[2]Thursday 02-08-01'!S97</f>
        <v>3000</v>
      </c>
      <c r="D12" s="75" t="s">
        <v>65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customFormat="false" ht="12.75" hidden="false" customHeight="false" outlineLevel="0" collapsed="false">
      <c r="A13" s="154" t="s">
        <v>18</v>
      </c>
      <c r="B13" s="150" t="n">
        <f aca="false">'[2]Thrusday 02-15-01'!S48-'[2]Thursday 02-08-01'!S47</f>
        <v>0</v>
      </c>
      <c r="C13" s="153" t="n">
        <f aca="false">'[2]Thrusday 02-15-01'!S105-'[2]Thursday 02-08-01'!S105</f>
        <v>0</v>
      </c>
      <c r="D13" s="75" t="s">
        <v>66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customFormat="false" ht="12.75" hidden="false" customHeight="false" outlineLevel="0" collapsed="false">
      <c r="A14" s="149" t="s">
        <v>20</v>
      </c>
      <c r="B14" s="150" t="n">
        <f aca="false">'[2]Thrusday 02-15-01'!S37-'[2]Thursday 02-08-01'!S37</f>
        <v>8</v>
      </c>
      <c r="C14" s="153" t="n">
        <f aca="false">'[2]Thrusday 02-15-01'!S95-'[2]Thursday 02-08-01'!S95</f>
        <v>10000</v>
      </c>
      <c r="D14" s="75" t="s">
        <v>68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customFormat="false" ht="12.75" hidden="false" customHeight="false" outlineLevel="0" collapsed="false">
      <c r="A15" s="147" t="s">
        <v>26</v>
      </c>
      <c r="B15" s="151"/>
      <c r="C15" s="152"/>
      <c r="D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customFormat="false" ht="12.75" hidden="false" customHeight="false" outlineLevel="0" collapsed="false">
      <c r="A16" s="149" t="s">
        <v>121</v>
      </c>
      <c r="B16" s="150" t="n">
        <f aca="false">'[2]Thrusday 02-15-01'!S38-'[2]Thursday 02-08-01'!S38</f>
        <v>0</v>
      </c>
      <c r="C16" s="153" t="n">
        <f aca="false">'[2]Thrusday 02-15-01'!S96-'[2]Thursday 02-08-01'!S96</f>
        <v>0</v>
      </c>
      <c r="D16" s="75" t="s">
        <v>63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customFormat="false" ht="12.75" hidden="false" customHeight="false" outlineLevel="0" collapsed="false">
      <c r="A17" s="149" t="s">
        <v>27</v>
      </c>
      <c r="B17" s="150" t="n">
        <f aca="false">'[2]Thrusday 02-15-01'!S44-'[2]Thursday 02-08-01'!S44</f>
        <v>0</v>
      </c>
      <c r="C17" s="153" t="n">
        <f aca="false">'[2]Thrusday 02-15-01'!S102-'[2]Thursday 02-08-01'!S101</f>
        <v>0</v>
      </c>
      <c r="D17" s="75" t="s">
        <v>63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</row>
    <row r="18" customFormat="false" ht="12.75" hidden="false" customHeight="false" outlineLevel="0" collapsed="false">
      <c r="B18" s="150"/>
      <c r="C18" s="150"/>
      <c r="D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</row>
    <row r="19" customFormat="false" ht="12.75" hidden="false" customHeight="false" outlineLevel="0" collapsed="false">
      <c r="B19" s="150"/>
      <c r="C19" s="150"/>
      <c r="D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customFormat="false" ht="12.75" hidden="false" customHeight="false" outlineLevel="0" collapsed="false">
      <c r="A20" s="82" t="s">
        <v>122</v>
      </c>
      <c r="B20" s="151" t="n">
        <v>4</v>
      </c>
      <c r="C20" s="151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customFormat="false" ht="12.75" hidden="false" customHeight="false" outlineLevel="0" collapsed="false">
      <c r="B21" s="150"/>
      <c r="C21" s="150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</row>
    <row r="22" customFormat="false" ht="12.75" hidden="false" customHeight="false" outlineLevel="0" collapsed="false">
      <c r="B22" s="150"/>
      <c r="C22" s="150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</row>
    <row r="23" customFormat="false" ht="12.75" hidden="false" customHeight="false" outlineLevel="0" collapsed="false">
      <c r="B23" s="150"/>
      <c r="C23" s="15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</row>
    <row r="24" customFormat="false" ht="23.25" hidden="false" customHeight="false" outlineLevel="0" collapsed="false">
      <c r="A24" s="141" t="s">
        <v>108</v>
      </c>
      <c r="B24" s="155"/>
      <c r="C24" s="155"/>
    </row>
    <row r="25" customFormat="false" ht="12.75" hidden="false" customHeight="false" outlineLevel="0" collapsed="false">
      <c r="B25" s="156" t="s">
        <v>131</v>
      </c>
      <c r="C25" s="156"/>
      <c r="D25" s="143" t="s">
        <v>117</v>
      </c>
    </row>
    <row r="26" customFormat="false" ht="12.75" hidden="false" customHeight="false" outlineLevel="0" collapsed="false">
      <c r="A26" s="144" t="s">
        <v>118</v>
      </c>
      <c r="B26" s="157" t="s">
        <v>1</v>
      </c>
      <c r="C26" s="157" t="s">
        <v>119</v>
      </c>
      <c r="D26" s="146" t="s">
        <v>80</v>
      </c>
    </row>
    <row r="27" customFormat="false" ht="12.75" hidden="false" customHeight="false" outlineLevel="0" collapsed="false">
      <c r="A27" s="82"/>
      <c r="B27" s="158"/>
      <c r="C27" s="158"/>
    </row>
    <row r="28" customFormat="false" ht="12.75" hidden="false" customHeight="false" outlineLevel="0" collapsed="false">
      <c r="A28" s="147" t="s">
        <v>10</v>
      </c>
      <c r="B28" s="150"/>
      <c r="C28" s="150"/>
      <c r="D28" s="75"/>
      <c r="E28" s="75"/>
      <c r="F28" s="75"/>
      <c r="G28" s="75"/>
      <c r="H28" s="75"/>
      <c r="I28" s="75"/>
      <c r="J28" s="75"/>
    </row>
    <row r="29" customFormat="false" ht="12.75" hidden="false" customHeight="false" outlineLevel="0" collapsed="false">
      <c r="A29" s="149" t="s">
        <v>13</v>
      </c>
      <c r="B29" s="150" t="n">
        <f aca="false">'[2]Thrusday 02-15-01'!T9+'[2]Thrusday 02-15-01'!T10-'[2]Thursday 02-08-01'!T9-'[2]Thursday 02-08-01'!T10</f>
        <v>2800</v>
      </c>
      <c r="C29" s="150" t="n">
        <f aca="false">'[2]Thrusday 02-15-01'!T67+'[2]Thrusday 02-15-01'!T68-'[2]Thursday 02-08-01'!T67-'[2]Thursday 02-08-01'!T68</f>
        <v>2702923729.95</v>
      </c>
      <c r="D29" s="75" t="s">
        <v>57</v>
      </c>
      <c r="E29" s="75"/>
      <c r="F29" s="75"/>
      <c r="G29" s="75"/>
      <c r="H29" s="75"/>
      <c r="I29" s="75"/>
      <c r="J29" s="75"/>
    </row>
    <row r="30" customFormat="false" ht="12.75" hidden="false" customHeight="false" outlineLevel="0" collapsed="false">
      <c r="A30" s="149" t="s">
        <v>14</v>
      </c>
      <c r="B30" s="150" t="n">
        <f aca="false">'[2]Thrusday 02-15-01'!T17+'[2]Thrusday 02-15-01'!T18-'[2]Thursday 02-08-01'!T17-'[2]Thursday 02-08-01'!T18</f>
        <v>2392</v>
      </c>
      <c r="C30" s="150" t="n">
        <f aca="false">'[2]Thrusday 02-15-01'!T75+'[2]Thrusday 02-15-01'!T76-'[2]Thursday 02-08-01'!T75-'[2]Thursday 02-08-01'!T76</f>
        <v>29975959.19</v>
      </c>
      <c r="D30" s="75" t="s">
        <v>58</v>
      </c>
      <c r="E30" s="75"/>
      <c r="F30" s="75"/>
      <c r="G30" s="75"/>
      <c r="H30" s="75"/>
      <c r="I30" s="75"/>
      <c r="J30" s="75"/>
    </row>
    <row r="31" customFormat="false" ht="12.75" hidden="false" customHeight="false" outlineLevel="0" collapsed="false">
      <c r="A31" s="147" t="s">
        <v>16</v>
      </c>
      <c r="B31" s="151"/>
      <c r="C31" s="150"/>
      <c r="D31" s="75"/>
      <c r="E31" s="75"/>
      <c r="F31" s="75"/>
      <c r="G31" s="75"/>
      <c r="H31" s="75"/>
      <c r="I31" s="75"/>
      <c r="J31" s="75"/>
    </row>
    <row r="32" customFormat="false" ht="12.75" hidden="false" customHeight="false" outlineLevel="0" collapsed="false">
      <c r="A32" s="149" t="s">
        <v>17</v>
      </c>
      <c r="B32" s="150" t="n">
        <f aca="false">'[2]Thrusday 02-15-01'!T30+'[2]Thrusday 02-15-01'!T31+'[2]Thrusday 02-15-01'!T33-'[2]Thursday 02-08-01'!T30-'[2]Thursday 02-08-01'!T31-'[2]Thursday 02-08-01'!T33</f>
        <v>1786</v>
      </c>
      <c r="C32" s="150" t="n">
        <f aca="false">'[2]Thrusday 02-15-01'!T88+'[2]Thrusday 02-15-01'!T89+'[2]Thrusday 02-15-01'!T91-'[2]Thursday 02-08-01'!T88-'[2]Thursday 02-08-01'!T89-'[2]Thursday 02-08-01'!T91</f>
        <v>134484274.46</v>
      </c>
      <c r="D32" s="75" t="s">
        <v>61</v>
      </c>
      <c r="E32" s="75"/>
      <c r="F32" s="75"/>
      <c r="G32" s="75"/>
      <c r="H32" s="75"/>
      <c r="I32" s="75"/>
      <c r="J32" s="75"/>
    </row>
    <row r="33" customFormat="false" ht="12.75" hidden="false" customHeight="false" outlineLevel="0" collapsed="false">
      <c r="A33" s="149" t="s">
        <v>19</v>
      </c>
      <c r="B33" s="150" t="n">
        <f aca="false">'[2]Thrusday 02-15-01'!T34-'[2]Thursday 02-08-01'!T34</f>
        <v>13</v>
      </c>
      <c r="C33" s="150" t="n">
        <f aca="false">'[2]Thrusday 02-15-01'!T92-'[2]Thursday 02-08-01'!T92</f>
        <v>1827699.96</v>
      </c>
      <c r="D33" s="75" t="s">
        <v>63</v>
      </c>
      <c r="E33" s="75"/>
      <c r="F33" s="75"/>
      <c r="G33" s="75"/>
      <c r="H33" s="75"/>
      <c r="I33" s="75"/>
      <c r="J33" s="75"/>
    </row>
    <row r="34" customFormat="false" ht="12.75" hidden="false" customHeight="false" outlineLevel="0" collapsed="false">
      <c r="A34" s="149" t="s">
        <v>120</v>
      </c>
      <c r="B34" s="150" t="n">
        <f aca="false">'[2]Thrusday 02-15-01'!T35-'[2]Thursday 02-08-01'!T35</f>
        <v>23</v>
      </c>
      <c r="C34" s="150" t="n">
        <f aca="false">'[2]Thrusday 02-15-01'!T93-'[2]Thursday 02-08-01'!T93</f>
        <v>1302500</v>
      </c>
      <c r="D34" s="75" t="s">
        <v>63</v>
      </c>
      <c r="E34" s="75"/>
      <c r="F34" s="75"/>
      <c r="G34" s="75"/>
      <c r="H34" s="75"/>
      <c r="I34" s="75"/>
      <c r="J34" s="75"/>
    </row>
    <row r="35" customFormat="false" ht="12.75" hidden="false" customHeight="false" outlineLevel="0" collapsed="false">
      <c r="A35" s="149" t="s">
        <v>22</v>
      </c>
      <c r="B35" s="150" t="n">
        <f aca="false">'[2]Thrusday 02-15-01'!T39-'[2]Thursday 02-08-01'!T39</f>
        <v>29</v>
      </c>
      <c r="C35" s="150" t="n">
        <f aca="false">'[2]Thrusday 02-15-01'!T97-'[2]Thursday 02-08-01'!T97</f>
        <v>140000</v>
      </c>
      <c r="D35" s="75" t="s">
        <v>65</v>
      </c>
      <c r="E35" s="75"/>
      <c r="F35" s="75"/>
      <c r="G35" s="75"/>
      <c r="H35" s="75"/>
      <c r="I35" s="75"/>
      <c r="J35" s="75"/>
    </row>
    <row r="36" customFormat="false" ht="12.75" hidden="false" customHeight="false" outlineLevel="0" collapsed="false">
      <c r="A36" s="149" t="s">
        <v>18</v>
      </c>
      <c r="B36" s="150" t="n">
        <f aca="false">'[2]Thrusday 02-15-01'!T48-'[2]Thursday 02-08-01'!T47</f>
        <v>122</v>
      </c>
      <c r="C36" s="150" t="n">
        <f aca="false">'[2]Thrusday 02-15-01'!T106-'[2]Thursday 02-08-01'!T105</f>
        <v>4975000</v>
      </c>
      <c r="D36" s="75" t="s">
        <v>66</v>
      </c>
      <c r="E36" s="75"/>
      <c r="F36" s="75"/>
      <c r="G36" s="75"/>
      <c r="H36" s="75"/>
      <c r="I36" s="75"/>
      <c r="J36" s="75"/>
    </row>
    <row r="37" customFormat="false" ht="12.75" hidden="false" customHeight="false" outlineLevel="0" collapsed="false">
      <c r="A37" s="149" t="s">
        <v>20</v>
      </c>
      <c r="B37" s="150" t="n">
        <f aca="false">'[2]Thrusday 02-15-01'!T37-'[2]Thursday 02-08-01'!T37</f>
        <v>12</v>
      </c>
      <c r="C37" s="150" t="n">
        <f aca="false">'[2]Thrusday 02-15-01'!T95-'[2]Thursday 02-08-01'!T95</f>
        <v>30000</v>
      </c>
      <c r="D37" s="75" t="s">
        <v>68</v>
      </c>
      <c r="E37" s="75"/>
      <c r="F37" s="75"/>
      <c r="G37" s="75"/>
      <c r="H37" s="75"/>
      <c r="I37" s="75"/>
      <c r="J37" s="75"/>
    </row>
    <row r="38" customFormat="false" ht="12.75" hidden="false" customHeight="false" outlineLevel="0" collapsed="false">
      <c r="A38" s="147" t="s">
        <v>26</v>
      </c>
      <c r="B38" s="151"/>
      <c r="C38" s="150"/>
      <c r="D38" s="75"/>
      <c r="E38" s="75"/>
      <c r="F38" s="75"/>
      <c r="G38" s="75"/>
      <c r="H38" s="75"/>
      <c r="I38" s="75"/>
      <c r="J38" s="75"/>
    </row>
    <row r="39" customFormat="false" ht="12.75" hidden="false" customHeight="false" outlineLevel="0" collapsed="false">
      <c r="A39" s="149" t="s">
        <v>121</v>
      </c>
      <c r="B39" s="150" t="n">
        <f aca="false">'[2]Thrusday 02-15-01'!T38-'[2]Thursday 02-08-01'!T38+34</f>
        <v>82</v>
      </c>
      <c r="C39" s="150" t="n">
        <v>9638</v>
      </c>
      <c r="D39" s="75" t="s">
        <v>63</v>
      </c>
      <c r="E39" s="75"/>
      <c r="F39" s="75"/>
      <c r="G39" s="75"/>
      <c r="H39" s="75"/>
      <c r="I39" s="75"/>
      <c r="J39" s="75"/>
    </row>
    <row r="40" customFormat="false" ht="12.75" hidden="false" customHeight="false" outlineLevel="0" collapsed="false">
      <c r="A40" s="149" t="s">
        <v>27</v>
      </c>
      <c r="B40" s="150" t="n">
        <f aca="false">'[2]Thrusday 02-15-01'!T44-'[2]Thursday 02-08-01'!T43</f>
        <v>1</v>
      </c>
      <c r="C40" s="150" t="n">
        <f aca="false">'[2]Thrusday 02-15-01'!T102-'[2]Thursday 02-08-01'!T101</f>
        <v>1270.5</v>
      </c>
      <c r="D40" s="75" t="s">
        <v>63</v>
      </c>
      <c r="E40" s="75"/>
      <c r="F40" s="75"/>
      <c r="G40" s="75"/>
      <c r="H40" s="75"/>
      <c r="I40" s="75"/>
      <c r="J40" s="75"/>
    </row>
    <row r="41" customFormat="false" ht="12.75" hidden="false" customHeight="false" outlineLevel="0" collapsed="false">
      <c r="A41" s="149"/>
      <c r="B41" s="150"/>
      <c r="C41" s="150"/>
      <c r="D41" s="75"/>
      <c r="E41" s="75"/>
      <c r="F41" s="75"/>
      <c r="G41" s="75"/>
      <c r="H41" s="75"/>
      <c r="I41" s="75"/>
      <c r="J41" s="75"/>
    </row>
    <row r="42" customFormat="false" ht="12.75" hidden="false" customHeight="false" outlineLevel="0" collapsed="false">
      <c r="B42" s="150"/>
      <c r="C42" s="150"/>
      <c r="D42" s="75"/>
      <c r="E42" s="75"/>
      <c r="F42" s="75"/>
      <c r="G42" s="75"/>
      <c r="H42" s="75"/>
      <c r="I42" s="75"/>
      <c r="J42" s="75"/>
    </row>
    <row r="43" customFormat="false" ht="12.75" hidden="false" customHeight="false" outlineLevel="0" collapsed="false">
      <c r="B43" s="150"/>
      <c r="C43" s="150"/>
      <c r="D43" s="75"/>
      <c r="E43" s="75"/>
      <c r="F43" s="75"/>
      <c r="G43" s="75"/>
      <c r="H43" s="75"/>
      <c r="I43" s="75"/>
      <c r="J43" s="75"/>
    </row>
    <row r="44" customFormat="false" ht="23.25" hidden="false" customHeight="false" outlineLevel="0" collapsed="false">
      <c r="A44" s="141" t="s">
        <v>123</v>
      </c>
      <c r="B44" s="155"/>
      <c r="C44" s="155"/>
    </row>
    <row r="45" customFormat="false" ht="12.75" hidden="false" customHeight="false" outlineLevel="0" collapsed="false">
      <c r="B45" s="142" t="s">
        <v>131</v>
      </c>
      <c r="C45" s="142"/>
      <c r="D45" s="143" t="s">
        <v>117</v>
      </c>
    </row>
    <row r="46" customFormat="false" ht="12.75" hidden="false" customHeight="false" outlineLevel="0" collapsed="false">
      <c r="A46" s="144" t="s">
        <v>118</v>
      </c>
      <c r="B46" s="145" t="s">
        <v>1</v>
      </c>
      <c r="C46" s="145" t="s">
        <v>119</v>
      </c>
      <c r="D46" s="146" t="s">
        <v>80</v>
      </c>
    </row>
    <row r="48" customFormat="false" ht="12.75" hidden="false" customHeight="false" outlineLevel="0" collapsed="false">
      <c r="A48" s="147" t="s">
        <v>26</v>
      </c>
      <c r="B48" s="34"/>
      <c r="C48" s="34"/>
    </row>
    <row r="49" customFormat="false" ht="12.75" hidden="false" customHeight="false" outlineLevel="0" collapsed="false">
      <c r="A49" s="149" t="s">
        <v>25</v>
      </c>
      <c r="B49" s="34" t="n">
        <v>4</v>
      </c>
      <c r="C49" s="34" t="n">
        <v>374000</v>
      </c>
      <c r="D49" s="0" t="s">
        <v>124</v>
      </c>
    </row>
    <row r="50" customFormat="false" ht="12.75" hidden="false" customHeight="false" outlineLevel="0" collapsed="false">
      <c r="A50" s="149" t="s">
        <v>23</v>
      </c>
      <c r="B50" s="34"/>
      <c r="C50" s="34"/>
    </row>
    <row r="51" customFormat="false" ht="12.75" hidden="false" customHeight="false" outlineLevel="0" collapsed="false">
      <c r="A51" s="149" t="s">
        <v>114</v>
      </c>
      <c r="B51" s="34" t="n">
        <v>3</v>
      </c>
      <c r="C51" s="34" t="n">
        <v>680</v>
      </c>
      <c r="D51" s="0" t="s">
        <v>125</v>
      </c>
    </row>
    <row r="53" customFormat="false" ht="12.75" hidden="false" customHeight="false" outlineLevel="0" collapsed="false">
      <c r="A53" s="82" t="s">
        <v>126</v>
      </c>
      <c r="B53" s="82" t="n">
        <v>1</v>
      </c>
      <c r="C53" s="82"/>
    </row>
    <row r="55" customFormat="false" ht="12.75" hidden="false" customHeight="false" outlineLevel="0" collapsed="false">
      <c r="A55" s="78" t="s">
        <v>127</v>
      </c>
      <c r="C55" s="159" t="n">
        <f aca="false">C49/1000</f>
        <v>374</v>
      </c>
    </row>
    <row r="58" customFormat="false" ht="12.75" hidden="false" customHeight="false" outlineLevel="0" collapsed="false">
      <c r="A58" s="147" t="s">
        <v>128</v>
      </c>
      <c r="B58" s="82"/>
      <c r="C58" s="160" t="n">
        <f aca="false">C55+C51+C40+C39+C17+C16</f>
        <v>11962.5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1" ySplit="0" topLeftCell="B1" activePane="topRight" state="frozen"/>
      <selection pane="topLeft" activeCell="A30" activeCellId="0" sqref="A30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107</v>
      </c>
    </row>
    <row r="2" customFormat="false" ht="12.75" hidden="false" customHeight="false" outlineLevel="0" collapsed="false">
      <c r="B2" s="142" t="s">
        <v>132</v>
      </c>
      <c r="C2" s="142"/>
      <c r="D2" s="143" t="s">
        <v>117</v>
      </c>
    </row>
    <row r="3" customFormat="false" ht="12.75" hidden="false" customHeight="false" outlineLevel="0" collapsed="false">
      <c r="A3" s="144" t="s">
        <v>118</v>
      </c>
      <c r="B3" s="145" t="s">
        <v>1</v>
      </c>
      <c r="C3" s="145" t="s">
        <v>119</v>
      </c>
      <c r="D3" s="146" t="s">
        <v>80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7" t="s">
        <v>10</v>
      </c>
      <c r="B5" s="148"/>
      <c r="C5" s="14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customFormat="false" ht="12.75" hidden="false" customHeight="false" outlineLevel="0" collapsed="false">
      <c r="A6" s="149" t="s">
        <v>13</v>
      </c>
      <c r="B6" s="75" t="n">
        <f aca="false">'[3]Thrusday 02-08-01'!S9+'[3]Thrusday 02-08-01'!S10+-'[3]Thursday 02-01-01'!S9-'[3]Thursday 02-01-01'!S10</f>
        <v>15960</v>
      </c>
      <c r="C6" s="34" t="n">
        <f aca="false">'[3]Thrusday 02-08-01'!S67+'[3]Thrusday 02-08-01'!S68-'[3]Thursday 02-01-01'!S67-'[3]Thursday 02-01-01'!S68</f>
        <v>1917251550.22</v>
      </c>
      <c r="D6" s="75" t="s">
        <v>57</v>
      </c>
      <c r="E6" s="8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customFormat="false" ht="12.75" hidden="false" customHeight="false" outlineLevel="0" collapsed="false">
      <c r="A7" s="149" t="s">
        <v>14</v>
      </c>
      <c r="B7" s="75" t="n">
        <f aca="false">'[3]Thrusday 02-08-01'!S17+'[3]Thrusday 02-08-01'!S18-'[3]Thursday 02-01-01'!S17-'[3]Thursday 02-01-01'!S18</f>
        <v>2251</v>
      </c>
      <c r="C7" s="34" t="n">
        <f aca="false">'[3]Thrusday 02-08-01'!S75+'[3]Thrusday 02-08-01'!S76-'[3]Thursday 02-01-01'!S75-'[3]Thursday 02-01-01'!S76</f>
        <v>23577055</v>
      </c>
      <c r="D7" s="75" t="s">
        <v>58</v>
      </c>
      <c r="E7" s="8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customFormat="false" ht="12.75" hidden="false" customHeight="false" outlineLevel="0" collapsed="false">
      <c r="A8" s="147" t="s">
        <v>16</v>
      </c>
      <c r="B8" s="148"/>
      <c r="C8" s="152"/>
      <c r="D8" s="75"/>
      <c r="E8" s="8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customFormat="false" ht="12.75" hidden="false" customHeight="false" outlineLevel="0" collapsed="false">
      <c r="A9" s="149" t="s">
        <v>17</v>
      </c>
      <c r="B9" s="75" t="n">
        <f aca="false">'[3]Thrusday 02-08-01'!S30+'[3]Thrusday 02-08-01'!S31+'[3]Thrusday 02-08-01'!S33-'[3]Thursday 02-01-01'!S30-'[3]Thursday 02-01-01'!S31-'[3]Thursday 02-01-01'!S33</f>
        <v>1758</v>
      </c>
      <c r="C9" s="153" t="n">
        <f aca="false">'[3]Thrusday 02-08-01'!S88+'[3]Thrusday 02-08-01'!S89+'[3]Thrusday 02-08-01'!S91-'[3]Thursday 02-01-01'!S88-'[3]Thursday 02-01-01'!S89-'[3]Thursday 02-01-01'!S91</f>
        <v>44727857.14</v>
      </c>
      <c r="D9" s="75" t="s">
        <v>61</v>
      </c>
      <c r="E9" s="8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customFormat="false" ht="12.75" hidden="false" customHeight="false" outlineLevel="0" collapsed="false">
      <c r="A10" s="149" t="s">
        <v>19</v>
      </c>
      <c r="B10" s="75" t="n">
        <f aca="false">'[3]Thrusday 02-08-01'!S34-'[3]Thursday 02-01-01'!S34</f>
        <v>6</v>
      </c>
      <c r="C10" s="153" t="n">
        <f aca="false">'[3]Thrusday 02-08-01'!S92-'[3]Thursday 02-01-01'!S92</f>
        <v>225000</v>
      </c>
      <c r="D10" s="75" t="s">
        <v>63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customFormat="false" ht="12.75" hidden="false" customHeight="false" outlineLevel="0" collapsed="false">
      <c r="A11" s="149" t="s">
        <v>120</v>
      </c>
      <c r="B11" s="75" t="n">
        <f aca="false">'[3]Thrusday 02-08-01'!S35-'[3]Thursday 02-01-01'!S35</f>
        <v>2</v>
      </c>
      <c r="C11" s="153" t="n">
        <f aca="false">'[3]Thrusday 02-08-01'!S93-'[3]Thursday 02-01-01'!S93</f>
        <v>90000</v>
      </c>
      <c r="D11" s="75" t="s">
        <v>63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</row>
    <row r="12" customFormat="false" ht="12.75" hidden="false" customHeight="false" outlineLevel="0" collapsed="false">
      <c r="A12" s="149" t="s">
        <v>22</v>
      </c>
      <c r="B12" s="75" t="n">
        <f aca="false">'[3]Thrusday 02-08-01'!S39-'[3]Thursday 02-01-01'!S39</f>
        <v>13</v>
      </c>
      <c r="C12" s="153" t="n">
        <f aca="false">'[3]Thrusday 02-08-01'!S97-'[3]Thursday 02-01-01'!S97</f>
        <v>6400</v>
      </c>
      <c r="D12" s="75" t="s">
        <v>65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customFormat="false" ht="12.75" hidden="false" customHeight="false" outlineLevel="0" collapsed="false">
      <c r="A13" s="154" t="s">
        <v>18</v>
      </c>
      <c r="B13" s="150" t="n">
        <f aca="false">'[3]Thrusday 02-08-01'!S47-'[3]Thursday 02-01-01'!S47</f>
        <v>0</v>
      </c>
      <c r="C13" s="153" t="n">
        <f aca="false">'[3]Thrusday 02-08-01'!S105-'[3]Thursday 02-01-01'!S105</f>
        <v>0</v>
      </c>
      <c r="D13" s="75" t="s">
        <v>66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customFormat="false" ht="12.75" hidden="false" customHeight="false" outlineLevel="0" collapsed="false">
      <c r="A14" s="149" t="s">
        <v>20</v>
      </c>
      <c r="B14" s="75" t="n">
        <f aca="false">'[3]Thrusday 02-08-01'!S37-'[3]Thursday 02-01-01'!S37</f>
        <v>16</v>
      </c>
      <c r="C14" s="153" t="n">
        <f aca="false">'[3]Thrusday 02-08-01'!S95-'[3]Thursday 02-01-01'!S95</f>
        <v>40000</v>
      </c>
      <c r="D14" s="75" t="s">
        <v>68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customFormat="false" ht="12.75" hidden="false" customHeight="false" outlineLevel="0" collapsed="false">
      <c r="A15" s="147" t="s">
        <v>26</v>
      </c>
      <c r="B15" s="148"/>
      <c r="C15" s="152"/>
      <c r="D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customFormat="false" ht="12.75" hidden="false" customHeight="false" outlineLevel="0" collapsed="false">
      <c r="A16" s="149" t="s">
        <v>121</v>
      </c>
      <c r="B16" s="150" t="n">
        <f aca="false">'[3]Thrusday 02-08-01'!S38-'[3]Thursday 02-01-01'!S38+11</f>
        <v>11</v>
      </c>
      <c r="C16" s="153" t="n">
        <f aca="false">'[3]Thrusday 02-08-01'!S96-'[3]Thursday 02-01-01'!S96+1068</f>
        <v>1068</v>
      </c>
      <c r="D16" s="75" t="s">
        <v>63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customFormat="false" ht="12.75" hidden="false" customHeight="false" outlineLevel="0" collapsed="false">
      <c r="A17" s="149" t="s">
        <v>27</v>
      </c>
      <c r="B17" s="75" t="n">
        <f aca="false">'[3]Thrusday 02-08-01'!S43-'[3]Thursday 02-01-01'!S43</f>
        <v>0</v>
      </c>
      <c r="C17" s="153" t="n">
        <f aca="false">'[3]Thrusday 02-08-01'!S101-'[3]Thursday 02-01-01'!S101</f>
        <v>0</v>
      </c>
      <c r="D17" s="75" t="s">
        <v>63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</row>
    <row r="18" customFormat="false" ht="12.75" hidden="false" customHeight="false" outlineLevel="0" collapsed="false">
      <c r="B18" s="75"/>
      <c r="C18" s="75"/>
      <c r="D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</row>
    <row r="19" customFormat="false" ht="12.75" hidden="false" customHeight="false" outlineLevel="0" collapsed="false">
      <c r="B19" s="75"/>
      <c r="C19" s="75"/>
      <c r="D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customFormat="false" ht="12.75" hidden="false" customHeight="false" outlineLevel="0" collapsed="false">
      <c r="A20" s="82" t="s">
        <v>122</v>
      </c>
      <c r="B20" s="148" t="n">
        <v>12</v>
      </c>
      <c r="C20" s="148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customFormat="false" ht="12.75" hidden="false" customHeight="false" outlineLevel="0" collapsed="false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</row>
    <row r="22" customFormat="false" ht="12.75" hidden="false" customHeight="false" outlineLevel="0" collapsed="false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</row>
    <row r="23" customFormat="false" ht="12.75" hidden="false" customHeight="false" outlineLevel="0" collapsed="false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</row>
    <row r="24" customFormat="false" ht="23.25" hidden="false" customHeight="false" outlineLevel="0" collapsed="false">
      <c r="A24" s="141" t="s">
        <v>108</v>
      </c>
    </row>
    <row r="25" customFormat="false" ht="12.75" hidden="false" customHeight="false" outlineLevel="0" collapsed="false">
      <c r="B25" s="142" t="s">
        <v>132</v>
      </c>
      <c r="C25" s="142"/>
      <c r="D25" s="143" t="s">
        <v>117</v>
      </c>
    </row>
    <row r="26" customFormat="false" ht="12.75" hidden="false" customHeight="false" outlineLevel="0" collapsed="false">
      <c r="A26" s="144" t="s">
        <v>118</v>
      </c>
      <c r="B26" s="145" t="s">
        <v>1</v>
      </c>
      <c r="C26" s="145" t="s">
        <v>119</v>
      </c>
      <c r="D26" s="146" t="s">
        <v>80</v>
      </c>
    </row>
    <row r="27" customFormat="false" ht="12.75" hidden="false" customHeight="false" outlineLevel="0" collapsed="false">
      <c r="A27" s="82"/>
      <c r="B27" s="82"/>
      <c r="C27" s="82"/>
    </row>
    <row r="28" customFormat="false" ht="12.75" hidden="false" customHeight="false" outlineLevel="0" collapsed="false">
      <c r="A28" s="147" t="s">
        <v>10</v>
      </c>
      <c r="B28" s="75"/>
      <c r="C28" s="75"/>
      <c r="D28" s="75"/>
      <c r="E28" s="75"/>
      <c r="F28" s="75"/>
      <c r="G28" s="75"/>
      <c r="H28" s="75"/>
      <c r="I28" s="75"/>
      <c r="J28" s="75"/>
    </row>
    <row r="29" customFormat="false" ht="12.75" hidden="false" customHeight="false" outlineLevel="0" collapsed="false">
      <c r="A29" s="149" t="s">
        <v>13</v>
      </c>
      <c r="B29" s="75" t="n">
        <f aca="false">'[3]Thrusday 02-08-01'!T9+'[3]Thrusday 02-08-01'!T10-'[3]Thursday 02-01-01'!T9-'[3]Thursday 02-01-01'!T10</f>
        <v>2561</v>
      </c>
      <c r="C29" s="75" t="n">
        <f aca="false">'[3]Thrusday 02-08-01'!T67+'[3]Thrusday 02-08-01'!T68-'[3]Thursday 02-01-01'!T67-'[3]Thursday 02-01-01'!T68</f>
        <v>1668926814.42</v>
      </c>
      <c r="D29" s="75" t="s">
        <v>57</v>
      </c>
      <c r="E29" s="75"/>
      <c r="F29" s="75"/>
      <c r="G29" s="75"/>
      <c r="H29" s="75"/>
      <c r="I29" s="75"/>
      <c r="J29" s="75"/>
    </row>
    <row r="30" customFormat="false" ht="12.75" hidden="false" customHeight="false" outlineLevel="0" collapsed="false">
      <c r="A30" s="149" t="s">
        <v>14</v>
      </c>
      <c r="B30" s="75" t="n">
        <f aca="false">'[3]Thrusday 02-08-01'!T17+'[3]Thrusday 02-08-01'!T18-'[3]Thursday 02-01-01'!T17-'[3]Thursday 02-01-01'!T18</f>
        <v>2380</v>
      </c>
      <c r="C30" s="75" t="n">
        <f aca="false">'[3]Thrusday 02-08-01'!T75+'[3]Thrusday 02-08-01'!T76-'[3]Thursday 02-01-01'!T75-'[3]Thursday 02-01-01'!T76</f>
        <v>27822910.14</v>
      </c>
      <c r="D30" s="75" t="s">
        <v>58</v>
      </c>
      <c r="E30" s="75"/>
      <c r="F30" s="75"/>
      <c r="G30" s="75"/>
      <c r="H30" s="75"/>
      <c r="I30" s="75"/>
      <c r="J30" s="75"/>
    </row>
    <row r="31" customFormat="false" ht="12.75" hidden="false" customHeight="false" outlineLevel="0" collapsed="false">
      <c r="A31" s="147" t="s">
        <v>16</v>
      </c>
      <c r="B31" s="148"/>
      <c r="C31" s="75"/>
      <c r="D31" s="75"/>
      <c r="E31" s="75"/>
      <c r="F31" s="75"/>
      <c r="G31" s="75"/>
      <c r="H31" s="75"/>
      <c r="I31" s="75"/>
      <c r="J31" s="75"/>
    </row>
    <row r="32" customFormat="false" ht="12.75" hidden="false" customHeight="false" outlineLevel="0" collapsed="false">
      <c r="A32" s="149" t="s">
        <v>17</v>
      </c>
      <c r="B32" s="75" t="n">
        <f aca="false">'[3]Thrusday 02-08-01'!T30+'[3]Thrusday 02-08-01'!T31+'[3]Thrusday 02-08-01'!T33-'[3]Thursday 02-01-01'!T30-'[3]Thursday 02-01-01'!T31-'[3]Thursday 02-01-01'!T33</f>
        <v>1617</v>
      </c>
      <c r="C32" s="75" t="n">
        <f aca="false">'[3]Thrusday 02-08-01'!T88+'[3]Thrusday 02-08-01'!T89+'[3]Thrusday 02-08-01'!T91-'[3]Thursday 02-01-01'!T88-'[3]Thursday 02-01-01'!T89-'[3]Thursday 02-01-01'!T91</f>
        <v>109669662.09</v>
      </c>
      <c r="D32" s="75" t="s">
        <v>61</v>
      </c>
      <c r="E32" s="75"/>
      <c r="F32" s="75"/>
      <c r="G32" s="75"/>
      <c r="H32" s="75"/>
      <c r="I32" s="75"/>
      <c r="J32" s="75"/>
    </row>
    <row r="33" customFormat="false" ht="12.75" hidden="false" customHeight="false" outlineLevel="0" collapsed="false">
      <c r="A33" s="149" t="s">
        <v>19</v>
      </c>
      <c r="B33" s="75" t="n">
        <f aca="false">'[3]Thrusday 02-08-01'!T34-'[3]Thursday 02-01-01'!T34</f>
        <v>23</v>
      </c>
      <c r="C33" s="75" t="n">
        <f aca="false">'[3]Thrusday 02-08-01'!T92-'[3]Thursday 02-01-01'!T92</f>
        <v>3909990</v>
      </c>
      <c r="D33" s="75" t="s">
        <v>63</v>
      </c>
      <c r="E33" s="75"/>
      <c r="F33" s="75"/>
      <c r="G33" s="75"/>
      <c r="H33" s="75"/>
      <c r="I33" s="75"/>
      <c r="J33" s="75"/>
    </row>
    <row r="34" customFormat="false" ht="12.75" hidden="false" customHeight="false" outlineLevel="0" collapsed="false">
      <c r="A34" s="149" t="s">
        <v>120</v>
      </c>
      <c r="B34" s="75" t="n">
        <f aca="false">'[3]Thrusday 02-08-01'!T35-'[3]Thursday 02-01-01'!T35</f>
        <v>21</v>
      </c>
      <c r="C34" s="75" t="n">
        <f aca="false">'[3]Thrusday 02-08-01'!T93-'[3]Thursday 02-01-01'!T93</f>
        <v>1437499</v>
      </c>
      <c r="D34" s="75" t="s">
        <v>63</v>
      </c>
      <c r="E34" s="75"/>
      <c r="F34" s="75"/>
      <c r="G34" s="75"/>
      <c r="H34" s="75"/>
      <c r="I34" s="75"/>
      <c r="J34" s="75"/>
    </row>
    <row r="35" customFormat="false" ht="12.75" hidden="false" customHeight="false" outlineLevel="0" collapsed="false">
      <c r="A35" s="149" t="s">
        <v>22</v>
      </c>
      <c r="B35" s="75" t="n">
        <f aca="false">'[3]Thrusday 02-08-01'!T39-'[3]Thursday 02-01-01'!T39</f>
        <v>11</v>
      </c>
      <c r="C35" s="75" t="n">
        <f aca="false">'[3]Thrusday 02-08-01'!T97-'[3]Thursday 02-01-01'!T97</f>
        <v>97000</v>
      </c>
      <c r="D35" s="75" t="s">
        <v>65</v>
      </c>
      <c r="E35" s="75"/>
      <c r="F35" s="75"/>
      <c r="G35" s="75"/>
      <c r="H35" s="75"/>
      <c r="I35" s="75"/>
      <c r="J35" s="75"/>
    </row>
    <row r="36" customFormat="false" ht="12.75" hidden="false" customHeight="false" outlineLevel="0" collapsed="false">
      <c r="A36" s="149" t="s">
        <v>18</v>
      </c>
      <c r="B36" s="150" t="n">
        <f aca="false">'[3]Thrusday 02-08-01'!T47-'[3]Thursday 02-01-01'!T47</f>
        <v>153</v>
      </c>
      <c r="C36" s="75" t="n">
        <f aca="false">'[3]Thrusday 02-08-01'!T105-'[3]Thursday 02-01-01'!T105</f>
        <v>8754250</v>
      </c>
      <c r="D36" s="75" t="s">
        <v>66</v>
      </c>
      <c r="E36" s="75"/>
      <c r="F36" s="75"/>
      <c r="G36" s="75"/>
      <c r="H36" s="75"/>
      <c r="I36" s="75"/>
      <c r="J36" s="75"/>
    </row>
    <row r="37" customFormat="false" ht="12.75" hidden="false" customHeight="false" outlineLevel="0" collapsed="false">
      <c r="A37" s="149" t="s">
        <v>20</v>
      </c>
      <c r="B37" s="75" t="n">
        <f aca="false">'[3]Thrusday 02-08-01'!T37-'[3]Thursday 02-01-01'!T37</f>
        <v>17</v>
      </c>
      <c r="C37" s="75" t="n">
        <f aca="false">'[3]Thrusday 02-08-01'!T95-'[3]Thursday 02-01-01'!T95</f>
        <v>60100</v>
      </c>
      <c r="D37" s="75" t="s">
        <v>68</v>
      </c>
      <c r="E37" s="75"/>
      <c r="F37" s="75"/>
      <c r="G37" s="75"/>
      <c r="H37" s="75"/>
      <c r="I37" s="75"/>
      <c r="J37" s="75"/>
    </row>
    <row r="38" customFormat="false" ht="12.75" hidden="false" customHeight="false" outlineLevel="0" collapsed="false">
      <c r="A38" s="147" t="s">
        <v>26</v>
      </c>
      <c r="B38" s="148"/>
      <c r="C38" s="75"/>
      <c r="D38" s="75"/>
      <c r="E38" s="75"/>
      <c r="F38" s="75"/>
      <c r="G38" s="75"/>
      <c r="H38" s="75"/>
      <c r="I38" s="75"/>
      <c r="J38" s="75"/>
    </row>
    <row r="39" customFormat="false" ht="12.75" hidden="false" customHeight="false" outlineLevel="0" collapsed="false">
      <c r="A39" s="149" t="s">
        <v>121</v>
      </c>
      <c r="B39" s="150" t="n">
        <f aca="false">'[3]Thrusday 02-08-01'!T38-'[3]Thursday 02-01-01'!T38+25</f>
        <v>88</v>
      </c>
      <c r="C39" s="150" t="n">
        <f aca="false">'[3]Thrusday 02-08-01'!T96-'[3]Thursday 02-01-01'!T96+24083</f>
        <v>83999.9</v>
      </c>
      <c r="D39" s="75" t="s">
        <v>63</v>
      </c>
      <c r="E39" s="75"/>
      <c r="F39" s="75"/>
      <c r="G39" s="75"/>
      <c r="H39" s="75"/>
      <c r="I39" s="75"/>
      <c r="J39" s="75"/>
    </row>
    <row r="40" customFormat="false" ht="12.75" hidden="false" customHeight="false" outlineLevel="0" collapsed="false">
      <c r="A40" s="149" t="s">
        <v>27</v>
      </c>
      <c r="B40" s="75" t="n">
        <f aca="false">'[3]Thrusday 02-08-01'!T43-'[3]Thursday 02-01-01'!T43</f>
        <v>10</v>
      </c>
      <c r="C40" s="75" t="n">
        <f aca="false">'[3]Thrusday 02-08-01'!T101-'[3]Thursday 02-01-01'!T101</f>
        <v>20000</v>
      </c>
      <c r="D40" s="75" t="s">
        <v>63</v>
      </c>
      <c r="E40" s="75"/>
      <c r="F40" s="75"/>
      <c r="G40" s="75"/>
      <c r="H40" s="75"/>
      <c r="I40" s="75"/>
      <c r="J40" s="75"/>
    </row>
    <row r="41" customFormat="false" ht="12.75" hidden="false" customHeight="false" outlineLevel="0" collapsed="false">
      <c r="A41" s="149"/>
      <c r="B41" s="75"/>
      <c r="C41" s="75"/>
      <c r="D41" s="75"/>
      <c r="E41" s="75"/>
      <c r="F41" s="75"/>
      <c r="G41" s="75"/>
      <c r="H41" s="75"/>
      <c r="I41" s="75"/>
      <c r="J41" s="75"/>
    </row>
    <row r="42" customFormat="false" ht="12.75" hidden="false" customHeight="false" outlineLevel="0" collapsed="false">
      <c r="B42" s="75"/>
      <c r="C42" s="75"/>
      <c r="D42" s="75"/>
      <c r="E42" s="75"/>
      <c r="F42" s="75"/>
      <c r="G42" s="75"/>
      <c r="H42" s="75"/>
      <c r="I42" s="75"/>
      <c r="J42" s="75"/>
    </row>
    <row r="43" customFormat="false" ht="12.75" hidden="false" customHeight="false" outlineLevel="0" collapsed="false">
      <c r="B43" s="75"/>
      <c r="C43" s="75"/>
      <c r="D43" s="75"/>
      <c r="E43" s="75"/>
      <c r="F43" s="75"/>
      <c r="G43" s="75"/>
      <c r="H43" s="75"/>
      <c r="I43" s="75"/>
      <c r="J43" s="75"/>
    </row>
    <row r="44" customFormat="false" ht="23.25" hidden="false" customHeight="false" outlineLevel="0" collapsed="false">
      <c r="A44" s="141" t="s">
        <v>123</v>
      </c>
    </row>
    <row r="45" customFormat="false" ht="12.75" hidden="false" customHeight="false" outlineLevel="0" collapsed="false">
      <c r="B45" s="142" t="s">
        <v>132</v>
      </c>
      <c r="C45" s="142"/>
      <c r="D45" s="143" t="s">
        <v>117</v>
      </c>
    </row>
    <row r="46" customFormat="false" ht="12.75" hidden="false" customHeight="false" outlineLevel="0" collapsed="false">
      <c r="A46" s="144" t="s">
        <v>118</v>
      </c>
      <c r="B46" s="145" t="s">
        <v>1</v>
      </c>
      <c r="C46" s="145" t="s">
        <v>119</v>
      </c>
      <c r="D46" s="146" t="s">
        <v>80</v>
      </c>
    </row>
    <row r="48" customFormat="false" ht="12.75" hidden="false" customHeight="false" outlineLevel="0" collapsed="false">
      <c r="A48" s="147" t="s">
        <v>26</v>
      </c>
      <c r="B48" s="34"/>
      <c r="C48" s="34"/>
    </row>
    <row r="49" customFormat="false" ht="12.75" hidden="false" customHeight="false" outlineLevel="0" collapsed="false">
      <c r="A49" s="149" t="s">
        <v>25</v>
      </c>
      <c r="B49" s="34" t="n">
        <v>7</v>
      </c>
      <c r="C49" s="34" t="n">
        <v>668000</v>
      </c>
      <c r="D49" s="0" t="s">
        <v>124</v>
      </c>
    </row>
    <row r="50" customFormat="false" ht="12.75" hidden="false" customHeight="false" outlineLevel="0" collapsed="false">
      <c r="A50" s="149" t="s">
        <v>23</v>
      </c>
      <c r="B50" s="34"/>
      <c r="C50" s="34"/>
    </row>
    <row r="51" customFormat="false" ht="12.75" hidden="false" customHeight="false" outlineLevel="0" collapsed="false">
      <c r="A51" s="149" t="s">
        <v>114</v>
      </c>
      <c r="B51" s="34" t="n">
        <v>5</v>
      </c>
      <c r="C51" s="34" t="n">
        <v>1130</v>
      </c>
      <c r="D51" s="0" t="s">
        <v>125</v>
      </c>
    </row>
    <row r="53" customFormat="false" ht="12.75" hidden="false" customHeight="false" outlineLevel="0" collapsed="false">
      <c r="A53" s="82" t="s">
        <v>126</v>
      </c>
      <c r="B53" s="82" t="n">
        <v>1</v>
      </c>
      <c r="C53" s="82"/>
    </row>
    <row r="55" customFormat="false" ht="12.75" hidden="false" customHeight="false" outlineLevel="0" collapsed="false">
      <c r="A55" s="78" t="s">
        <v>127</v>
      </c>
      <c r="C55" s="159" t="n">
        <f aca="false">C49/1000</f>
        <v>668</v>
      </c>
    </row>
    <row r="58" customFormat="false" ht="12.75" hidden="false" customHeight="false" outlineLevel="0" collapsed="false">
      <c r="A58" s="147" t="s">
        <v>128</v>
      </c>
      <c r="B58" s="82"/>
      <c r="C58" s="160" t="n">
        <f aca="false">C55+C51+C40+C39+C17+C16</f>
        <v>106865.9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141" t="s">
        <v>107</v>
      </c>
    </row>
    <row r="2" customFormat="false" ht="12.75" hidden="false" customHeight="false" outlineLevel="0" collapsed="false">
      <c r="B2" s="142" t="s">
        <v>133</v>
      </c>
      <c r="C2" s="142"/>
      <c r="D2" s="143" t="s">
        <v>117</v>
      </c>
    </row>
    <row r="3" customFormat="false" ht="12.75" hidden="false" customHeight="false" outlineLevel="0" collapsed="false">
      <c r="A3" s="144" t="s">
        <v>118</v>
      </c>
      <c r="B3" s="145" t="s">
        <v>1</v>
      </c>
      <c r="C3" s="145" t="s">
        <v>119</v>
      </c>
      <c r="D3" s="146" t="s">
        <v>80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7" t="s">
        <v>10</v>
      </c>
      <c r="B5" s="148"/>
      <c r="C5" s="14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customFormat="false" ht="12.75" hidden="false" customHeight="false" outlineLevel="0" collapsed="false">
      <c r="A6" s="149" t="s">
        <v>13</v>
      </c>
      <c r="B6" s="75" t="n">
        <f aca="false">55132+4311-40529-3176</f>
        <v>15738</v>
      </c>
      <c r="C6" s="34" t="n">
        <f aca="false">6859190070+194044764-4773993265-135849441</f>
        <v>2143392128</v>
      </c>
      <c r="D6" s="75" t="s">
        <v>57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customFormat="false" ht="12.75" hidden="false" customHeight="false" outlineLevel="0" collapsed="false">
      <c r="A7" s="149" t="s">
        <v>14</v>
      </c>
      <c r="B7" s="75" t="n">
        <f aca="false">5867+1788-4158-1400</f>
        <v>2097</v>
      </c>
      <c r="C7" s="34" t="n">
        <f aca="false">64951720+6934050-47669640-5710650</f>
        <v>18505480</v>
      </c>
      <c r="D7" s="75" t="s">
        <v>58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customFormat="false" ht="12.75" hidden="false" customHeight="false" outlineLevel="0" collapsed="false">
      <c r="A8" s="147" t="s">
        <v>16</v>
      </c>
      <c r="B8" s="148"/>
      <c r="C8" s="152"/>
      <c r="D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customFormat="false" ht="12.75" hidden="false" customHeight="false" outlineLevel="0" collapsed="false">
      <c r="A9" s="149" t="s">
        <v>17</v>
      </c>
      <c r="B9" s="75" t="n">
        <f aca="false">6109+469+36-4592-397-33</f>
        <v>1592</v>
      </c>
      <c r="C9" s="153" t="n">
        <f aca="false">152947000+7757000+832595-114735000-6753000-804595</f>
        <v>39244000</v>
      </c>
      <c r="D9" s="75" t="s">
        <v>61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customFormat="false" ht="12.75" hidden="false" customHeight="false" outlineLevel="0" collapsed="false">
      <c r="A10" s="149" t="s">
        <v>19</v>
      </c>
      <c r="B10" s="75" t="n">
        <f aca="false">110-91</f>
        <v>19</v>
      </c>
      <c r="C10" s="153" t="n">
        <f aca="false">3234500-2686250</f>
        <v>548250</v>
      </c>
      <c r="D10" s="75" t="s">
        <v>63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customFormat="false" ht="12.75" hidden="false" customHeight="false" outlineLevel="0" collapsed="false">
      <c r="A11" s="149" t="s">
        <v>120</v>
      </c>
      <c r="B11" s="75" t="n">
        <f aca="false">29-24</f>
        <v>5</v>
      </c>
      <c r="C11" s="153" t="n">
        <f aca="false">1215000-1020000</f>
        <v>195000</v>
      </c>
      <c r="D11" s="75" t="s">
        <v>63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</row>
    <row r="12" customFormat="false" ht="12.75" hidden="false" customHeight="false" outlineLevel="0" collapsed="false">
      <c r="A12" s="149" t="s">
        <v>22</v>
      </c>
      <c r="B12" s="75" t="n">
        <f aca="false">64-56</f>
        <v>8</v>
      </c>
      <c r="C12" s="153" t="n">
        <f aca="false">20400-17400</f>
        <v>3000</v>
      </c>
      <c r="D12" s="75" t="s">
        <v>65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customFormat="false" ht="12.75" hidden="false" customHeight="false" outlineLevel="0" collapsed="false">
      <c r="A13" s="149" t="s">
        <v>18</v>
      </c>
      <c r="B13" s="75" t="n">
        <v>0</v>
      </c>
      <c r="C13" s="153" t="n">
        <v>0</v>
      </c>
      <c r="D13" s="75" t="s">
        <v>66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customFormat="false" ht="12.75" hidden="false" customHeight="false" outlineLevel="0" collapsed="false">
      <c r="A14" s="149" t="s">
        <v>20</v>
      </c>
      <c r="B14" s="75" t="n">
        <f aca="false">26-18</f>
        <v>8</v>
      </c>
      <c r="C14" s="153" t="n">
        <f aca="false">65000-45000</f>
        <v>20000</v>
      </c>
      <c r="D14" s="75" t="s">
        <v>68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customFormat="false" ht="12.75" hidden="false" customHeight="false" outlineLevel="0" collapsed="false">
      <c r="A15" s="147" t="s">
        <v>26</v>
      </c>
      <c r="B15" s="148"/>
      <c r="C15" s="152"/>
      <c r="D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customFormat="false" ht="12.75" hidden="false" customHeight="false" outlineLevel="0" collapsed="false">
      <c r="A16" s="149" t="s">
        <v>121</v>
      </c>
      <c r="B16" s="75" t="n">
        <v>5</v>
      </c>
      <c r="C16" s="153" t="n">
        <v>286</v>
      </c>
      <c r="D16" s="75" t="s">
        <v>63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customFormat="false" ht="12.75" hidden="false" customHeight="false" outlineLevel="0" collapsed="false">
      <c r="A17" s="149" t="s">
        <v>27</v>
      </c>
      <c r="B17" s="75" t="n">
        <v>0</v>
      </c>
      <c r="C17" s="153" t="n">
        <v>0</v>
      </c>
      <c r="D17" s="75" t="s">
        <v>63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</row>
    <row r="18" customFormat="false" ht="12.75" hidden="false" customHeight="false" outlineLevel="0" collapsed="false">
      <c r="B18" s="75"/>
      <c r="C18" s="75"/>
      <c r="D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</row>
    <row r="19" customFormat="false" ht="12.75" hidden="false" customHeight="false" outlineLevel="0" collapsed="false">
      <c r="B19" s="75"/>
      <c r="C19" s="75"/>
      <c r="D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customFormat="false" ht="12.75" hidden="false" customHeight="false" outlineLevel="0" collapsed="false">
      <c r="A20" s="82" t="s">
        <v>122</v>
      </c>
      <c r="B20" s="148" t="n">
        <v>8</v>
      </c>
      <c r="C20" s="148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customFormat="false" ht="12.75" hidden="false" customHeight="false" outlineLevel="0" collapsed="false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</row>
    <row r="22" customFormat="false" ht="12.75" hidden="false" customHeight="false" outlineLevel="0" collapsed="false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</row>
    <row r="23" customFormat="false" ht="12.75" hidden="false" customHeight="false" outlineLevel="0" collapsed="false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</row>
    <row r="24" customFormat="false" ht="23.25" hidden="false" customHeight="false" outlineLevel="0" collapsed="false">
      <c r="A24" s="141" t="s">
        <v>108</v>
      </c>
    </row>
    <row r="25" customFormat="false" ht="12.75" hidden="false" customHeight="false" outlineLevel="0" collapsed="false">
      <c r="B25" s="142" t="s">
        <v>133</v>
      </c>
      <c r="C25" s="142"/>
      <c r="D25" s="143" t="s">
        <v>117</v>
      </c>
    </row>
    <row r="26" customFormat="false" ht="12.75" hidden="false" customHeight="false" outlineLevel="0" collapsed="false">
      <c r="A26" s="144" t="s">
        <v>118</v>
      </c>
      <c r="B26" s="145" t="s">
        <v>1</v>
      </c>
      <c r="C26" s="145" t="s">
        <v>119</v>
      </c>
      <c r="D26" s="146" t="s">
        <v>80</v>
      </c>
    </row>
    <row r="27" customFormat="false" ht="12.75" hidden="false" customHeight="false" outlineLevel="0" collapsed="false">
      <c r="A27" s="82"/>
      <c r="B27" s="82"/>
      <c r="C27" s="82"/>
    </row>
    <row r="28" customFormat="false" ht="12.75" hidden="false" customHeight="false" outlineLevel="0" collapsed="false">
      <c r="A28" s="147" t="s">
        <v>10</v>
      </c>
      <c r="B28" s="75"/>
      <c r="C28" s="75"/>
      <c r="D28" s="75"/>
      <c r="E28" s="75"/>
      <c r="F28" s="75"/>
      <c r="G28" s="75"/>
      <c r="H28" s="75"/>
      <c r="I28" s="75"/>
      <c r="J28" s="75"/>
    </row>
    <row r="29" customFormat="false" ht="12.75" hidden="false" customHeight="false" outlineLevel="0" collapsed="false">
      <c r="A29" s="149" t="s">
        <v>13</v>
      </c>
      <c r="B29" s="75" t="n">
        <f aca="false">13338+2004-9715-1574</f>
        <v>4053</v>
      </c>
      <c r="C29" s="75" t="n">
        <f aca="false">7577517320+538599790-5634611180-351626838</f>
        <v>2129879092</v>
      </c>
      <c r="D29" s="75" t="s">
        <v>57</v>
      </c>
      <c r="E29" s="75"/>
      <c r="F29" s="75"/>
      <c r="G29" s="75"/>
      <c r="H29" s="75"/>
      <c r="I29" s="75"/>
      <c r="J29" s="75"/>
    </row>
    <row r="30" customFormat="false" ht="12.75" hidden="false" customHeight="false" outlineLevel="0" collapsed="false">
      <c r="A30" s="149" t="s">
        <v>14</v>
      </c>
      <c r="B30" s="75" t="n">
        <f aca="false">5554+4032-3997-3087</f>
        <v>2502</v>
      </c>
      <c r="C30" s="75" t="n">
        <f aca="false">76427909+60080482-57787682-43280956</f>
        <v>35439753</v>
      </c>
      <c r="D30" s="75" t="s">
        <v>58</v>
      </c>
      <c r="E30" s="75"/>
      <c r="F30" s="75"/>
      <c r="G30" s="75"/>
      <c r="H30" s="75"/>
      <c r="I30" s="75"/>
      <c r="J30" s="75"/>
    </row>
    <row r="31" customFormat="false" ht="12.75" hidden="false" customHeight="false" outlineLevel="0" collapsed="false">
      <c r="A31" s="147" t="s">
        <v>16</v>
      </c>
      <c r="B31" s="75"/>
      <c r="C31" s="75"/>
      <c r="D31" s="75"/>
      <c r="E31" s="75"/>
      <c r="F31" s="75"/>
      <c r="G31" s="75"/>
      <c r="H31" s="75"/>
      <c r="I31" s="75"/>
      <c r="J31" s="75"/>
    </row>
    <row r="32" customFormat="false" ht="12.75" hidden="false" customHeight="false" outlineLevel="0" collapsed="false">
      <c r="A32" s="149" t="s">
        <v>17</v>
      </c>
      <c r="B32" s="75" t="n">
        <f aca="false">6483+397+180-4893-294-143</f>
        <v>1730</v>
      </c>
      <c r="C32" s="75" t="n">
        <f aca="false">510007317+10867017+7486462-381986081-7339728-6329636</f>
        <v>132705351</v>
      </c>
      <c r="D32" s="75" t="s">
        <v>61</v>
      </c>
      <c r="E32" s="75"/>
      <c r="F32" s="75"/>
      <c r="G32" s="75"/>
      <c r="H32" s="75"/>
      <c r="I32" s="75"/>
      <c r="J32" s="75"/>
    </row>
    <row r="33" customFormat="false" ht="12.75" hidden="false" customHeight="false" outlineLevel="0" collapsed="false">
      <c r="A33" s="149" t="s">
        <v>19</v>
      </c>
      <c r="B33" s="75" t="n">
        <f aca="false">133-105</f>
        <v>28</v>
      </c>
      <c r="C33" s="75" t="n">
        <f aca="false">11572096-6940526</f>
        <v>4631570</v>
      </c>
      <c r="D33" s="75" t="s">
        <v>63</v>
      </c>
      <c r="E33" s="75"/>
      <c r="F33" s="75"/>
      <c r="G33" s="75"/>
      <c r="H33" s="75"/>
      <c r="I33" s="75"/>
      <c r="J33" s="75"/>
    </row>
    <row r="34" customFormat="false" ht="12.75" hidden="false" customHeight="false" outlineLevel="0" collapsed="false">
      <c r="A34" s="149" t="s">
        <v>120</v>
      </c>
      <c r="B34" s="75" t="n">
        <f aca="false">106-75</f>
        <v>31</v>
      </c>
      <c r="C34" s="75" t="n">
        <f aca="false">5575507-4378000</f>
        <v>1197507</v>
      </c>
      <c r="D34" s="75" t="s">
        <v>63</v>
      </c>
      <c r="E34" s="75"/>
      <c r="F34" s="75"/>
      <c r="G34" s="75"/>
      <c r="H34" s="75"/>
      <c r="I34" s="75"/>
      <c r="J34" s="75"/>
    </row>
    <row r="35" customFormat="false" ht="12.75" hidden="false" customHeight="false" outlineLevel="0" collapsed="false">
      <c r="A35" s="149" t="s">
        <v>22</v>
      </c>
      <c r="B35" s="75" t="n">
        <f aca="false">68-57</f>
        <v>11</v>
      </c>
      <c r="C35" s="75" t="n">
        <f aca="false">366600-313600</f>
        <v>53000</v>
      </c>
      <c r="D35" s="75" t="s">
        <v>65</v>
      </c>
      <c r="E35" s="75"/>
      <c r="F35" s="75"/>
      <c r="G35" s="75"/>
      <c r="H35" s="75"/>
      <c r="I35" s="75"/>
      <c r="J35" s="75"/>
    </row>
    <row r="36" customFormat="false" ht="12.75" hidden="false" customHeight="false" outlineLevel="0" collapsed="false">
      <c r="A36" s="149" t="s">
        <v>18</v>
      </c>
      <c r="B36" s="75" t="n">
        <f aca="false">638-493</f>
        <v>145</v>
      </c>
      <c r="C36" s="75" t="n">
        <f aca="false">28642250-23009750</f>
        <v>5632500</v>
      </c>
      <c r="D36" s="75" t="s">
        <v>66</v>
      </c>
      <c r="E36" s="75"/>
      <c r="F36" s="75"/>
      <c r="G36" s="75"/>
      <c r="H36" s="75"/>
      <c r="I36" s="75"/>
      <c r="J36" s="75"/>
    </row>
    <row r="37" customFormat="false" ht="12.75" hidden="false" customHeight="false" outlineLevel="0" collapsed="false">
      <c r="A37" s="149" t="s">
        <v>20</v>
      </c>
      <c r="B37" s="75" t="n">
        <f aca="false">19-13</f>
        <v>6</v>
      </c>
      <c r="C37" s="75" t="n">
        <f aca="false">133020-106670</f>
        <v>26350</v>
      </c>
      <c r="D37" s="75" t="s">
        <v>68</v>
      </c>
      <c r="E37" s="75"/>
      <c r="F37" s="75"/>
      <c r="G37" s="75"/>
      <c r="H37" s="75"/>
      <c r="I37" s="75"/>
      <c r="J37" s="75"/>
    </row>
    <row r="38" customFormat="false" ht="12.75" hidden="false" customHeight="false" outlineLevel="0" collapsed="false">
      <c r="A38" s="147" t="s">
        <v>26</v>
      </c>
      <c r="B38" s="75"/>
      <c r="C38" s="75"/>
      <c r="D38" s="75"/>
      <c r="E38" s="75"/>
      <c r="F38" s="75"/>
      <c r="G38" s="75"/>
      <c r="H38" s="75"/>
      <c r="I38" s="75"/>
      <c r="J38" s="75"/>
    </row>
    <row r="39" customFormat="false" ht="12.75" hidden="false" customHeight="false" outlineLevel="0" collapsed="false">
      <c r="A39" s="149" t="s">
        <v>121</v>
      </c>
      <c r="B39" s="75" t="n">
        <f aca="false">196-146+81</f>
        <v>131</v>
      </c>
      <c r="C39" s="75" t="n">
        <v>24860</v>
      </c>
      <c r="D39" s="75" t="s">
        <v>63</v>
      </c>
      <c r="E39" s="75"/>
      <c r="F39" s="75"/>
      <c r="G39" s="75"/>
      <c r="H39" s="75"/>
      <c r="I39" s="75"/>
      <c r="J39" s="75"/>
    </row>
    <row r="40" customFormat="false" ht="12.75" hidden="false" customHeight="false" outlineLevel="0" collapsed="false">
      <c r="A40" s="149" t="s">
        <v>27</v>
      </c>
      <c r="B40" s="75" t="n">
        <v>0</v>
      </c>
      <c r="C40" s="75" t="n">
        <v>0</v>
      </c>
      <c r="D40" s="75" t="s">
        <v>63</v>
      </c>
      <c r="E40" s="75"/>
      <c r="F40" s="75"/>
      <c r="G40" s="75"/>
      <c r="H40" s="75"/>
      <c r="I40" s="75"/>
      <c r="J40" s="75"/>
    </row>
    <row r="41" customFormat="false" ht="12.75" hidden="false" customHeight="false" outlineLevel="0" collapsed="false">
      <c r="A41" s="149"/>
      <c r="B41" s="75"/>
      <c r="C41" s="75"/>
      <c r="D41" s="75"/>
      <c r="E41" s="75"/>
      <c r="F41" s="75"/>
      <c r="G41" s="75"/>
      <c r="H41" s="75"/>
      <c r="I41" s="75"/>
      <c r="J41" s="75"/>
    </row>
    <row r="42" customFormat="false" ht="12.75" hidden="false" customHeight="false" outlineLevel="0" collapsed="false">
      <c r="B42" s="75"/>
      <c r="C42" s="75"/>
      <c r="D42" s="75"/>
      <c r="E42" s="75"/>
      <c r="F42" s="75"/>
      <c r="G42" s="75"/>
      <c r="H42" s="75"/>
      <c r="I42" s="75"/>
      <c r="J42" s="75"/>
    </row>
    <row r="43" customFormat="false" ht="12.75" hidden="false" customHeight="false" outlineLevel="0" collapsed="false">
      <c r="B43" s="75"/>
      <c r="C43" s="75"/>
      <c r="D43" s="75"/>
      <c r="E43" s="75"/>
      <c r="F43" s="75"/>
      <c r="G43" s="75"/>
      <c r="H43" s="75"/>
      <c r="I43" s="75"/>
      <c r="J43" s="75"/>
    </row>
    <row r="44" customFormat="false" ht="23.25" hidden="false" customHeight="false" outlineLevel="0" collapsed="false">
      <c r="A44" s="141" t="s">
        <v>123</v>
      </c>
    </row>
    <row r="45" customFormat="false" ht="12.75" hidden="false" customHeight="false" outlineLevel="0" collapsed="false">
      <c r="B45" s="142" t="s">
        <v>133</v>
      </c>
      <c r="C45" s="142"/>
      <c r="D45" s="143" t="s">
        <v>117</v>
      </c>
    </row>
    <row r="46" customFormat="false" ht="12.75" hidden="false" customHeight="false" outlineLevel="0" collapsed="false">
      <c r="A46" s="144" t="s">
        <v>118</v>
      </c>
      <c r="B46" s="145" t="s">
        <v>1</v>
      </c>
      <c r="C46" s="145" t="s">
        <v>119</v>
      </c>
      <c r="D46" s="146" t="s">
        <v>80</v>
      </c>
    </row>
    <row r="48" customFormat="false" ht="12.75" hidden="false" customHeight="false" outlineLevel="0" collapsed="false">
      <c r="A48" s="147" t="s">
        <v>26</v>
      </c>
      <c r="B48" s="34"/>
      <c r="C48" s="34"/>
    </row>
    <row r="49" customFormat="false" ht="12.75" hidden="false" customHeight="false" outlineLevel="0" collapsed="false">
      <c r="A49" s="149" t="s">
        <v>25</v>
      </c>
      <c r="B49" s="34" t="n">
        <v>5</v>
      </c>
      <c r="C49" s="34" t="n">
        <v>286000</v>
      </c>
      <c r="D49" s="0" t="s">
        <v>124</v>
      </c>
    </row>
    <row r="50" customFormat="false" ht="12.75" hidden="false" customHeight="false" outlineLevel="0" collapsed="false">
      <c r="A50" s="149" t="s">
        <v>23</v>
      </c>
      <c r="B50" s="34"/>
      <c r="C50" s="34"/>
    </row>
    <row r="51" customFormat="false" ht="12.75" hidden="false" customHeight="false" outlineLevel="0" collapsed="false">
      <c r="A51" s="149" t="s">
        <v>114</v>
      </c>
      <c r="B51" s="34" t="n">
        <v>2</v>
      </c>
      <c r="C51" s="34" t="n">
        <v>440</v>
      </c>
      <c r="D51" s="0" t="s">
        <v>125</v>
      </c>
    </row>
    <row r="53" customFormat="false" ht="12.75" hidden="false" customHeight="false" outlineLevel="0" collapsed="false">
      <c r="A53" s="82" t="s">
        <v>126</v>
      </c>
      <c r="B53" s="82" t="n">
        <v>1</v>
      </c>
      <c r="C53" s="82"/>
    </row>
    <row r="55" customFormat="false" ht="12.75" hidden="false" customHeight="false" outlineLevel="0" collapsed="false">
      <c r="A55" s="78" t="s">
        <v>127</v>
      </c>
      <c r="C55" s="159" t="n">
        <f aca="false">C49/1000</f>
        <v>286</v>
      </c>
    </row>
    <row r="58" customFormat="false" ht="12.75" hidden="false" customHeight="false" outlineLevel="0" collapsed="false">
      <c r="A58" s="147" t="s">
        <v>128</v>
      </c>
      <c r="B58" s="82"/>
      <c r="C58" s="160" t="n">
        <f aca="false">C55+C51+C40+C39+C17+C16</f>
        <v>25872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62" t="s">
        <v>92</v>
      </c>
      <c r="C1" s="162"/>
      <c r="D1" s="162"/>
      <c r="E1" s="162"/>
      <c r="F1" s="162"/>
      <c r="G1" s="162"/>
      <c r="H1" s="162"/>
      <c r="I1" s="162"/>
    </row>
    <row r="2" customFormat="false" ht="12.75" hidden="false" customHeight="false" outlineLevel="0" collapsed="false">
      <c r="B2" s="142" t="s">
        <v>134</v>
      </c>
      <c r="C2" s="142"/>
      <c r="D2" s="142" t="s">
        <v>135</v>
      </c>
      <c r="E2" s="142"/>
      <c r="F2" s="142" t="s">
        <v>136</v>
      </c>
      <c r="G2" s="142"/>
      <c r="H2" s="142" t="s">
        <v>137</v>
      </c>
      <c r="I2" s="142"/>
    </row>
    <row r="3" customFormat="false" ht="12.75" hidden="false" customHeight="false" outlineLevel="0" collapsed="false">
      <c r="A3" s="0" t="s">
        <v>91</v>
      </c>
      <c r="B3" s="0" t="s">
        <v>107</v>
      </c>
      <c r="C3" s="0" t="s">
        <v>108</v>
      </c>
      <c r="D3" s="0" t="s">
        <v>107</v>
      </c>
      <c r="E3" s="0" t="s">
        <v>108</v>
      </c>
      <c r="F3" s="0" t="s">
        <v>107</v>
      </c>
      <c r="G3" s="0" t="s">
        <v>108</v>
      </c>
      <c r="H3" s="0" t="s">
        <v>107</v>
      </c>
      <c r="I3" s="0" t="s">
        <v>108</v>
      </c>
    </row>
    <row r="4" customFormat="false" ht="12.75" hidden="false" customHeight="false" outlineLevel="0" collapsed="false">
      <c r="A4" s="82" t="s">
        <v>109</v>
      </c>
      <c r="B4" s="66"/>
      <c r="C4" s="66"/>
      <c r="D4" s="66"/>
      <c r="E4" s="66"/>
      <c r="F4" s="66"/>
      <c r="G4" s="66"/>
      <c r="H4" s="66"/>
      <c r="I4" s="66"/>
    </row>
    <row r="5" customFormat="false" ht="12.75" hidden="false" customHeight="false" outlineLevel="0" collapsed="false">
      <c r="A5" s="147" t="s">
        <v>76</v>
      </c>
      <c r="B5" s="66"/>
      <c r="C5" s="66"/>
      <c r="D5" s="66"/>
      <c r="E5" s="66"/>
      <c r="F5" s="66"/>
      <c r="G5" s="66"/>
      <c r="H5" s="66"/>
      <c r="I5" s="66"/>
    </row>
    <row r="6" customFormat="false" ht="12.75" hidden="false" customHeight="false" outlineLevel="0" collapsed="false">
      <c r="A6" s="149" t="s">
        <v>110</v>
      </c>
      <c r="B6" s="163" t="n">
        <v>184</v>
      </c>
      <c r="C6" s="163" t="n">
        <v>20</v>
      </c>
      <c r="D6" s="163" t="n">
        <v>204</v>
      </c>
      <c r="E6" s="163" t="n">
        <v>25</v>
      </c>
      <c r="F6" s="163" t="n">
        <v>159</v>
      </c>
      <c r="G6" s="163" t="n">
        <v>27</v>
      </c>
      <c r="H6" s="163" t="n">
        <v>227</v>
      </c>
      <c r="I6" s="163" t="n">
        <v>43</v>
      </c>
    </row>
    <row r="7" customFormat="false" ht="12.75" hidden="false" customHeight="false" outlineLevel="0" collapsed="false">
      <c r="A7" s="149" t="s">
        <v>111</v>
      </c>
      <c r="B7" s="66"/>
      <c r="C7" s="66"/>
      <c r="D7" s="66"/>
      <c r="E7" s="66"/>
      <c r="F7" s="66"/>
      <c r="G7" s="66"/>
      <c r="H7" s="66"/>
      <c r="I7" s="66"/>
    </row>
    <row r="8" customFormat="false" ht="12.75" hidden="false" customHeight="false" outlineLevel="0" collapsed="false">
      <c r="A8" s="149" t="s">
        <v>112</v>
      </c>
      <c r="B8" s="164" t="n">
        <v>24</v>
      </c>
      <c r="C8" s="164" t="n">
        <v>38</v>
      </c>
      <c r="D8" s="164" t="n">
        <v>57</v>
      </c>
      <c r="E8" s="164" t="n">
        <v>114</v>
      </c>
      <c r="F8" s="164" t="n">
        <v>68</v>
      </c>
      <c r="G8" s="164" t="n">
        <v>79</v>
      </c>
      <c r="H8" s="164" t="n">
        <v>1463</v>
      </c>
      <c r="I8" s="164" t="n">
        <v>2294</v>
      </c>
    </row>
    <row r="9" customFormat="false" ht="12.75" hidden="false" customHeight="false" outlineLevel="0" collapsed="false">
      <c r="A9" s="149" t="s">
        <v>113</v>
      </c>
      <c r="B9" s="163"/>
      <c r="C9" s="163"/>
      <c r="D9" s="163" t="n">
        <v>6</v>
      </c>
      <c r="E9" s="163" t="n">
        <v>5</v>
      </c>
      <c r="F9" s="163" t="n">
        <v>34</v>
      </c>
      <c r="G9" s="163" t="n">
        <v>10</v>
      </c>
      <c r="H9" s="163" t="n">
        <v>51</v>
      </c>
      <c r="I9" s="163" t="n">
        <v>16</v>
      </c>
    </row>
    <row r="10" customFormat="false" ht="12.75" hidden="false" customHeight="false" outlineLevel="0" collapsed="false">
      <c r="A10" s="147" t="s">
        <v>26</v>
      </c>
      <c r="B10" s="66"/>
      <c r="C10" s="66"/>
      <c r="D10" s="66"/>
      <c r="E10" s="66"/>
      <c r="F10" s="66"/>
      <c r="G10" s="66"/>
      <c r="H10" s="66"/>
      <c r="I10" s="66"/>
    </row>
    <row r="11" customFormat="false" ht="12.75" hidden="false" customHeight="false" outlineLevel="0" collapsed="false">
      <c r="A11" s="149" t="s">
        <v>25</v>
      </c>
      <c r="B11" s="165" t="n">
        <v>0</v>
      </c>
      <c r="C11" s="165" t="n">
        <v>23</v>
      </c>
      <c r="D11" s="165" t="n">
        <v>0</v>
      </c>
      <c r="E11" s="165" t="n">
        <v>7</v>
      </c>
      <c r="F11" s="165" t="n">
        <v>0</v>
      </c>
      <c r="G11" s="165" t="n">
        <v>10</v>
      </c>
      <c r="H11" s="165" t="n">
        <v>0</v>
      </c>
      <c r="I11" s="165" t="n">
        <v>19</v>
      </c>
    </row>
    <row r="12" customFormat="false" ht="12.75" hidden="false" customHeight="false" outlineLevel="0" collapsed="false">
      <c r="A12" s="149" t="s">
        <v>23</v>
      </c>
      <c r="B12" s="165" t="n">
        <v>0</v>
      </c>
      <c r="C12" s="165" t="n">
        <v>2</v>
      </c>
      <c r="D12" s="165" t="n">
        <v>2</v>
      </c>
      <c r="E12" s="165" t="n">
        <v>0</v>
      </c>
      <c r="F12" s="165" t="n">
        <v>0</v>
      </c>
      <c r="G12" s="165" t="n">
        <v>2</v>
      </c>
      <c r="H12" s="165" t="n">
        <v>0</v>
      </c>
      <c r="I12" s="165" t="n">
        <v>2</v>
      </c>
    </row>
    <row r="13" customFormat="false" ht="12.75" hidden="false" customHeight="false" outlineLevel="0" collapsed="false">
      <c r="A13" s="149" t="s">
        <v>114</v>
      </c>
      <c r="B13" s="165" t="n">
        <v>0</v>
      </c>
      <c r="C13" s="165" t="n">
        <v>1</v>
      </c>
      <c r="D13" s="165" t="n">
        <v>0</v>
      </c>
      <c r="E13" s="165" t="n">
        <v>4</v>
      </c>
      <c r="F13" s="165" t="n">
        <v>0</v>
      </c>
      <c r="G13" s="165" t="n">
        <v>12</v>
      </c>
      <c r="H13" s="165" t="n">
        <v>0</v>
      </c>
      <c r="I13" s="165" t="n">
        <v>10</v>
      </c>
    </row>
    <row r="14" customFormat="false" ht="12.75" hidden="false" customHeight="false" outlineLevel="0" collapsed="false">
      <c r="A14" s="149" t="s">
        <v>27</v>
      </c>
      <c r="B14" s="165" t="n">
        <v>0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</row>
    <row r="15" customFormat="false" ht="12.75" hidden="false" customHeight="false" outlineLevel="0" collapsed="false">
      <c r="A15" s="147" t="s">
        <v>16</v>
      </c>
      <c r="B15" s="66"/>
      <c r="C15" s="66"/>
      <c r="D15" s="66"/>
      <c r="E15" s="66"/>
      <c r="F15" s="66"/>
      <c r="G15" s="66"/>
      <c r="H15" s="66"/>
      <c r="I15" s="66"/>
    </row>
    <row r="16" customFormat="false" ht="12.75" hidden="false" customHeight="false" outlineLevel="0" collapsed="false">
      <c r="A16" s="149" t="s">
        <v>18</v>
      </c>
      <c r="B16" s="66"/>
      <c r="C16" s="66"/>
      <c r="D16" s="66"/>
      <c r="E16" s="66"/>
      <c r="F16" s="66"/>
      <c r="G16" s="66"/>
      <c r="H16" s="66"/>
      <c r="I16" s="66"/>
    </row>
    <row r="17" customFormat="false" ht="12.75" hidden="false" customHeight="false" outlineLevel="0" collapsed="false">
      <c r="A17" s="149" t="s">
        <v>22</v>
      </c>
      <c r="B17" s="66"/>
      <c r="C17" s="66"/>
      <c r="D17" s="66"/>
      <c r="E17" s="66"/>
      <c r="F17" s="66"/>
      <c r="G17" s="66"/>
      <c r="H17" s="66"/>
      <c r="I17" s="66"/>
    </row>
    <row r="18" customFormat="false" ht="12.75" hidden="false" customHeight="false" outlineLevel="0" collapsed="false">
      <c r="A18" s="149" t="s">
        <v>17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149" t="s">
        <v>20</v>
      </c>
      <c r="B19" s="66"/>
      <c r="C19" s="66"/>
      <c r="D19" s="66"/>
      <c r="E19" s="66"/>
      <c r="F19" s="66"/>
      <c r="G19" s="66"/>
      <c r="H19" s="66"/>
      <c r="I19" s="66"/>
    </row>
    <row r="20" customFormat="false" ht="12.75" hidden="false" customHeight="false" outlineLevel="0" collapsed="false">
      <c r="A20" s="82" t="s">
        <v>115</v>
      </c>
      <c r="B20" s="66"/>
      <c r="C20" s="66"/>
      <c r="D20" s="66"/>
      <c r="E20" s="66"/>
      <c r="F20" s="66"/>
      <c r="G20" s="66"/>
      <c r="H20" s="66"/>
      <c r="I20" s="66"/>
    </row>
    <row r="21" customFormat="false" ht="12.75" hidden="false" customHeight="false" outlineLevel="0" collapsed="false">
      <c r="A21" s="147" t="s">
        <v>76</v>
      </c>
      <c r="B21" s="66"/>
      <c r="C21" s="66"/>
      <c r="D21" s="66"/>
      <c r="E21" s="66"/>
      <c r="F21" s="66"/>
      <c r="G21" s="66"/>
      <c r="H21" s="66"/>
      <c r="I21" s="66"/>
    </row>
    <row r="22" customFormat="false" ht="12.75" hidden="false" customHeight="false" outlineLevel="0" collapsed="false">
      <c r="A22" s="149" t="s">
        <v>111</v>
      </c>
      <c r="B22" s="66" t="n">
        <v>5224</v>
      </c>
      <c r="C22" s="66" t="n">
        <v>1151</v>
      </c>
      <c r="D22" s="66"/>
      <c r="E22" s="66"/>
      <c r="F22" s="66"/>
      <c r="G22" s="66"/>
      <c r="H22" s="66"/>
      <c r="I22" s="66"/>
    </row>
    <row r="23" customFormat="false" ht="12.75" hidden="false" customHeight="false" outlineLevel="0" collapsed="false">
      <c r="A23" s="149" t="s">
        <v>110</v>
      </c>
      <c r="B23" s="163" t="n">
        <v>573</v>
      </c>
      <c r="C23" s="163" t="n">
        <v>388</v>
      </c>
      <c r="D23" s="163" t="n">
        <v>778</v>
      </c>
      <c r="E23" s="163" t="n">
        <v>473</v>
      </c>
      <c r="F23" s="163" t="n">
        <v>778</v>
      </c>
      <c r="G23" s="163" t="n">
        <v>304</v>
      </c>
      <c r="H23" s="163" t="n">
        <v>1013</v>
      </c>
      <c r="I23" s="163" t="n">
        <v>436</v>
      </c>
    </row>
    <row r="24" customFormat="false" ht="12.75" hidden="false" customHeight="false" outlineLevel="0" collapsed="false">
      <c r="A24" s="149" t="s">
        <v>112</v>
      </c>
      <c r="B24" s="164" t="n">
        <v>633</v>
      </c>
      <c r="C24" s="164" t="n">
        <v>1263</v>
      </c>
      <c r="D24" s="164" t="n">
        <v>1573</v>
      </c>
      <c r="E24" s="164" t="n">
        <v>2577</v>
      </c>
      <c r="F24" s="164" t="n">
        <v>1657</v>
      </c>
      <c r="G24" s="164" t="n">
        <v>2093</v>
      </c>
      <c r="H24" s="164" t="n">
        <v>83</v>
      </c>
      <c r="I24" s="164" t="n">
        <v>139</v>
      </c>
    </row>
    <row r="25" customFormat="false" ht="12.75" hidden="false" customHeight="false" outlineLevel="0" collapsed="false">
      <c r="A25" s="149" t="s">
        <v>113</v>
      </c>
      <c r="B25" s="163"/>
      <c r="C25" s="163" t="n">
        <v>9</v>
      </c>
      <c r="D25" s="163"/>
      <c r="E25" s="163" t="n">
        <v>23</v>
      </c>
      <c r="F25" s="163"/>
      <c r="G25" s="163" t="n">
        <v>22</v>
      </c>
      <c r="H25" s="163"/>
      <c r="I25" s="163" t="n">
        <v>10</v>
      </c>
    </row>
    <row r="26" customFormat="false" ht="12.75" hidden="false" customHeight="false" outlineLevel="0" collapsed="false">
      <c r="A26" s="147" t="s">
        <v>26</v>
      </c>
      <c r="B26" s="66"/>
      <c r="C26" s="66"/>
      <c r="D26" s="66"/>
      <c r="E26" s="66"/>
      <c r="F26" s="66"/>
      <c r="G26" s="66"/>
      <c r="H26" s="66"/>
      <c r="I26" s="66"/>
    </row>
    <row r="27" customFormat="false" ht="12.75" hidden="false" customHeight="false" outlineLevel="0" collapsed="false">
      <c r="A27" s="149" t="s">
        <v>25</v>
      </c>
      <c r="B27" s="165" t="n">
        <v>1</v>
      </c>
      <c r="C27" s="165" t="n">
        <v>62</v>
      </c>
      <c r="D27" s="165" t="n">
        <v>12</v>
      </c>
      <c r="E27" s="165" t="n">
        <v>107</v>
      </c>
      <c r="F27" s="165" t="n">
        <v>10</v>
      </c>
      <c r="G27" s="165" t="n">
        <v>83</v>
      </c>
      <c r="H27" s="165" t="n">
        <v>2</v>
      </c>
      <c r="I27" s="165" t="n">
        <v>103</v>
      </c>
    </row>
    <row r="28" customFormat="false" ht="12.75" hidden="false" customHeight="false" outlineLevel="0" collapsed="false">
      <c r="A28" s="149" t="s">
        <v>23</v>
      </c>
      <c r="B28" s="165" t="n">
        <v>0</v>
      </c>
      <c r="C28" s="165" t="n">
        <v>3</v>
      </c>
      <c r="D28" s="165" t="n">
        <v>0</v>
      </c>
      <c r="E28" s="165" t="n">
        <v>15</v>
      </c>
      <c r="F28" s="165" t="n">
        <v>1</v>
      </c>
      <c r="G28" s="165" t="n">
        <v>6</v>
      </c>
      <c r="H28" s="165" t="n">
        <v>0</v>
      </c>
      <c r="I28" s="165" t="n">
        <v>22</v>
      </c>
    </row>
    <row r="29" customFormat="false" ht="12.75" hidden="false" customHeight="false" outlineLevel="0" collapsed="false">
      <c r="A29" s="149" t="s">
        <v>114</v>
      </c>
      <c r="B29" s="165" t="n">
        <v>4</v>
      </c>
      <c r="C29" s="165" t="n">
        <v>1</v>
      </c>
      <c r="D29" s="165" t="n">
        <v>3</v>
      </c>
      <c r="E29" s="165" t="n">
        <v>10</v>
      </c>
      <c r="F29" s="165" t="n">
        <v>0</v>
      </c>
      <c r="G29" s="165" t="n">
        <v>12</v>
      </c>
      <c r="H29" s="165" t="n">
        <v>0</v>
      </c>
      <c r="I29" s="165" t="n">
        <v>9</v>
      </c>
    </row>
    <row r="30" customFormat="false" ht="12.75" hidden="false" customHeight="false" outlineLevel="0" collapsed="false">
      <c r="A30" s="149" t="s">
        <v>27</v>
      </c>
      <c r="B30" s="165" t="n">
        <v>0</v>
      </c>
      <c r="C30" s="165" t="n">
        <v>0</v>
      </c>
      <c r="D30" s="165" t="n">
        <v>0</v>
      </c>
      <c r="E30" s="165" t="n">
        <v>0</v>
      </c>
      <c r="F30" s="165" t="n">
        <v>0</v>
      </c>
      <c r="G30" s="165" t="n">
        <v>0</v>
      </c>
      <c r="H30" s="165" t="n">
        <v>0</v>
      </c>
      <c r="I30" s="165" t="n">
        <v>0</v>
      </c>
    </row>
    <row r="31" customFormat="false" ht="12.75" hidden="false" customHeight="false" outlineLevel="0" collapsed="false">
      <c r="A31" s="147" t="s">
        <v>16</v>
      </c>
      <c r="B31" s="66"/>
      <c r="C31" s="66"/>
      <c r="D31" s="66"/>
      <c r="E31" s="66"/>
      <c r="F31" s="66"/>
      <c r="G31" s="66"/>
      <c r="H31" s="66"/>
      <c r="I31" s="66"/>
    </row>
    <row r="32" customFormat="false" ht="12.75" hidden="false" customHeight="false" outlineLevel="0" collapsed="false">
      <c r="A32" s="149" t="s">
        <v>17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149" t="s">
        <v>19</v>
      </c>
    </row>
    <row r="34" customFormat="false" ht="12.75" hidden="false" customHeight="false" outlineLevel="0" collapsed="false">
      <c r="B34" s="142" t="s">
        <v>134</v>
      </c>
      <c r="C34" s="142"/>
      <c r="D34" s="142" t="s">
        <v>135</v>
      </c>
      <c r="E34" s="142"/>
      <c r="F34" s="142" t="s">
        <v>136</v>
      </c>
      <c r="G34" s="142"/>
      <c r="H34" s="142" t="s">
        <v>137</v>
      </c>
      <c r="I34" s="142"/>
    </row>
    <row r="35" customFormat="false" ht="12.75" hidden="false" customHeight="false" outlineLevel="0" collapsed="false">
      <c r="A35" s="164" t="s">
        <v>138</v>
      </c>
      <c r="B35" s="164" t="s">
        <v>107</v>
      </c>
      <c r="C35" s="164" t="s">
        <v>108</v>
      </c>
      <c r="D35" s="164" t="s">
        <v>107</v>
      </c>
      <c r="E35" s="164" t="s">
        <v>108</v>
      </c>
      <c r="F35" s="164" t="s">
        <v>107</v>
      </c>
      <c r="G35" s="164" t="s">
        <v>108</v>
      </c>
      <c r="H35" s="164" t="s">
        <v>107</v>
      </c>
      <c r="I35" s="164" t="s">
        <v>108</v>
      </c>
    </row>
    <row r="36" customFormat="false" ht="12.75" hidden="false" customHeight="false" outlineLevel="0" collapsed="false">
      <c r="A36" s="166" t="s">
        <v>76</v>
      </c>
      <c r="B36" s="163"/>
      <c r="C36" s="163"/>
      <c r="D36" s="163"/>
      <c r="E36" s="163"/>
      <c r="F36" s="163"/>
      <c r="G36" s="163"/>
      <c r="H36" s="163"/>
      <c r="I36" s="163"/>
    </row>
    <row r="37" customFormat="false" ht="12.75" hidden="false" customHeight="false" outlineLevel="0" collapsed="false">
      <c r="A37" s="167" t="s">
        <v>13</v>
      </c>
      <c r="B37" s="168" t="n">
        <v>8160</v>
      </c>
      <c r="C37" s="168" t="n">
        <v>1993</v>
      </c>
      <c r="D37" s="168" t="n">
        <v>12264</v>
      </c>
      <c r="E37" s="168" t="n">
        <v>3200</v>
      </c>
      <c r="F37" s="168" t="n">
        <v>10083</v>
      </c>
      <c r="G37" s="168" t="n">
        <v>2671</v>
      </c>
      <c r="H37" s="168" t="n">
        <v>13198</v>
      </c>
      <c r="I37" s="168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67" t="s">
        <v>14</v>
      </c>
      <c r="B38" s="168" t="n">
        <v>657</v>
      </c>
      <c r="C38" s="168" t="n">
        <v>1073</v>
      </c>
      <c r="D38" s="168" t="n">
        <v>1630</v>
      </c>
      <c r="E38" s="168" t="n">
        <v>1806</v>
      </c>
      <c r="F38" s="168" t="n">
        <v>1725</v>
      </c>
      <c r="G38" s="168" t="n">
        <v>2056</v>
      </c>
      <c r="H38" s="168" t="n">
        <v>1546</v>
      </c>
      <c r="I38" s="168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66" t="s">
        <v>26</v>
      </c>
      <c r="B39" s="168"/>
      <c r="C39" s="168" t="n">
        <v>29</v>
      </c>
      <c r="D39" s="168"/>
      <c r="E39" s="168" t="n">
        <v>33</v>
      </c>
      <c r="F39" s="168"/>
      <c r="G39" s="168" t="n">
        <v>31</v>
      </c>
      <c r="H39" s="168"/>
      <c r="I39" s="168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67" t="s">
        <v>25</v>
      </c>
      <c r="B40" s="169" t="n">
        <v>4</v>
      </c>
      <c r="C40" s="169"/>
      <c r="D40" s="169" t="n">
        <v>9</v>
      </c>
      <c r="E40" s="169"/>
      <c r="F40" s="169" t="n">
        <v>4</v>
      </c>
      <c r="G40" s="169"/>
      <c r="H40" s="169" t="n">
        <v>2</v>
      </c>
      <c r="I40" s="169"/>
      <c r="J40" s="0" t="n">
        <f aca="false">SUM(B40:I40)</f>
        <v>19</v>
      </c>
    </row>
    <row r="41" customFormat="false" ht="12.75" hidden="false" customHeight="false" outlineLevel="0" collapsed="false">
      <c r="A41" s="167" t="s">
        <v>23</v>
      </c>
      <c r="B41" s="169"/>
      <c r="C41" s="169"/>
      <c r="D41" s="169"/>
      <c r="E41" s="169"/>
      <c r="F41" s="169"/>
      <c r="G41" s="169"/>
      <c r="H41" s="169"/>
      <c r="I41" s="169"/>
      <c r="J41" s="0" t="n">
        <f aca="false">SUM(B41:I41)</f>
        <v>0</v>
      </c>
    </row>
    <row r="42" customFormat="false" ht="12.75" hidden="false" customHeight="false" outlineLevel="0" collapsed="false">
      <c r="A42" s="167" t="s">
        <v>114</v>
      </c>
      <c r="B42" s="169" t="n">
        <f aca="false">+B13+B29</f>
        <v>4</v>
      </c>
      <c r="C42" s="169" t="n">
        <v>0</v>
      </c>
      <c r="D42" s="169" t="n">
        <v>4</v>
      </c>
      <c r="E42" s="169" t="n">
        <v>0</v>
      </c>
      <c r="F42" s="169" t="n">
        <v>1</v>
      </c>
      <c r="G42" s="169" t="n">
        <v>0</v>
      </c>
      <c r="H42" s="169" t="n">
        <f aca="false">+H13+H29</f>
        <v>0</v>
      </c>
      <c r="I42" s="169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67" t="s">
        <v>27</v>
      </c>
      <c r="B43" s="169" t="n">
        <f aca="false">+B14+B30</f>
        <v>0</v>
      </c>
      <c r="C43" s="169" t="n">
        <f aca="false">+C14+C30</f>
        <v>0</v>
      </c>
      <c r="D43" s="169" t="n">
        <f aca="false">+D14+D30</f>
        <v>0</v>
      </c>
      <c r="E43" s="169" t="n">
        <f aca="false">+E14+E30</f>
        <v>0</v>
      </c>
      <c r="F43" s="169" t="n">
        <f aca="false">+F14+F30</f>
        <v>0</v>
      </c>
      <c r="G43" s="169" t="n">
        <f aca="false">+G14+G30</f>
        <v>0</v>
      </c>
      <c r="H43" s="169" t="n">
        <f aca="false">+H14+H30</f>
        <v>0</v>
      </c>
      <c r="I43" s="169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66" t="s">
        <v>16</v>
      </c>
      <c r="B44" s="168"/>
      <c r="C44" s="168"/>
      <c r="D44" s="168"/>
      <c r="E44" s="168"/>
      <c r="F44" s="168"/>
      <c r="G44" s="168"/>
      <c r="H44" s="168"/>
      <c r="I44" s="168"/>
      <c r="J44" s="0" t="n">
        <f aca="false">SUM(B44:I44)</f>
        <v>0</v>
      </c>
    </row>
    <row r="45" customFormat="false" ht="12.75" hidden="false" customHeight="false" outlineLevel="0" collapsed="false">
      <c r="A45" s="167" t="s">
        <v>18</v>
      </c>
      <c r="B45" s="168" t="n">
        <v>0</v>
      </c>
      <c r="C45" s="168" t="n">
        <v>91</v>
      </c>
      <c r="D45" s="168"/>
      <c r="E45" s="168" t="n">
        <v>130</v>
      </c>
      <c r="F45" s="168"/>
      <c r="G45" s="168" t="n">
        <v>103</v>
      </c>
      <c r="H45" s="168"/>
      <c r="I45" s="168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67" t="s">
        <v>22</v>
      </c>
      <c r="B46" s="168" t="n">
        <v>9</v>
      </c>
      <c r="C46" s="168" t="n">
        <v>4</v>
      </c>
      <c r="D46" s="168" t="n">
        <v>8</v>
      </c>
      <c r="E46" s="168" t="n">
        <v>19</v>
      </c>
      <c r="F46" s="168" t="n">
        <v>26</v>
      </c>
      <c r="G46" s="168" t="n">
        <v>11</v>
      </c>
      <c r="H46" s="168" t="n">
        <v>13</v>
      </c>
      <c r="I46" s="168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67" t="s">
        <v>17</v>
      </c>
      <c r="B47" s="168" t="n">
        <v>840</v>
      </c>
      <c r="C47" s="168" t="n">
        <v>995</v>
      </c>
      <c r="D47" s="168" t="n">
        <v>1580</v>
      </c>
      <c r="E47" s="168" t="n">
        <v>1678</v>
      </c>
      <c r="F47" s="168" t="n">
        <v>1052</v>
      </c>
      <c r="G47" s="168" t="n">
        <v>1147</v>
      </c>
      <c r="H47" s="168" t="n">
        <v>1552</v>
      </c>
      <c r="I47" s="168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67" t="s">
        <v>20</v>
      </c>
      <c r="B48" s="168" t="n">
        <v>2</v>
      </c>
      <c r="C48" s="168" t="n">
        <v>0</v>
      </c>
      <c r="D48" s="168" t="n">
        <v>2</v>
      </c>
      <c r="E48" s="168" t="n">
        <v>0</v>
      </c>
      <c r="F48" s="168" t="n">
        <v>10</v>
      </c>
      <c r="G48" s="168" t="n">
        <v>4</v>
      </c>
      <c r="H48" s="168" t="n">
        <v>4</v>
      </c>
      <c r="I48" s="168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67" t="s">
        <v>19</v>
      </c>
      <c r="B49" s="168" t="n">
        <v>29</v>
      </c>
      <c r="C49" s="168" t="n">
        <v>23</v>
      </c>
      <c r="D49" s="168" t="n">
        <v>36</v>
      </c>
      <c r="E49" s="168" t="n">
        <v>47</v>
      </c>
      <c r="F49" s="168" t="n">
        <v>32</v>
      </c>
      <c r="G49" s="168" t="n">
        <v>52</v>
      </c>
      <c r="H49" s="168" t="n">
        <v>17</v>
      </c>
      <c r="I49" s="168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70" t="s">
        <v>139</v>
      </c>
      <c r="B50" s="170"/>
      <c r="C50" s="170"/>
      <c r="D50" s="170"/>
      <c r="E50" s="170"/>
      <c r="F50" s="170"/>
      <c r="G50" s="170"/>
      <c r="H50" s="170"/>
      <c r="I50" s="170"/>
    </row>
    <row r="51" customFormat="false" ht="12.75" hidden="false" customHeight="false" outlineLevel="0" collapsed="false">
      <c r="A51" s="171" t="s">
        <v>76</v>
      </c>
      <c r="B51" s="172"/>
      <c r="C51" s="172"/>
      <c r="D51" s="172"/>
      <c r="E51" s="172"/>
      <c r="F51" s="172"/>
      <c r="G51" s="172"/>
      <c r="H51" s="172"/>
      <c r="I51" s="172"/>
    </row>
    <row r="52" customFormat="false" ht="12.75" hidden="false" customHeight="false" outlineLevel="0" collapsed="false">
      <c r="A52" s="173" t="s">
        <v>13</v>
      </c>
      <c r="B52" s="174" t="n">
        <f aca="false">+B6+B7+B22+B23</f>
        <v>5981</v>
      </c>
      <c r="C52" s="174" t="n">
        <f aca="false">+C6+C7+C22+C23</f>
        <v>1559</v>
      </c>
      <c r="D52" s="174" t="n">
        <f aca="false">+D6+D7+D22+D23</f>
        <v>982</v>
      </c>
      <c r="E52" s="174" t="n">
        <f aca="false">+E6+E7+E22+E23</f>
        <v>498</v>
      </c>
      <c r="F52" s="174" t="n">
        <f aca="false">+F6+F7+F22+F23</f>
        <v>937</v>
      </c>
      <c r="G52" s="174" t="n">
        <f aca="false">+G6+G7+G22+G23</f>
        <v>331</v>
      </c>
      <c r="H52" s="174" t="n">
        <f aca="false">+H6+H7+H22+H23</f>
        <v>1240</v>
      </c>
      <c r="I52" s="174" t="n">
        <f aca="false">+I6+I7+I22+I23</f>
        <v>479</v>
      </c>
    </row>
    <row r="53" customFormat="false" ht="12.75" hidden="false" customHeight="false" outlineLevel="0" collapsed="false">
      <c r="A53" s="173" t="s">
        <v>14</v>
      </c>
      <c r="B53" s="174" t="n">
        <f aca="false">+B8+B9+B24+B25</f>
        <v>657</v>
      </c>
      <c r="C53" s="174" t="n">
        <f aca="false">+C8+C9+C24+C25</f>
        <v>1310</v>
      </c>
      <c r="D53" s="174" t="n">
        <f aca="false">+D8+D9+D24+D25</f>
        <v>1636</v>
      </c>
      <c r="E53" s="174" t="n">
        <f aca="false">+E8+E9+E24+E25</f>
        <v>2719</v>
      </c>
      <c r="F53" s="174" t="n">
        <f aca="false">+F8+F9+F24+F25</f>
        <v>1759</v>
      </c>
      <c r="G53" s="174" t="n">
        <f aca="false">+G8+G9+G24+G25</f>
        <v>2204</v>
      </c>
      <c r="H53" s="174" t="n">
        <f aca="false">+H8+H9+H24+H25</f>
        <v>1597</v>
      </c>
      <c r="I53" s="174" t="n">
        <f aca="false">+I8+I9+I24+I25</f>
        <v>2459</v>
      </c>
    </row>
    <row r="54" customFormat="false" ht="12.75" hidden="false" customHeight="false" outlineLevel="0" collapsed="false">
      <c r="A54" s="171" t="s">
        <v>26</v>
      </c>
      <c r="B54" s="174"/>
      <c r="C54" s="174"/>
      <c r="D54" s="174"/>
      <c r="E54" s="174"/>
      <c r="F54" s="174"/>
      <c r="G54" s="174"/>
      <c r="H54" s="174"/>
      <c r="I54" s="174"/>
    </row>
    <row r="55" customFormat="false" ht="12.75" hidden="false" customHeight="false" outlineLevel="0" collapsed="false">
      <c r="A55" s="173" t="s">
        <v>25</v>
      </c>
      <c r="B55" s="175" t="n">
        <f aca="false">+B11+B27</f>
        <v>1</v>
      </c>
      <c r="C55" s="175" t="n">
        <f aca="false">+C11+C27</f>
        <v>85</v>
      </c>
      <c r="D55" s="175" t="n">
        <f aca="false">+D11+D27</f>
        <v>12</v>
      </c>
      <c r="E55" s="175" t="n">
        <f aca="false">+E11+E27</f>
        <v>114</v>
      </c>
      <c r="F55" s="175" t="n">
        <f aca="false">+F11+F27</f>
        <v>10</v>
      </c>
      <c r="G55" s="175" t="n">
        <f aca="false">+G11+G27</f>
        <v>93</v>
      </c>
      <c r="H55" s="175" t="n">
        <f aca="false">+H11+H27</f>
        <v>2</v>
      </c>
      <c r="I55" s="175" t="n">
        <f aca="false">+I11+I27</f>
        <v>122</v>
      </c>
      <c r="J55" s="176" t="n">
        <f aca="false">SUM(B55:I55)</f>
        <v>439</v>
      </c>
    </row>
    <row r="56" customFormat="false" ht="12.75" hidden="false" customHeight="false" outlineLevel="0" collapsed="false">
      <c r="A56" s="173" t="s">
        <v>23</v>
      </c>
      <c r="B56" s="175" t="n">
        <f aca="false">+B12+B28</f>
        <v>0</v>
      </c>
      <c r="C56" s="175" t="n">
        <f aca="false">+C12+C28</f>
        <v>5</v>
      </c>
      <c r="D56" s="175" t="n">
        <f aca="false">+D12+D28</f>
        <v>2</v>
      </c>
      <c r="E56" s="175" t="n">
        <f aca="false">+E12+E28</f>
        <v>15</v>
      </c>
      <c r="F56" s="175" t="n">
        <f aca="false">+F12+F28</f>
        <v>1</v>
      </c>
      <c r="G56" s="175" t="n">
        <f aca="false">+G12+G28</f>
        <v>8</v>
      </c>
      <c r="H56" s="175" t="n">
        <f aca="false">+H12+H28</f>
        <v>0</v>
      </c>
      <c r="I56" s="175" t="n">
        <f aca="false">+I12+I28</f>
        <v>24</v>
      </c>
      <c r="J56" s="176" t="n">
        <f aca="false">SUM(B56:I56)</f>
        <v>55</v>
      </c>
    </row>
    <row r="57" customFormat="false" ht="12.75" hidden="false" customHeight="false" outlineLevel="0" collapsed="false">
      <c r="A57" s="173" t="s">
        <v>114</v>
      </c>
      <c r="B57" s="175" t="n">
        <f aca="false">+B13+B29</f>
        <v>4</v>
      </c>
      <c r="C57" s="175" t="n">
        <f aca="false">+C13+C29</f>
        <v>2</v>
      </c>
      <c r="D57" s="175" t="n">
        <f aca="false">+D13+D29</f>
        <v>3</v>
      </c>
      <c r="E57" s="175" t="n">
        <f aca="false">+E13+E29</f>
        <v>14</v>
      </c>
      <c r="F57" s="175" t="n">
        <f aca="false">+F13+F29</f>
        <v>0</v>
      </c>
      <c r="G57" s="175" t="n">
        <f aca="false">+G13+G29</f>
        <v>24</v>
      </c>
      <c r="H57" s="175" t="n">
        <f aca="false">+H13+H29</f>
        <v>0</v>
      </c>
      <c r="I57" s="175" t="n">
        <f aca="false">+I13+I29</f>
        <v>19</v>
      </c>
      <c r="J57" s="176" t="n">
        <f aca="false">SUM(B57:I57)</f>
        <v>66</v>
      </c>
    </row>
    <row r="58" customFormat="false" ht="12.75" hidden="false" customHeight="false" outlineLevel="0" collapsed="false">
      <c r="A58" s="173" t="s">
        <v>27</v>
      </c>
      <c r="B58" s="175" t="n">
        <f aca="false">+B14+B30</f>
        <v>0</v>
      </c>
      <c r="C58" s="175" t="n">
        <f aca="false">+C14+C30</f>
        <v>0</v>
      </c>
      <c r="D58" s="175" t="n">
        <f aca="false">+D14+D30</f>
        <v>0</v>
      </c>
      <c r="E58" s="175" t="n">
        <f aca="false">+E14+E30</f>
        <v>0</v>
      </c>
      <c r="F58" s="175" t="n">
        <f aca="false">+F14+F30</f>
        <v>0</v>
      </c>
      <c r="G58" s="175" t="n">
        <f aca="false">+G14+G30</f>
        <v>0</v>
      </c>
      <c r="H58" s="175" t="n">
        <f aca="false">+H14+H30</f>
        <v>0</v>
      </c>
      <c r="I58" s="175" t="n">
        <f aca="false">+I14+I30</f>
        <v>0</v>
      </c>
    </row>
    <row r="59" customFormat="false" ht="12.75" hidden="false" customHeight="false" outlineLevel="0" collapsed="false">
      <c r="A59" s="171" t="s">
        <v>16</v>
      </c>
      <c r="B59" s="174"/>
      <c r="C59" s="174"/>
      <c r="D59" s="174"/>
      <c r="E59" s="174"/>
      <c r="F59" s="174"/>
      <c r="G59" s="174"/>
      <c r="H59" s="174"/>
      <c r="I59" s="174"/>
    </row>
    <row r="60" customFormat="false" ht="12.75" hidden="false" customHeight="false" outlineLevel="0" collapsed="false">
      <c r="A60" s="173" t="s">
        <v>18</v>
      </c>
      <c r="B60" s="174" t="n">
        <f aca="false">+B16</f>
        <v>0</v>
      </c>
      <c r="C60" s="174" t="n">
        <f aca="false">+C16</f>
        <v>0</v>
      </c>
      <c r="D60" s="174" t="n">
        <f aca="false">+D16</f>
        <v>0</v>
      </c>
      <c r="E60" s="174" t="n">
        <f aca="false">+E16</f>
        <v>0</v>
      </c>
      <c r="F60" s="174" t="n">
        <f aca="false">+F16</f>
        <v>0</v>
      </c>
      <c r="G60" s="174" t="n">
        <f aca="false">+G16</f>
        <v>0</v>
      </c>
      <c r="H60" s="174" t="n">
        <f aca="false">+H16</f>
        <v>0</v>
      </c>
      <c r="I60" s="174" t="n">
        <f aca="false">+I16</f>
        <v>0</v>
      </c>
    </row>
    <row r="61" customFormat="false" ht="12.75" hidden="false" customHeight="false" outlineLevel="0" collapsed="false">
      <c r="A61" s="173" t="s">
        <v>22</v>
      </c>
      <c r="B61" s="174"/>
      <c r="C61" s="174"/>
      <c r="D61" s="174"/>
      <c r="E61" s="174"/>
      <c r="F61" s="174"/>
      <c r="G61" s="174"/>
      <c r="H61" s="174"/>
      <c r="I61" s="174"/>
    </row>
    <row r="62" customFormat="false" ht="12.75" hidden="false" customHeight="false" outlineLevel="0" collapsed="false">
      <c r="A62" s="173" t="s">
        <v>17</v>
      </c>
      <c r="B62" s="174" t="n">
        <f aca="false">+B18+B32</f>
        <v>840</v>
      </c>
      <c r="C62" s="174" t="n">
        <f aca="false">+C18+C32</f>
        <v>191</v>
      </c>
      <c r="D62" s="174" t="n">
        <f aca="false">+D18+D32</f>
        <v>1580</v>
      </c>
      <c r="E62" s="174" t="n">
        <f aca="false">+E18+E32</f>
        <v>456</v>
      </c>
      <c r="F62" s="174" t="n">
        <f aca="false">+F18+F32</f>
        <v>1051</v>
      </c>
      <c r="G62" s="174" t="n">
        <f aca="false">+G18+G32</f>
        <v>249</v>
      </c>
      <c r="H62" s="174" t="n">
        <f aca="false">+H18+H32</f>
        <v>1544</v>
      </c>
      <c r="I62" s="174" t="n">
        <f aca="false">+I18+I32</f>
        <v>299</v>
      </c>
    </row>
    <row r="63" customFormat="false" ht="12.75" hidden="false" customHeight="false" outlineLevel="0" collapsed="false">
      <c r="A63" s="173" t="s">
        <v>20</v>
      </c>
      <c r="B63" s="177"/>
      <c r="C63" s="177"/>
      <c r="D63" s="177"/>
      <c r="E63" s="177"/>
      <c r="F63" s="177"/>
      <c r="G63" s="177"/>
      <c r="H63" s="177"/>
      <c r="I63" s="177"/>
    </row>
    <row r="64" customFormat="false" ht="12.75" hidden="false" customHeight="false" outlineLevel="0" collapsed="false">
      <c r="A64" s="178" t="s">
        <v>19</v>
      </c>
      <c r="B64" s="174"/>
      <c r="C64" s="174"/>
      <c r="D64" s="174"/>
      <c r="E64" s="174"/>
      <c r="F64" s="174"/>
      <c r="G64" s="174"/>
      <c r="H64" s="174"/>
      <c r="I64" s="174"/>
    </row>
    <row r="66" customFormat="false" ht="12.75" hidden="false" customHeight="false" outlineLevel="0" collapsed="false">
      <c r="A66" s="164" t="s">
        <v>140</v>
      </c>
      <c r="B66" s="164" t="s">
        <v>107</v>
      </c>
      <c r="C66" s="164" t="s">
        <v>108</v>
      </c>
      <c r="D66" s="164" t="s">
        <v>107</v>
      </c>
      <c r="E66" s="164" t="s">
        <v>108</v>
      </c>
      <c r="F66" s="164" t="s">
        <v>107</v>
      </c>
      <c r="G66" s="164" t="s">
        <v>108</v>
      </c>
      <c r="H66" s="164" t="s">
        <v>107</v>
      </c>
      <c r="I66" s="164" t="s">
        <v>108</v>
      </c>
    </row>
    <row r="67" customFormat="false" ht="12.75" hidden="false" customHeight="false" outlineLevel="0" collapsed="false">
      <c r="A67" s="166" t="s">
        <v>76</v>
      </c>
      <c r="B67" s="163"/>
      <c r="C67" s="163"/>
      <c r="D67" s="163"/>
      <c r="E67" s="163"/>
      <c r="F67" s="163"/>
      <c r="G67" s="163"/>
      <c r="H67" s="163"/>
      <c r="I67" s="163"/>
    </row>
    <row r="68" customFormat="false" ht="12.75" hidden="false" customHeight="false" outlineLevel="0" collapsed="false">
      <c r="A68" s="167" t="s">
        <v>13</v>
      </c>
      <c r="B68" s="168" t="n">
        <f aca="false">B37-B52</f>
        <v>2179</v>
      </c>
      <c r="C68" s="168" t="n">
        <f aca="false">C37-C52</f>
        <v>434</v>
      </c>
      <c r="D68" s="168" t="n">
        <f aca="false">D37-D52</f>
        <v>11282</v>
      </c>
      <c r="E68" s="168" t="n">
        <f aca="false">E37-E52</f>
        <v>2702</v>
      </c>
      <c r="F68" s="168" t="n">
        <f aca="false">F37-F52</f>
        <v>9146</v>
      </c>
      <c r="G68" s="168" t="n">
        <f aca="false">G37-G52</f>
        <v>2340</v>
      </c>
      <c r="H68" s="168" t="n">
        <f aca="false">H37-H52</f>
        <v>11958</v>
      </c>
      <c r="I68" s="168" t="n">
        <f aca="false">I37-I52</f>
        <v>2946</v>
      </c>
    </row>
    <row r="69" customFormat="false" ht="12.75" hidden="false" customHeight="false" outlineLevel="0" collapsed="false">
      <c r="A69" s="167" t="s">
        <v>14</v>
      </c>
      <c r="B69" s="168" t="n">
        <f aca="false">B38-B53</f>
        <v>0</v>
      </c>
      <c r="C69" s="168" t="n">
        <f aca="false">C38-C53</f>
        <v>-237</v>
      </c>
      <c r="D69" s="168" t="n">
        <f aca="false">D38-D53</f>
        <v>-6</v>
      </c>
      <c r="E69" s="168" t="n">
        <f aca="false">E38-E53</f>
        <v>-913</v>
      </c>
      <c r="F69" s="168" t="n">
        <f aca="false">F38-F53</f>
        <v>-34</v>
      </c>
      <c r="G69" s="168" t="n">
        <f aca="false">G38-G53</f>
        <v>-148</v>
      </c>
      <c r="H69" s="168" t="n">
        <f aca="false">H38-H53</f>
        <v>-51</v>
      </c>
      <c r="I69" s="168" t="n">
        <f aca="false">I38-I53</f>
        <v>-310</v>
      </c>
    </row>
    <row r="70" customFormat="false" ht="12.75" hidden="false" customHeight="false" outlineLevel="0" collapsed="false">
      <c r="A70" s="166" t="s">
        <v>26</v>
      </c>
      <c r="B70" s="168" t="n">
        <f aca="false">B39-B54</f>
        <v>0</v>
      </c>
      <c r="C70" s="168" t="n">
        <f aca="false">C39-C54</f>
        <v>29</v>
      </c>
      <c r="D70" s="168" t="n">
        <f aca="false">D39-D54</f>
        <v>0</v>
      </c>
      <c r="E70" s="168" t="n">
        <f aca="false">E39-E54</f>
        <v>33</v>
      </c>
      <c r="F70" s="168" t="n">
        <f aca="false">F39-F54</f>
        <v>0</v>
      </c>
      <c r="G70" s="168" t="n">
        <f aca="false">G39-G54</f>
        <v>31</v>
      </c>
      <c r="H70" s="168" t="n">
        <f aca="false">H39-H54</f>
        <v>0</v>
      </c>
      <c r="I70" s="168" t="n">
        <f aca="false">I39-I54</f>
        <v>53</v>
      </c>
    </row>
    <row r="71" customFormat="false" ht="12.75" hidden="false" customHeight="false" outlineLevel="0" collapsed="false">
      <c r="A71" s="167" t="s">
        <v>25</v>
      </c>
      <c r="B71" s="168" t="n">
        <f aca="false">B40-B55</f>
        <v>3</v>
      </c>
      <c r="C71" s="168" t="n">
        <f aca="false">C40-C55</f>
        <v>-85</v>
      </c>
      <c r="D71" s="168" t="n">
        <f aca="false">D40-D55</f>
        <v>-3</v>
      </c>
      <c r="E71" s="168" t="n">
        <f aca="false">E40-E55</f>
        <v>-114</v>
      </c>
      <c r="F71" s="168" t="n">
        <f aca="false">F40-F55</f>
        <v>-6</v>
      </c>
      <c r="G71" s="168" t="n">
        <f aca="false">G40-G55</f>
        <v>-93</v>
      </c>
      <c r="H71" s="168" t="n">
        <f aca="false">H40-H55</f>
        <v>0</v>
      </c>
      <c r="I71" s="168" t="n">
        <f aca="false">I40-I55</f>
        <v>-122</v>
      </c>
    </row>
    <row r="72" customFormat="false" ht="12.75" hidden="false" customHeight="false" outlineLevel="0" collapsed="false">
      <c r="A72" s="167" t="s">
        <v>23</v>
      </c>
      <c r="B72" s="168" t="n">
        <f aca="false">B41-B56</f>
        <v>0</v>
      </c>
      <c r="C72" s="168" t="n">
        <f aca="false">C41-C56</f>
        <v>-5</v>
      </c>
      <c r="D72" s="168" t="n">
        <f aca="false">D41-D56</f>
        <v>-2</v>
      </c>
      <c r="E72" s="168" t="n">
        <f aca="false">E41-E56</f>
        <v>-15</v>
      </c>
      <c r="F72" s="168" t="n">
        <f aca="false">F41-F56</f>
        <v>-1</v>
      </c>
      <c r="G72" s="168" t="n">
        <f aca="false">G41-G56</f>
        <v>-8</v>
      </c>
      <c r="H72" s="168" t="n">
        <f aca="false">H41-H56</f>
        <v>0</v>
      </c>
      <c r="I72" s="168" t="n">
        <f aca="false">I41-I56</f>
        <v>-24</v>
      </c>
    </row>
    <row r="73" customFormat="false" ht="12.75" hidden="false" customHeight="false" outlineLevel="0" collapsed="false">
      <c r="A73" s="167" t="s">
        <v>114</v>
      </c>
      <c r="B73" s="168" t="n">
        <f aca="false">B42-B57</f>
        <v>0</v>
      </c>
      <c r="C73" s="168" t="n">
        <f aca="false">C42-C57</f>
        <v>-2</v>
      </c>
      <c r="D73" s="168" t="n">
        <f aca="false">D42-D57</f>
        <v>1</v>
      </c>
      <c r="E73" s="168" t="n">
        <f aca="false">E42-E57</f>
        <v>-14</v>
      </c>
      <c r="F73" s="168" t="n">
        <f aca="false">F42-F57</f>
        <v>1</v>
      </c>
      <c r="G73" s="168" t="n">
        <f aca="false">G42-G57</f>
        <v>-24</v>
      </c>
      <c r="H73" s="168" t="n">
        <f aca="false">H42-H57</f>
        <v>0</v>
      </c>
      <c r="I73" s="168" t="n">
        <f aca="false">I42-I57</f>
        <v>-19</v>
      </c>
    </row>
    <row r="74" customFormat="false" ht="12.75" hidden="false" customHeight="false" outlineLevel="0" collapsed="false">
      <c r="A74" s="167" t="s">
        <v>27</v>
      </c>
      <c r="B74" s="168" t="n">
        <f aca="false">B43-B58</f>
        <v>0</v>
      </c>
      <c r="C74" s="168" t="n">
        <f aca="false">C43-C58</f>
        <v>0</v>
      </c>
      <c r="D74" s="168" t="n">
        <f aca="false">D43-D58</f>
        <v>0</v>
      </c>
      <c r="E74" s="168" t="n">
        <f aca="false">E43-E58</f>
        <v>0</v>
      </c>
      <c r="F74" s="168" t="n">
        <f aca="false">F43-F58</f>
        <v>0</v>
      </c>
      <c r="G74" s="168" t="n">
        <f aca="false">G43-G58</f>
        <v>0</v>
      </c>
      <c r="H74" s="168" t="n">
        <f aca="false">H43-H58</f>
        <v>0</v>
      </c>
      <c r="I74" s="168" t="n">
        <f aca="false">I43-I58</f>
        <v>0</v>
      </c>
    </row>
    <row r="75" customFormat="false" ht="12.75" hidden="false" customHeight="false" outlineLevel="0" collapsed="false">
      <c r="A75" s="166" t="s">
        <v>16</v>
      </c>
      <c r="B75" s="168" t="n">
        <f aca="false">B44-B59</f>
        <v>0</v>
      </c>
      <c r="C75" s="168" t="n">
        <f aca="false">C44-C59</f>
        <v>0</v>
      </c>
      <c r="D75" s="168" t="n">
        <f aca="false">D44-D59</f>
        <v>0</v>
      </c>
      <c r="E75" s="168" t="n">
        <f aca="false">E44-E59</f>
        <v>0</v>
      </c>
      <c r="F75" s="168" t="n">
        <f aca="false">F44-F59</f>
        <v>0</v>
      </c>
      <c r="G75" s="168" t="n">
        <f aca="false">G44-G59</f>
        <v>0</v>
      </c>
      <c r="H75" s="168" t="n">
        <f aca="false">H44-H59</f>
        <v>0</v>
      </c>
      <c r="I75" s="168" t="n">
        <f aca="false">I44-I59</f>
        <v>0</v>
      </c>
    </row>
    <row r="76" customFormat="false" ht="12.75" hidden="false" customHeight="false" outlineLevel="0" collapsed="false">
      <c r="A76" s="167" t="s">
        <v>18</v>
      </c>
      <c r="B76" s="168" t="n">
        <f aca="false">B45-B60</f>
        <v>0</v>
      </c>
      <c r="C76" s="168" t="n">
        <f aca="false">C45-C60</f>
        <v>91</v>
      </c>
      <c r="D76" s="168" t="n">
        <f aca="false">D45-D60</f>
        <v>0</v>
      </c>
      <c r="E76" s="168" t="n">
        <f aca="false">E45-E60</f>
        <v>130</v>
      </c>
      <c r="F76" s="168" t="n">
        <f aca="false">F45-F60</f>
        <v>0</v>
      </c>
      <c r="G76" s="168" t="n">
        <f aca="false">G45-G60</f>
        <v>103</v>
      </c>
      <c r="H76" s="168" t="n">
        <f aca="false">H45-H60</f>
        <v>0</v>
      </c>
      <c r="I76" s="168" t="n">
        <f aca="false">I45-I60</f>
        <v>169</v>
      </c>
    </row>
    <row r="77" customFormat="false" ht="12.75" hidden="false" customHeight="false" outlineLevel="0" collapsed="false">
      <c r="A77" s="167" t="s">
        <v>22</v>
      </c>
      <c r="B77" s="168" t="n">
        <f aca="false">B46-B61</f>
        <v>9</v>
      </c>
      <c r="C77" s="168" t="n">
        <f aca="false">C46-C61</f>
        <v>4</v>
      </c>
      <c r="D77" s="168" t="n">
        <f aca="false">D46-D61</f>
        <v>8</v>
      </c>
      <c r="E77" s="168" t="n">
        <f aca="false">E46-E61</f>
        <v>19</v>
      </c>
      <c r="F77" s="168" t="n">
        <f aca="false">F46-F61</f>
        <v>26</v>
      </c>
      <c r="G77" s="168" t="n">
        <f aca="false">G46-G61</f>
        <v>11</v>
      </c>
      <c r="H77" s="168" t="n">
        <f aca="false">H46-H61</f>
        <v>13</v>
      </c>
      <c r="I77" s="168" t="n">
        <f aca="false">I46-I61</f>
        <v>23</v>
      </c>
    </row>
    <row r="78" customFormat="false" ht="12.75" hidden="false" customHeight="false" outlineLevel="0" collapsed="false">
      <c r="A78" s="167" t="s">
        <v>17</v>
      </c>
      <c r="B78" s="168" t="n">
        <f aca="false">B47-B62</f>
        <v>0</v>
      </c>
      <c r="C78" s="168" t="n">
        <f aca="false">C47-C62</f>
        <v>804</v>
      </c>
      <c r="D78" s="168" t="n">
        <f aca="false">D47-D62</f>
        <v>0</v>
      </c>
      <c r="E78" s="168" t="n">
        <f aca="false">E47-E62</f>
        <v>1222</v>
      </c>
      <c r="F78" s="168" t="n">
        <f aca="false">F47-F62</f>
        <v>1</v>
      </c>
      <c r="G78" s="168" t="n">
        <f aca="false">G47-G62</f>
        <v>898</v>
      </c>
      <c r="H78" s="168" t="n">
        <f aca="false">H47-H62</f>
        <v>8</v>
      </c>
      <c r="I78" s="168" t="n">
        <f aca="false">I47-I62</f>
        <v>1212</v>
      </c>
    </row>
    <row r="79" customFormat="false" ht="12.75" hidden="false" customHeight="false" outlineLevel="0" collapsed="false">
      <c r="A79" s="167" t="s">
        <v>20</v>
      </c>
      <c r="B79" s="168" t="n">
        <f aca="false">B48-B63</f>
        <v>2</v>
      </c>
      <c r="C79" s="168" t="n">
        <f aca="false">C48-C63</f>
        <v>0</v>
      </c>
      <c r="D79" s="168" t="n">
        <f aca="false">D48-D63</f>
        <v>2</v>
      </c>
      <c r="E79" s="168" t="n">
        <f aca="false">E48-E63</f>
        <v>0</v>
      </c>
      <c r="F79" s="168" t="n">
        <f aca="false">F48-F63</f>
        <v>10</v>
      </c>
      <c r="G79" s="168" t="n">
        <f aca="false">G48-G63</f>
        <v>4</v>
      </c>
      <c r="H79" s="168" t="n">
        <f aca="false">H48-H63</f>
        <v>4</v>
      </c>
      <c r="I79" s="168" t="n">
        <f aca="false">I48-I63</f>
        <v>9</v>
      </c>
    </row>
    <row r="80" customFormat="false" ht="12.75" hidden="false" customHeight="false" outlineLevel="0" collapsed="false">
      <c r="A80" s="167" t="s">
        <v>19</v>
      </c>
      <c r="B80" s="168" t="n">
        <f aca="false">B49-B64</f>
        <v>29</v>
      </c>
      <c r="C80" s="168" t="n">
        <f aca="false">C49-C64</f>
        <v>23</v>
      </c>
      <c r="D80" s="168" t="n">
        <f aca="false">D49-D64</f>
        <v>36</v>
      </c>
      <c r="E80" s="168" t="n">
        <f aca="false">E49-E64</f>
        <v>47</v>
      </c>
      <c r="F80" s="168" t="n">
        <f aca="false">F49-F64</f>
        <v>32</v>
      </c>
      <c r="G80" s="168" t="n">
        <f aca="false">G49-G64</f>
        <v>52</v>
      </c>
      <c r="H80" s="168" t="n">
        <f aca="false">H49-H64</f>
        <v>17</v>
      </c>
      <c r="I80" s="168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Brian Heinrich</cp:lastModifiedBy>
  <cp:lastPrinted>2001-03-02T12:19:03Z</cp:lastPrinted>
  <cp:revision>0</cp:revision>
  <dc:subject/>
  <dc:title/>
</cp:coreProperties>
</file>