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omments1.xml" ContentType="application/vnd.openxmlformats-officedocument.spreadsheetml.comment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UNLNK" sheetId="1" state="visible" r:id="rId3"/>
    <sheet name="LNK" sheetId="2" state="visible" r:id="rId4"/>
    <sheet name="REF" sheetId="3" state="visible" r:id="rId5"/>
  </sheets>
  <externalReferences>
    <externalReference r:id="rId6"/>
    <externalReference r:id="rId7"/>
  </externalReferences>
  <definedNames>
    <definedName function="false" hidden="false" localSheetId="1" name="_xlnm.Print_Area" vbProcedure="false">LNK!$A$1:$U$64</definedName>
    <definedName function="false" hidden="false" localSheetId="0" name="_xlnm.Print_Area" vbProcedure="false">UNLNK!$B$1:$T$70</definedName>
    <definedName function="false" hidden="false" name="BLPH1" vbProcedure="false">LNK!$W$27</definedName>
    <definedName function="false" hidden="false" name="BLPH2" vbProcedure="false">LNK!$W$25</definedName>
    <definedName function="false" hidden="false" name="BLPH3" vbProcedure="false">LNK!$O$24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b val="true"/>
            <sz val="8"/>
            <color rgb="FF000000"/>
            <rFont val="Tahoma"/>
            <family val="0"/>
          </rPr>
          <t xml:space="preserve">Ethan Schultz:
</t>
        </r>
        <r>
          <rPr>
            <sz val="8"/>
            <color rgb="FF000000"/>
            <rFont val="Tahoma"/>
            <family val="0"/>
          </rPr>
          <t xml:space="preserve">All Bloomberg BLP unless noted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</xdr:row>
                <xdr:rowOff>9</xdr:rowOff>
              </xdr:from>
              <xdr:to>
                <xdr:col>4</xdr:col>
                <xdr:colOff>38</xdr:colOff>
                <xdr:row>5</xdr:row>
                <xdr:rowOff>9</xdr:rowOff>
              </xdr:to>
            </anchor>
          </commentPr>
        </mc:Choice>
        <mc:Fallback/>
      </mc:AlternateContent>
    </comment>
    <comment ref="H3" authorId="0">
      <text>
        <r>
          <rPr>
            <b val="true"/>
            <sz val="8"/>
            <color rgb="FF000000"/>
            <rFont val="Tahoma"/>
            <family val="2"/>
          </rPr>
          <t xml:space="preserve">Ethan Schultz:
</t>
        </r>
        <r>
          <rPr>
            <sz val="8"/>
            <color rgb="FF000000"/>
            <rFont val="Tahoma"/>
            <family val="2"/>
          </rPr>
          <t xml:space="preserve">All Bloomberg BLP unless noted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1</xdr:row>
                <xdr:rowOff>9</xdr:rowOff>
              </xdr:from>
              <xdr:to>
                <xdr:col>10</xdr:col>
                <xdr:colOff>4</xdr:colOff>
                <xdr:row>5</xdr:row>
                <xdr:rowOff>9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b val="true"/>
            <sz val="8"/>
            <color rgb="FF000000"/>
            <rFont val="Tahoma"/>
            <family val="0"/>
          </rPr>
          <t xml:space="preserve">Ethan Schultz:
</t>
        </r>
        <r>
          <rPr>
            <sz val="8"/>
            <color rgb="FF000000"/>
            <rFont val="Tahoma"/>
            <family val="0"/>
          </rPr>
          <t xml:space="preserve">All Bloomberg BLP unless noted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265</xdr:colOff>
                <xdr:row>1</xdr:row>
                <xdr:rowOff>8</xdr:rowOff>
              </xdr:from>
              <xdr:to>
                <xdr:col>2</xdr:col>
                <xdr:colOff>125</xdr:colOff>
                <xdr:row>5</xdr:row>
                <xdr:rowOff>8</xdr:rowOff>
              </xdr:to>
            </anchor>
          </commentPr>
        </mc:Choice>
        <mc:Fallback/>
      </mc:AlternateContent>
    </comment>
    <comment ref="H3" authorId="0">
      <text>
        <r>
          <rPr>
            <b val="true"/>
            <sz val="8"/>
            <color rgb="FF000000"/>
            <rFont val="Tahoma"/>
            <family val="2"/>
          </rPr>
          <t xml:space="preserve">Ethan Schultz:
</t>
        </r>
        <r>
          <rPr>
            <sz val="8"/>
            <color rgb="FF000000"/>
            <rFont val="Tahoma"/>
            <family val="2"/>
          </rPr>
          <t xml:space="preserve">All Bloomberg BLP unless noted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59</xdr:colOff>
                <xdr:row>1</xdr:row>
                <xdr:rowOff>8</xdr:rowOff>
              </xdr:from>
              <xdr:to>
                <xdr:col>8</xdr:col>
                <xdr:colOff>123</xdr:colOff>
                <xdr:row>5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<sst xmlns="http://schemas.openxmlformats.org/spreadsheetml/2006/main" count="438" uniqueCount="192">
  <si>
    <t xml:space="preserve">EGM Market Update</t>
  </si>
  <si>
    <t xml:space="preserve">Equity/Commodity Markets</t>
  </si>
  <si>
    <t xml:space="preserve">% Change</t>
  </si>
  <si>
    <t xml:space="preserve">Credit/Equity Markets</t>
  </si>
  <si>
    <t xml:space="preserve">bp change</t>
  </si>
  <si>
    <t xml:space="preserve">Equity Market Indices</t>
  </si>
  <si>
    <t xml:space="preserve">US Treasuries</t>
  </si>
  <si>
    <t xml:space="preserve">Dow Jones Industrial Average</t>
  </si>
  <si>
    <t xml:space="preserve">INDU Index</t>
  </si>
  <si>
    <t xml:space="preserve">3 Month</t>
  </si>
  <si>
    <t xml:space="preserve">CB03 Govt CUSIP</t>
  </si>
  <si>
    <t xml:space="preserve">NASDAQ Composite</t>
  </si>
  <si>
    <t xml:space="preserve">CCMP Index</t>
  </si>
  <si>
    <t xml:space="preserve">6 Month</t>
  </si>
  <si>
    <t xml:space="preserve">CB06 Govt CUSIP</t>
  </si>
  <si>
    <t xml:space="preserve">NASDAQ 100</t>
  </si>
  <si>
    <t xml:space="preserve">NDQ Index</t>
  </si>
  <si>
    <t xml:space="preserve">1 Year</t>
  </si>
  <si>
    <t xml:space="preserve">CB12 Govt CUSIP</t>
  </si>
  <si>
    <t xml:space="preserve">S&amp;P 500</t>
  </si>
  <si>
    <t xml:space="preserve">SPX Index</t>
  </si>
  <si>
    <t xml:space="preserve">2 Year</t>
  </si>
  <si>
    <t xml:space="preserve">CT02 Govt CUSIP</t>
  </si>
  <si>
    <t xml:space="preserve">Russell 2000</t>
  </si>
  <si>
    <t xml:space="preserve">RTY Index</t>
  </si>
  <si>
    <t xml:space="preserve">5 Year</t>
  </si>
  <si>
    <t xml:space="preserve">CT05 Govt CUSIP</t>
  </si>
  <si>
    <t xml:space="preserve">Wilshire 5000</t>
  </si>
  <si>
    <t xml:space="preserve">TMW Index</t>
  </si>
  <si>
    <t xml:space="preserve">10 Year</t>
  </si>
  <si>
    <t xml:space="preserve">CT10 Govt CUSIP</t>
  </si>
  <si>
    <t xml:space="preserve">TSE 300</t>
  </si>
  <si>
    <t xml:space="preserve">TS300 Index</t>
  </si>
  <si>
    <t xml:space="preserve">30 Year</t>
  </si>
  <si>
    <t xml:space="preserve">CT30 Govt CUSIP</t>
  </si>
  <si>
    <t xml:space="preserve">FTSE</t>
  </si>
  <si>
    <t xml:space="preserve">UKX Index</t>
  </si>
  <si>
    <t xml:space="preserve">LIBOR</t>
  </si>
  <si>
    <t xml:space="preserve">Nikkei</t>
  </si>
  <si>
    <t xml:space="preserve">NKY Index</t>
  </si>
  <si>
    <t xml:space="preserve">US0003M Index</t>
  </si>
  <si>
    <t xml:space="preserve">DAX</t>
  </si>
  <si>
    <t xml:space="preserve">DAX Index</t>
  </si>
  <si>
    <t xml:space="preserve">US0006M Index</t>
  </si>
  <si>
    <t xml:space="preserve">CAC 40</t>
  </si>
  <si>
    <t xml:space="preserve">CAC Index</t>
  </si>
  <si>
    <t xml:space="preserve">US0012M Index</t>
  </si>
  <si>
    <t xml:space="preserve">Commodities</t>
  </si>
  <si>
    <t xml:space="preserve">USSW2 Index</t>
  </si>
  <si>
    <t xml:space="preserve">Electricity COB ($/MWh)</t>
  </si>
  <si>
    <t xml:space="preserve">OW1  Comdty</t>
  </si>
  <si>
    <t xml:space="preserve">USSW5 Index</t>
  </si>
  <si>
    <t xml:space="preserve">Nymex Crude Oil ($/Bbl)</t>
  </si>
  <si>
    <t xml:space="preserve">CL1 Comdty</t>
  </si>
  <si>
    <t xml:space="preserve">USSW10 Index</t>
  </si>
  <si>
    <t xml:space="preserve">IPE Brent Crude ( $/Bbl)</t>
  </si>
  <si>
    <t xml:space="preserve">CO1 Comdty</t>
  </si>
  <si>
    <t xml:space="preserve">USSW30 Index</t>
  </si>
  <si>
    <t xml:space="preserve">NYMEX UL (cents/Gal)</t>
  </si>
  <si>
    <t xml:space="preserve">HU1 Comdty</t>
  </si>
  <si>
    <t xml:space="preserve">NYMEX HO (cents/Gal)</t>
  </si>
  <si>
    <t xml:space="preserve">HO1 Comdty</t>
  </si>
  <si>
    <t xml:space="preserve">Japan Governments</t>
  </si>
  <si>
    <t xml:space="preserve">Nymex Gas Henry Hub ($/MMBtu)</t>
  </si>
  <si>
    <t xml:space="preserve">NG1 Comdty</t>
  </si>
  <si>
    <t xml:space="preserve">GJTB3MO INDEX</t>
  </si>
  <si>
    <t xml:space="preserve">N/A</t>
  </si>
  <si>
    <t xml:space="preserve">NA</t>
  </si>
  <si>
    <t xml:space="preserve">Coal Spot Price Big Sandy ($/st)</t>
  </si>
  <si>
    <t xml:space="preserve">COALBGSD Index</t>
  </si>
  <si>
    <t xml:space="preserve">GJTB6MO INDEX</t>
  </si>
  <si>
    <t xml:space="preserve">ENE Equity</t>
  </si>
  <si>
    <t xml:space="preserve">Coal Spot Price PRB, 8800 ($/st)</t>
  </si>
  <si>
    <t xml:space="preserve">COALPWDR Index</t>
  </si>
  <si>
    <t xml:space="preserve">GJGB1 INDEX</t>
  </si>
  <si>
    <t xml:space="preserve">Coal Spot Price PRB, 8400 ($/st)</t>
  </si>
  <si>
    <t xml:space="preserve">COALPR84 Index</t>
  </si>
  <si>
    <t xml:space="preserve">GJGB2 INDEX</t>
  </si>
  <si>
    <t xml:space="preserve">SO2 Emission Allowance ($/st)</t>
  </si>
  <si>
    <t xml:space="preserve">ELEASO21 Index</t>
  </si>
  <si>
    <t xml:space="preserve">GJGB5 INDEX</t>
  </si>
  <si>
    <t xml:space="preserve">NOX Emission Allowance ($/st)</t>
  </si>
  <si>
    <t xml:space="preserve">ELEANOX4 Index</t>
  </si>
  <si>
    <t xml:space="preserve">GJGB10 INDEX</t>
  </si>
  <si>
    <t xml:space="preserve">Baltic Handymax Index ($/day)</t>
  </si>
  <si>
    <t xml:space="preserve">BMIY Index</t>
  </si>
  <si>
    <t xml:space="preserve">GJGB30 INDEX</t>
  </si>
  <si>
    <t xml:space="preserve">Baltic Panamax Index ($/day)</t>
  </si>
  <si>
    <t xml:space="preserve">BPIY Index</t>
  </si>
  <si>
    <t xml:space="preserve">TIBOR</t>
  </si>
  <si>
    <t xml:space="preserve">Baltix Capesize Index ($/day)</t>
  </si>
  <si>
    <t xml:space="preserve">BCIY Index</t>
  </si>
  <si>
    <t xml:space="preserve">Ti0003M INDEX</t>
  </si>
  <si>
    <t xml:space="preserve">Gold Future ($/100 Troy Ounce)</t>
  </si>
  <si>
    <t xml:space="preserve">GC1 Comdty</t>
  </si>
  <si>
    <t xml:space="preserve">TI0006M INDEX</t>
  </si>
  <si>
    <t xml:space="preserve">Platinum Future ($/50 Troy Oz)</t>
  </si>
  <si>
    <t xml:space="preserve">PL1 Comdty</t>
  </si>
  <si>
    <t xml:space="preserve">TI0012M INDEX</t>
  </si>
  <si>
    <t xml:space="preserve">LME 3MO Aluminum Future ($/25 tonnes)</t>
  </si>
  <si>
    <t xml:space="preserve">LMAHDS03 Comdty</t>
  </si>
  <si>
    <t xml:space="preserve">LME 3MO Lead Future ($/25 tonnes)</t>
  </si>
  <si>
    <t xml:space="preserve">LMPBDS03 Comdty</t>
  </si>
  <si>
    <t xml:space="preserve">Prime Rate (Current)</t>
  </si>
  <si>
    <t xml:space="preserve">PRIME Index</t>
  </si>
  <si>
    <t xml:space="preserve">LME 3MO Nickel Future ($/6 tonnes)</t>
  </si>
  <si>
    <t xml:space="preserve">LMNIDS03 Comdty</t>
  </si>
  <si>
    <t xml:space="preserve">Lumber ($/110,000 board ft)</t>
  </si>
  <si>
    <t xml:space="preserve">LB1 Comdty</t>
  </si>
  <si>
    <t xml:space="preserve">Enron Related Securities</t>
  </si>
  <si>
    <t xml:space="preserve">Hot Rolled Steel ($/metric ton)</t>
  </si>
  <si>
    <t xml:space="preserve">MBSTUSHR Index</t>
  </si>
  <si>
    <t xml:space="preserve">Enron (ENE)</t>
  </si>
  <si>
    <t xml:space="preserve">ENE US Equity</t>
  </si>
  <si>
    <t xml:space="preserve">Cold Rolled Steel ($/metric ton)</t>
  </si>
  <si>
    <t xml:space="preserve">MBSTUSCR Index</t>
  </si>
  <si>
    <t xml:space="preserve">EOG Resources (EOG)</t>
  </si>
  <si>
    <t xml:space="preserve">EOG US Equity</t>
  </si>
  <si>
    <t xml:space="preserve">Currencies</t>
  </si>
  <si>
    <t xml:space="preserve">The New Power Company (NPW)</t>
  </si>
  <si>
    <t xml:space="preserve">NPW US Equity</t>
  </si>
  <si>
    <t xml:space="preserve">$/Euro</t>
  </si>
  <si>
    <t xml:space="preserve">EUR Curncy</t>
  </si>
  <si>
    <t xml:space="preserve">Northern Border Partners (NBP)</t>
  </si>
  <si>
    <t xml:space="preserve">NBP US Equity</t>
  </si>
  <si>
    <t xml:space="preserve">CAD/$</t>
  </si>
  <si>
    <t xml:space="preserve">CAD Curncy</t>
  </si>
  <si>
    <t xml:space="preserve">EOTT (EOT)</t>
  </si>
  <si>
    <t xml:space="preserve">EOT US equity</t>
  </si>
  <si>
    <t xml:space="preserve">Yen/$</t>
  </si>
  <si>
    <t xml:space="preserve">JPY Curncy</t>
  </si>
  <si>
    <t xml:space="preserve">$/Pound</t>
  </si>
  <si>
    <t xml:space="preserve">GBP Curncy</t>
  </si>
  <si>
    <t xml:space="preserve">DM/$</t>
  </si>
  <si>
    <t xml:space="preserve">DEM Curncy</t>
  </si>
  <si>
    <t xml:space="preserve">CHF/$</t>
  </si>
  <si>
    <t xml:space="preserve">CHF Curncy</t>
  </si>
  <si>
    <t xml:space="preserve">Merrill Lynch High Yield Index</t>
  </si>
  <si>
    <t xml:space="preserve">FRF/$</t>
  </si>
  <si>
    <t xml:space="preserve">FRF Curncy</t>
  </si>
  <si>
    <t xml:space="preserve">BB Spread</t>
  </si>
  <si>
    <t xml:space="preserve">$/AUD</t>
  </si>
  <si>
    <t xml:space="preserve">AUD Curncy</t>
  </si>
  <si>
    <t xml:space="preserve">B Spread</t>
  </si>
  <si>
    <t xml:space="preserve">This Week's News  </t>
  </si>
  <si>
    <t xml:space="preserve">US</t>
  </si>
  <si>
    <t xml:space="preserve">Europe</t>
  </si>
  <si>
    <t xml:space="preserve">Japan</t>
  </si>
  <si>
    <t xml:space="preserve">Industry Data</t>
  </si>
  <si>
    <t xml:space="preserve">Economic Data</t>
  </si>
  <si>
    <t xml:space="preserve">Nov 16: Crude Oil Rises from 2 1/2-Year Low on Hopes Producers Will Agree on Cuts</t>
  </si>
  <si>
    <t xml:space="preserve">Nov 16: France - Non-Farm Payrolls (QoQ) (3Q) [S: 0.1%, A: 0.3%, P: 0.3%</t>
  </si>
  <si>
    <t xml:space="preserve">Nov 15: Mfg. Electricity Usage (YoY) (OCT) [A: -4.7%, P: -6.0%]</t>
  </si>
  <si>
    <t xml:space="preserve">Nov 16: Azurix, Enron Shareholder Lawsuit Settlement is Approved by Judge</t>
  </si>
  <si>
    <t xml:space="preserve">Nov 16: Italy - CPI - EU Harmonized (YoY) (OCT) [S: 2.5%, A: 2.5%, P: 2.6%]</t>
  </si>
  <si>
    <t xml:space="preserve">Nov 14:Tokyo Dept. Store Sales (YoY) (OCT) [A: -1.5%, P: 2.4%]</t>
  </si>
  <si>
    <t xml:space="preserve">Nov 16: TXU Considering Options for East Anglian Electricity Distribution Netword</t>
  </si>
  <si>
    <t xml:space="preserve">Nov 16: Netherlands - Unemployment Rate (s.a.) (OCT) [S: 2.1%, A: 2.0%, P: 2.0%]</t>
  </si>
  <si>
    <t xml:space="preserve">Nov 13: Bankruptcies (YoY) (OCT) [A: 11.3%, P: 0.4%]</t>
  </si>
  <si>
    <t xml:space="preserve">Canada</t>
  </si>
  <si>
    <t xml:space="preserve">Australia</t>
  </si>
  <si>
    <t xml:space="preserve">Nov 15: Initial Jobless Claims (NOV 10) [S: 475k, A: 444k, P: 452k]</t>
  </si>
  <si>
    <t xml:space="preserve">Nov 15: Business Inventories (SEP) [S: -0.3%, A: -0.5%, P: -0.2k]</t>
  </si>
  <si>
    <t xml:space="preserve">Nov 15: New Motor Vehicle Sales (SEP) [S: -4.7%, A: -5.3%, P: 0.9%]</t>
  </si>
  <si>
    <t xml:space="preserve">Nov 14: Average Weekly Wages (QoQ) (AUG) [S: 0.7%, A: 1.4%, P: 2.2%]</t>
  </si>
  <si>
    <t xml:space="preserve">Nov 15: Philadelphia Fed. (NOV) [S: -25.0, A: -20.2, P: -27.4]</t>
  </si>
  <si>
    <t xml:space="preserve">Nov 13: Wage Cost Index (3Q) [S: 1.0%, A: 1.1%, P: 0.6%]</t>
  </si>
  <si>
    <t xml:space="preserve">Previous Week's News  </t>
  </si>
  <si>
    <t xml:space="preserve">Nov 9: Dynegy to Acquire Rival Enron for at Least $23 Billion in Stock and Debt</t>
  </si>
  <si>
    <t xml:space="preserve">Nov 9: Netherlands - CPI (YoY) (OCT) [S: 4.5%, A: 4.3%, P: 4.7%]</t>
  </si>
  <si>
    <t xml:space="preserve">Nov 7: Bank Lending (YoY) (OCT) [S: -4.2%, A: -4.1%, P: -4.2%]</t>
  </si>
  <si>
    <t xml:space="preserve">Nov 9: Saudi Arabia, Venezuela, Mexico Agree to Cut Oil Production to Stem Glut</t>
  </si>
  <si>
    <t xml:space="preserve">Nov 8: EC - Euro-Zone GDP s.a. (QoQ) (2Q) [A: 0.1%, P: 0.5%]</t>
  </si>
  <si>
    <t xml:space="preserve">Nov 7: Machine Orders (MoM) (SEP) [S: -9.0%, A: -13.2%, P: 8.7%]</t>
  </si>
  <si>
    <t xml:space="preserve">Nov 9: OPEC Faces Struggle to Meet $25 Price Goal as Two-Year Oil Boom Falters</t>
  </si>
  <si>
    <t xml:space="preserve">Nov 8: Denmark - Unemployment Rate - sa (SEP) [A: 5.0%, P: 5.1%]</t>
  </si>
  <si>
    <t xml:space="preserve">Nov 7: Money Supply M2 +CD (YoY) (OCT) [S: 3.7%, A: 3.6%, P: 3.7%]</t>
  </si>
  <si>
    <t xml:space="preserve">Nov 8: Imports All Commodity Price (OCT) [S: -0.5%, A: -2.4%, P: 0.1%]</t>
  </si>
  <si>
    <t xml:space="preserve">Nov 8: Initial Jobless Claims (NOV 3) [500k, A: 450k, P: 496k]</t>
  </si>
  <si>
    <t xml:space="preserve">Nov 8: Housing Starts (OCT) [S: 153k, A: 174k, P: 154k]</t>
  </si>
  <si>
    <t xml:space="preserve">Nov 7: Participation Rate (OCT) [S: 63.6%, A: 63.8%, P: 63.5%]</t>
  </si>
  <si>
    <t xml:space="preserve">Nov 8: Bloomberg Retail Sales (OCT) [A: 2.0%, P: 1.2%]</t>
  </si>
  <si>
    <t xml:space="preserve">Nov 8: Ivey Purchasing Managers Index (OCT) [S: 42.5, A: 48.5, P: 45.4]</t>
  </si>
  <si>
    <t xml:space="preserve">Nov 8: Housing Finance (SEP) [S: -0.5%, A: -1.0%, P: -2.1%]</t>
  </si>
  <si>
    <t xml:space="preserve">PX_Last</t>
  </si>
  <si>
    <t xml:space="preserve">CUSIP</t>
  </si>
  <si>
    <t xml:space="preserve">PX_Close_5D</t>
  </si>
  <si>
    <t xml:space="preserve">YLD_YTM_MID</t>
  </si>
  <si>
    <t xml:space="preserve">PX_Settle</t>
  </si>
  <si>
    <t xml:space="preserve">YLD_CHG_PCT_5D</t>
  </si>
  <si>
    <t xml:space="preserve">FWD_RT_1MO</t>
  </si>
  <si>
    <t xml:space="preserve">CHG_NET_5D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</si>
</sst>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0.00"/>
    <numFmt numFmtId="167" formatCode="0.00%"/>
    <numFmt numFmtId="168" formatCode="0"/>
    <numFmt numFmtId="169" formatCode="[$-409]mmm\-yy"/>
    <numFmt numFmtId="170" formatCode="0.0%"/>
    <numFmt numFmtId="171" formatCode="_(\$* #,##0.00_);_(\$* \(#,##0.00\);_(\$* \-??_);_(@_)"/>
    <numFmt numFmtId="172" formatCode="\$#,##0.00"/>
    <numFmt numFmtId="173" formatCode="[$-409]d\-mmm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u val="single"/>
      <sz val="20"/>
      <color rgb="FF0000FF"/>
      <name val="Arial"/>
      <family val="2"/>
    </font>
    <font>
      <b val="true"/>
      <i val="true"/>
      <sz val="12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u val="single"/>
      <sz val="10"/>
      <name val="Arial"/>
      <family val="2"/>
    </font>
    <font>
      <b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00"/>
      <name val="Tahoma"/>
      <family val="2"/>
    </font>
    <font>
      <sz val="8"/>
      <color rgb="FF000000"/>
      <name val="Tahoma"/>
      <family val="2"/>
    </font>
    <font>
      <b val="true"/>
      <sz val="10.75"/>
      <color rgb="FF000000"/>
      <name val="Arial"/>
      <family val="2"/>
    </font>
    <font>
      <sz val="11.25"/>
      <color rgb="FF000000"/>
      <name val="Arial"/>
      <family val="2"/>
    </font>
    <font>
      <b val="true"/>
      <sz val="11.5"/>
      <color rgb="FF000000"/>
      <name val="Arial"/>
      <family val="2"/>
    </font>
    <font>
      <sz val="9.5"/>
      <color rgb="FF000000"/>
      <name val="Arial"/>
      <family val="2"/>
    </font>
    <font>
      <sz val="8.75"/>
      <color rgb="FF000000"/>
      <name val="Arial"/>
      <family val="2"/>
    </font>
    <font>
      <sz val="10.75"/>
      <color rgb="FF000000"/>
      <name val="Arial"/>
      <family val="2"/>
    </font>
    <font>
      <b val="true"/>
      <sz val="9"/>
      <color rgb="FF000000"/>
      <name val="Arial"/>
      <family val="2"/>
    </font>
    <font>
      <sz val="9"/>
      <color rgb="FF000000"/>
      <name val="Arial"/>
      <family val="2"/>
    </font>
    <font>
      <b val="true"/>
      <sz val="12"/>
      <color rgb="FF000000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</fills>
  <borders count="3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6">
    <dxf>
      <font>
        <name val="Arial"/>
        <family val="0"/>
        <color rgb="00FFFFFF"/>
      </font>
    </dxf>
    <dxf>
      <font>
        <name val="Arial"/>
        <family val="0"/>
        <color rgb="FFFF0000"/>
      </font>
    </dxf>
    <dxf>
      <font>
        <name val="Arial"/>
        <family val="0"/>
        <color rgb="00FFFFFF"/>
      </font>
      <fill>
        <patternFill/>
      </fill>
    </dxf>
    <dxf>
      <font>
        <name val="Arial"/>
        <family val="0"/>
        <color rgb="FFFF0000"/>
      </font>
    </dxf>
    <dxf>
      <font>
        <name val="Arial"/>
        <family val="0"/>
        <color rgb="00FFFFFF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  <dxf>
      <font>
        <name val="Arial"/>
        <family val="0"/>
        <color rgb="00FFFFFF"/>
      </font>
    </dxf>
    <dxf>
      <font>
        <name val="Arial"/>
        <family val="0"/>
        <color rgb="FFFF0000"/>
      </font>
    </dxf>
    <dxf>
      <font>
        <name val="Arial"/>
        <family val="0"/>
        <color rgb="00FFFFFF"/>
      </font>
      <fill>
        <patternFill/>
      </fill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  <dxf>
      <font>
        <name val="Arial"/>
        <family val="0"/>
        <color rgb="00FFFFFF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Current LIBOR &amp; US Treasury Curves</a:t>
            </a:r>
          </a:p>
        </c:rich>
      </c:tx>
      <c:layout>
        <c:manualLayout>
          <c:xMode val="edge"/>
          <c:yMode val="edge"/>
          <c:x val="0.167979648777285"/>
          <c:y val="0.04543075473673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1565731166913"/>
          <c:y val="0.140374751386999"/>
          <c:w val="0.96512391268669"/>
          <c:h val="0.769810530723333"/>
        </c:manualLayout>
      </c:layout>
      <c:scatterChart>
        <c:scatterStyle val="lineMarker"/>
        <c:varyColors val="0"/>
        <c:ser>
          <c:idx val="0"/>
          <c:order val="0"/>
          <c:tx>
            <c:strRef>
              <c:f>"Treasuries"</c:f>
              <c:strCache>
                <c:ptCount val="1"/>
                <c:pt idx="0">
                  <c:v>Treasuries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square"/>
            <c:size val="5"/>
            <c:spPr>
              <a:solidFill>
                <a:srgbClr val="0000ff"/>
              </a:solidFill>
            </c:spPr>
          </c:marker>
          <c:dPt>
            <c:idx val="6"/>
            <c:marker>
              <c:symbol val="square"/>
              <c:size val="5"/>
              <c:spPr>
                <a:solidFill>
                  <a:srgbClr val="0000ff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UNLNK!$N$23:$N$29</c:f>
              <c:numCache>
                <c:formatCode>General</c:formatCode>
                <c:ptCount val="7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  <c:pt idx="6">
                  <c:v>30</c:v>
                </c:pt>
              </c:numCache>
            </c:numRef>
          </c:xVal>
          <c:yVal>
            <c:numRef>
              <c:f>UNLNK!$L$5:$L$11</c:f>
              <c:numCache>
                <c:formatCode>0.00%</c:formatCode>
                <c:ptCount val="7"/>
                <c:pt idx="0">
                  <c:v>0.01933</c:v>
                </c:pt>
                <c:pt idx="1">
                  <c:v>0.02046</c:v>
                </c:pt>
                <c:pt idx="2">
                  <c:v>0.02303</c:v>
                </c:pt>
                <c:pt idx="3">
                  <c:v>0.03053</c:v>
                </c:pt>
                <c:pt idx="4">
                  <c:v>0.04235</c:v>
                </c:pt>
                <c:pt idx="5">
                  <c:v>0.04891</c:v>
                </c:pt>
                <c:pt idx="6">
                  <c:v>0.05303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"LIBOR"</c:f>
              <c:strCache>
                <c:ptCount val="1"/>
                <c:pt idx="0">
                  <c:v>LIBOR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circle"/>
            <c:size val="3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UNLNK!$N$23:$N$29</c:f>
              <c:numCache>
                <c:formatCode>General</c:formatCode>
                <c:ptCount val="7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  <c:pt idx="6">
                  <c:v>30</c:v>
                </c:pt>
              </c:numCache>
            </c:numRef>
          </c:xVal>
          <c:yVal>
            <c:numRef>
              <c:f>UNLNK!$L$13:$L$19</c:f>
              <c:numCache>
                <c:formatCode>0.00%</c:formatCode>
                <c:ptCount val="7"/>
                <c:pt idx="0">
                  <c:v>0.0213875</c:v>
                </c:pt>
                <c:pt idx="1">
                  <c:v>0.0217</c:v>
                </c:pt>
                <c:pt idx="2">
                  <c:v>0.025025</c:v>
                </c:pt>
                <c:pt idx="3">
                  <c:v>0.0347600007</c:v>
                </c:pt>
                <c:pt idx="4">
                  <c:v>0.0486299992</c:v>
                </c:pt>
                <c:pt idx="5">
                  <c:v>0.0551599979</c:v>
                </c:pt>
                <c:pt idx="6">
                  <c:v>0.0591499996</c:v>
                </c:pt>
              </c:numCache>
            </c:numRef>
          </c:yVal>
          <c:smooth val="0"/>
        </c:ser>
        <c:axId val="4696070"/>
        <c:axId val="31061911"/>
      </c:scatterChart>
      <c:valAx>
        <c:axId val="4696070"/>
        <c:scaling>
          <c:orientation val="minMax"/>
          <c:max val="3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Years</a:t>
                </a:r>
              </a:p>
            </c:rich>
          </c:tx>
          <c:layout>
            <c:manualLayout>
              <c:xMode val="edge"/>
              <c:yMode val="edge"/>
              <c:x val="0.450352863942229"/>
              <c:y val="0.897309745629645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061911"/>
        <c:crossesAt val="0"/>
        <c:crossBetween val="midCat"/>
      </c:valAx>
      <c:valAx>
        <c:axId val="31061911"/>
        <c:scaling>
          <c:orientation val="minMax"/>
          <c:max val="0.06"/>
          <c:min val="0.02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96070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90579353356311"/>
          <c:y val="0.8875745839003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ENE Last 5 Days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63159614442085"/>
          <c:y val="0.102537109169386"/>
          <c:w val="0.924685508903774"/>
          <c:h val="0.845036319612591"/>
        </c:manualLayout>
      </c:layout>
      <c:lineChart>
        <c:grouping val="standard"/>
        <c:varyColors val="0"/>
        <c:ser>
          <c:idx val="0"/>
          <c:order val="0"/>
          <c:tx>
            <c:strRef>
              <c:f>UNLNK!$W$23</c:f>
              <c:strCache>
                <c:ptCount val="1"/>
                <c:pt idx="0">
                  <c:v>ENE Equity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UNLNK!$W$25:$W$29</c:f>
              <c:strCache>
                <c:ptCount val="5"/>
                <c:pt idx="0">
                  <c:v>11/5/2001</c:v>
                </c:pt>
                <c:pt idx="1">
                  <c:v>11/6/2001</c:v>
                </c:pt>
                <c:pt idx="2">
                  <c:v>11/7/2001</c:v>
                </c:pt>
                <c:pt idx="3">
                  <c:v>11/8/2001</c:v>
                </c:pt>
                <c:pt idx="4">
                  <c:v>11/9/2001</c:v>
                </c:pt>
              </c:strCache>
            </c:strRef>
          </c:cat>
          <c:val>
            <c:numRef>
              <c:f>UNLNK!$X$25:$X$29</c:f>
              <c:numCache>
                <c:formatCode>\$#,##0.00</c:formatCode>
                <c:ptCount val="5"/>
                <c:pt idx="0">
                  <c:v>11.17</c:v>
                </c:pt>
                <c:pt idx="1">
                  <c:v>9.67</c:v>
                </c:pt>
                <c:pt idx="2">
                  <c:v>9.05</c:v>
                </c:pt>
                <c:pt idx="3">
                  <c:v>8.41</c:v>
                </c:pt>
                <c:pt idx="4">
                  <c:v>8.63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689899"/>
        <c:axId val="89796608"/>
      </c:lineChart>
      <c:catAx>
        <c:axId val="2168989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796608"/>
        <c:crossesAt val="0"/>
        <c:auto val="1"/>
        <c:lblAlgn val="ctr"/>
        <c:lblOffset val="100"/>
        <c:noMultiLvlLbl val="0"/>
      </c:catAx>
      <c:valAx>
        <c:axId val="8979660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68989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Current LIBOR &amp; US Treasury Curves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8804847776885"/>
          <c:y val="0.181557783408615"/>
          <c:w val="0.964152734175367"/>
          <c:h val="0.679299327971797"/>
        </c:manualLayout>
      </c:layout>
      <c:scatterChart>
        <c:scatterStyle val="lineMarker"/>
        <c:varyColors val="0"/>
        <c:ser>
          <c:idx val="0"/>
          <c:order val="0"/>
          <c:tx>
            <c:strRef>
              <c:f>"Treasuries"</c:f>
              <c:strCache>
                <c:ptCount val="1"/>
                <c:pt idx="0">
                  <c:v>Treasuries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square"/>
            <c:size val="5"/>
            <c:spPr>
              <a:solidFill>
                <a:srgbClr val="0000ff"/>
              </a:solidFill>
            </c:spPr>
          </c:marker>
          <c:dPt>
            <c:idx val="6"/>
            <c:marker>
              <c:symbol val="square"/>
              <c:size val="5"/>
              <c:spPr>
                <a:solidFill>
                  <a:srgbClr val="0000ff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LNK!$N$23:$N$29</c:f>
              <c:numCache>
                <c:formatCode>General</c:formatCode>
                <c:ptCount val="7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  <c:pt idx="6">
                  <c:v>30</c:v>
                </c:pt>
              </c:numCache>
            </c:numRef>
          </c:xVal>
          <c:yVal>
            <c:numRef>
              <c:f>LNK!$L$5:$L$11</c:f>
              <c:numCache>
                <c:formatCode>0.00%</c:formatCode>
                <c:ptCount val="7"/>
                <c:pt idx="0">
                  <c:v>0.01933</c:v>
                </c:pt>
                <c:pt idx="1">
                  <c:v>0.02046</c:v>
                </c:pt>
                <c:pt idx="2">
                  <c:v>0.02303</c:v>
                </c:pt>
                <c:pt idx="3">
                  <c:v>0.03053</c:v>
                </c:pt>
                <c:pt idx="4">
                  <c:v>0.04235</c:v>
                </c:pt>
                <c:pt idx="5">
                  <c:v>0.04891</c:v>
                </c:pt>
                <c:pt idx="6">
                  <c:v>0.05303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"LIBOR"</c:f>
              <c:strCache>
                <c:ptCount val="1"/>
                <c:pt idx="0">
                  <c:v>LIBOR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circle"/>
            <c:size val="3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LNK!$N$23:$N$29</c:f>
              <c:numCache>
                <c:formatCode>General</c:formatCode>
                <c:ptCount val="7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  <c:pt idx="6">
                  <c:v>30</c:v>
                </c:pt>
              </c:numCache>
            </c:numRef>
          </c:xVal>
          <c:yVal>
            <c:numRef>
              <c:f>LNK!$L$13:$L$19</c:f>
              <c:numCache>
                <c:formatCode>0.00%</c:formatCode>
                <c:ptCount val="7"/>
                <c:pt idx="0">
                  <c:v>0.0213875</c:v>
                </c:pt>
                <c:pt idx="1">
                  <c:v>0.0217</c:v>
                </c:pt>
                <c:pt idx="2">
                  <c:v>0.025025</c:v>
                </c:pt>
                <c:pt idx="3">
                  <c:v>0.0347600007</c:v>
                </c:pt>
                <c:pt idx="4">
                  <c:v>0.0486299992</c:v>
                </c:pt>
                <c:pt idx="5">
                  <c:v>0.0551599979</c:v>
                </c:pt>
                <c:pt idx="6">
                  <c:v>0.0591499996</c:v>
                </c:pt>
              </c:numCache>
            </c:numRef>
          </c:yVal>
          <c:smooth val="0"/>
        </c:ser>
        <c:axId val="44710948"/>
        <c:axId val="59612626"/>
      </c:scatterChart>
      <c:valAx>
        <c:axId val="44710948"/>
        <c:scaling>
          <c:orientation val="minMax"/>
          <c:max val="3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Years</a:t>
                </a:r>
              </a:p>
            </c:rich>
          </c:tx>
          <c:layout>
            <c:manualLayout>
              <c:xMode val="edge"/>
              <c:yMode val="edge"/>
              <c:x val="0.457618456596335"/>
              <c:y val="0.849179244243693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612626"/>
        <c:crossesAt val="0"/>
        <c:crossBetween val="midCat"/>
      </c:valAx>
      <c:valAx>
        <c:axId val="59612626"/>
        <c:scaling>
          <c:orientation val="minMax"/>
          <c:min val="0.02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710948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70752719573629"/>
          <c:y val="0.8467555359700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ENE Last 5 Days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LNK!$W$23</c:f>
              <c:strCache>
                <c:ptCount val="1"/>
                <c:pt idx="0">
                  <c:v>ENE Equity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LNK!$W$25:$W$29</c:f>
              <c:strCache>
                <c:ptCount val="5"/>
                <c:pt idx="0">
                  <c:v>11/5/2001</c:v>
                </c:pt>
                <c:pt idx="1">
                  <c:v>11/6/2001</c:v>
                </c:pt>
                <c:pt idx="2">
                  <c:v>11/7/2001</c:v>
                </c:pt>
                <c:pt idx="3">
                  <c:v>11/8/2001</c:v>
                </c:pt>
                <c:pt idx="4">
                  <c:v>11/9/2001</c:v>
                </c:pt>
              </c:strCache>
            </c:strRef>
          </c:cat>
          <c:val>
            <c:numRef>
              <c:f>LNK!$X$25:$X$29</c:f>
              <c:numCache>
                <c:formatCode>\$#,##0.00</c:formatCode>
                <c:ptCount val="5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325189"/>
        <c:axId val="36312787"/>
      </c:lineChart>
      <c:catAx>
        <c:axId val="8832518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312787"/>
        <c:crossesAt val="0"/>
        <c:auto val="1"/>
        <c:lblAlgn val="ctr"/>
        <c:lblOffset val="100"/>
        <c:noMultiLvlLbl val="0"/>
      </c:catAx>
      <c:valAx>
        <c:axId val="3631278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32518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100440</xdr:colOff>
      <xdr:row>1</xdr:row>
      <xdr:rowOff>123840</xdr:rowOff>
    </xdr:from>
    <xdr:to>
      <xdr:col>19</xdr:col>
      <xdr:colOff>20520</xdr:colOff>
      <xdr:row>22</xdr:row>
      <xdr:rowOff>123840</xdr:rowOff>
    </xdr:to>
    <xdr:graphicFrame>
      <xdr:nvGraphicFramePr>
        <xdr:cNvPr id="0" name="Chart 50"/>
        <xdr:cNvGraphicFramePr/>
      </xdr:nvGraphicFramePr>
      <xdr:xfrm>
        <a:off x="11190240" y="457200"/>
        <a:ext cx="4386600" cy="343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80280</xdr:colOff>
      <xdr:row>23</xdr:row>
      <xdr:rowOff>133560</xdr:rowOff>
    </xdr:from>
    <xdr:to>
      <xdr:col>19</xdr:col>
      <xdr:colOff>20520</xdr:colOff>
      <xdr:row>44</xdr:row>
      <xdr:rowOff>152280</xdr:rowOff>
    </xdr:to>
    <xdr:graphicFrame>
      <xdr:nvGraphicFramePr>
        <xdr:cNvPr id="1" name="Chart 60"/>
        <xdr:cNvGraphicFramePr/>
      </xdr:nvGraphicFramePr>
      <xdr:xfrm>
        <a:off x="11170080" y="4067280"/>
        <a:ext cx="4406760" cy="341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120240</xdr:colOff>
      <xdr:row>2</xdr:row>
      <xdr:rowOff>0</xdr:rowOff>
    </xdr:from>
    <xdr:to>
      <xdr:col>19</xdr:col>
      <xdr:colOff>584280</xdr:colOff>
      <xdr:row>21</xdr:row>
      <xdr:rowOff>162000</xdr:rowOff>
    </xdr:to>
    <xdr:graphicFrame>
      <xdr:nvGraphicFramePr>
        <xdr:cNvPr id="2" name="Chart 1"/>
        <xdr:cNvGraphicFramePr/>
      </xdr:nvGraphicFramePr>
      <xdr:xfrm>
        <a:off x="14783040" y="504720"/>
        <a:ext cx="4930560" cy="326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281520</xdr:colOff>
          <xdr:row>0</xdr:row>
          <xdr:rowOff>76680</xdr:rowOff>
        </xdr:from>
        <xdr:to>
          <xdr:col>20</xdr:col>
          <xdr:colOff>815760</xdr:colOff>
          <xdr:row>1</xdr:row>
          <xdr:rowOff>104400</xdr:rowOff>
        </xdr:to>
        <xdr:sp>
          <xdr:nvSpPr>
            <xdr:cNvPr id="1001" name="Button 27" descr="Pre-Save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Pre-Saver</a:t>
              </a:r>
            </a:p>
          </xdr:txBody>
        </xdr:sp>
        <xdr:clientData/>
      </xdr:twoCellAnchor>
    </mc:Choice>
  </mc:AlternateContent>
  <xdr:twoCellAnchor editAs="oneCell">
    <xdr:from>
      <xdr:col>13</xdr:col>
      <xdr:colOff>120240</xdr:colOff>
      <xdr:row>23</xdr:row>
      <xdr:rowOff>56880</xdr:rowOff>
    </xdr:from>
    <xdr:to>
      <xdr:col>19</xdr:col>
      <xdr:colOff>604440</xdr:colOff>
      <xdr:row>43</xdr:row>
      <xdr:rowOff>38160</xdr:rowOff>
    </xdr:to>
    <xdr:graphicFrame>
      <xdr:nvGraphicFramePr>
        <xdr:cNvPr id="3" name="Chart 28"/>
        <xdr:cNvGraphicFramePr/>
      </xdr:nvGraphicFramePr>
      <xdr:xfrm>
        <a:off x="14783040" y="3990600"/>
        <a:ext cx="4950720" cy="3219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blp/API/dde/Blp.xla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blp/API/dde/Blph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definedNames>
      <definedName name="BLP" refersTo="[1]Main!$A$23"/>
    </definedNames>
    <sheetDataSet>
      <sheetData sheetId="0">
        <row r="23">
          <cell r="A23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LPFunctions"/>
      <sheetName val="Sheet1"/>
    </sheetNames>
    <definedNames>
      <definedName name="blpsh"/>
    </defined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.7"/>
    <col collapsed="false" customWidth="true" hidden="false" outlineLevel="0" max="2" min="2" style="1" width="36.99"/>
    <col collapsed="false" customWidth="true" hidden="true" outlineLevel="0" max="3" min="3" style="1" width="33.56"/>
    <col collapsed="false" customWidth="true" hidden="false" outlineLevel="0" max="5" min="4" style="1" width="15.13"/>
    <col collapsed="false" customWidth="true" hidden="false" outlineLevel="0" max="6" min="6" style="1" width="10.99"/>
    <col collapsed="false" customWidth="true" hidden="false" outlineLevel="0" max="7" min="7" style="1" width="2.28"/>
    <col collapsed="false" customWidth="true" hidden="false" outlineLevel="0" max="8" min="8" style="1" width="9.85"/>
    <col collapsed="false" customWidth="true" hidden="false" outlineLevel="0" max="9" min="9" style="1" width="20.41"/>
    <col collapsed="false" customWidth="true" hidden="true" outlineLevel="0" max="10" min="10" style="1" width="17.14"/>
    <col collapsed="false" customWidth="true" hidden="false" outlineLevel="0" max="12" min="11" style="1" width="15.28"/>
    <col collapsed="false" customWidth="true" hidden="false" outlineLevel="0" max="13" min="13" style="1" width="13.28"/>
    <col collapsed="false" customWidth="true" hidden="false" outlineLevel="0" max="14" min="14" style="1" width="9.56"/>
    <col collapsed="false" customWidth="true" hidden="false" outlineLevel="0" max="15" min="15" style="1" width="10.41"/>
    <col collapsed="false" customWidth="true" hidden="false" outlineLevel="0" max="16" min="16" style="1" width="9.28"/>
    <col collapsed="false" customWidth="false" hidden="false" outlineLevel="0" max="18" min="17" style="1" width="9.14"/>
    <col collapsed="false" customWidth="true" hidden="false" outlineLevel="0" max="19" min="19" style="1" width="15.85"/>
    <col collapsed="false" customWidth="false" hidden="false" outlineLevel="0" max="20" min="20" style="1" width="9.14"/>
    <col collapsed="false" customWidth="true" hidden="false" outlineLevel="0" max="21" min="21" style="1" width="12.7"/>
    <col collapsed="false" customWidth="false" hidden="false" outlineLevel="0" max="22" min="22" style="1" width="9.14"/>
    <col collapsed="false" customWidth="true" hidden="false" outlineLevel="0" max="23" min="23" style="1" width="10.71"/>
    <col collapsed="false" customWidth="true" hidden="false" outlineLevel="0" max="24" min="24" style="1" width="9.28"/>
    <col collapsed="false" customWidth="false" hidden="false" outlineLevel="0" max="257" min="25" style="1" width="9.14"/>
  </cols>
  <sheetData>
    <row r="1" customFormat="false" ht="26.25" hidden="false" customHeight="false" outlineLevel="0" collapsed="false">
      <c r="B1" s="2" t="s">
        <v>0</v>
      </c>
      <c r="C1" s="3"/>
      <c r="F1" s="0"/>
      <c r="G1" s="0"/>
      <c r="H1" s="0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13.5" hidden="false" customHeight="false" outlineLevel="0" collapsed="false"/>
    <row r="3" customFormat="false" ht="15" hidden="false" customHeight="false" outlineLevel="0" collapsed="false">
      <c r="B3" s="4" t="s">
        <v>1</v>
      </c>
      <c r="C3" s="5"/>
      <c r="D3" s="6" t="n">
        <v>37204</v>
      </c>
      <c r="E3" s="6" t="n">
        <v>37211</v>
      </c>
      <c r="F3" s="6" t="s">
        <v>2</v>
      </c>
      <c r="G3" s="7"/>
      <c r="H3" s="5" t="s">
        <v>3</v>
      </c>
      <c r="I3" s="7"/>
      <c r="J3" s="7"/>
      <c r="K3" s="6" t="n">
        <v>37204</v>
      </c>
      <c r="L3" s="6" t="n">
        <v>37211</v>
      </c>
      <c r="M3" s="8" t="s">
        <v>4</v>
      </c>
    </row>
    <row r="4" customFormat="false" ht="12.75" hidden="false" customHeight="false" outlineLevel="0" collapsed="false">
      <c r="B4" s="9" t="s">
        <v>5</v>
      </c>
      <c r="C4" s="10"/>
      <c r="D4" s="11"/>
      <c r="E4" s="11"/>
      <c r="F4" s="11"/>
      <c r="G4" s="12"/>
      <c r="H4" s="13" t="s">
        <v>6</v>
      </c>
      <c r="I4" s="14"/>
      <c r="J4" s="14"/>
      <c r="K4" s="14"/>
      <c r="L4" s="14"/>
      <c r="M4" s="15"/>
    </row>
    <row r="5" customFormat="false" ht="12.75" hidden="false" customHeight="false" outlineLevel="0" collapsed="false">
      <c r="B5" s="16" t="s">
        <v>7</v>
      </c>
      <c r="C5" s="17" t="s">
        <v>8</v>
      </c>
      <c r="D5" s="18" t="n">
        <v>9608</v>
      </c>
      <c r="E5" s="18" t="n">
        <v>9866.99</v>
      </c>
      <c r="F5" s="19" t="n">
        <v>0.0269556619483763</v>
      </c>
      <c r="G5" s="14"/>
      <c r="H5" s="20" t="s">
        <v>9</v>
      </c>
      <c r="I5" s="17"/>
      <c r="J5" s="21" t="s">
        <v>10</v>
      </c>
      <c r="K5" s="22" t="n">
        <v>0.01828</v>
      </c>
      <c r="L5" s="22" t="n">
        <v>0.01933</v>
      </c>
      <c r="M5" s="23" t="n">
        <v>10.5</v>
      </c>
    </row>
    <row r="6" customFormat="false" ht="12.75" hidden="false" customHeight="false" outlineLevel="0" collapsed="false">
      <c r="B6" s="16" t="s">
        <v>11</v>
      </c>
      <c r="C6" s="17" t="s">
        <v>12</v>
      </c>
      <c r="D6" s="18" t="n">
        <v>1828.48</v>
      </c>
      <c r="E6" s="18" t="n">
        <v>1898.58</v>
      </c>
      <c r="F6" s="19" t="n">
        <v>0.0383378543927196</v>
      </c>
      <c r="G6" s="14"/>
      <c r="H6" s="20" t="s">
        <v>13</v>
      </c>
      <c r="I6" s="17"/>
      <c r="J6" s="21" t="s">
        <v>14</v>
      </c>
      <c r="K6" s="22" t="n">
        <v>0.01815</v>
      </c>
      <c r="L6" s="22" t="n">
        <v>0.02046</v>
      </c>
      <c r="M6" s="23" t="n">
        <v>23.1</v>
      </c>
      <c r="W6" s="24"/>
    </row>
    <row r="7" customFormat="false" ht="12.75" hidden="false" customHeight="false" outlineLevel="0" collapsed="false">
      <c r="B7" s="16" t="s">
        <v>15</v>
      </c>
      <c r="C7" s="17" t="s">
        <v>16</v>
      </c>
      <c r="D7" s="18" t="n">
        <v>1514.96</v>
      </c>
      <c r="E7" s="18" t="n">
        <v>1582.14</v>
      </c>
      <c r="F7" s="19" t="n">
        <v>0.0443444051328088</v>
      </c>
      <c r="G7" s="14"/>
      <c r="H7" s="20" t="s">
        <v>17</v>
      </c>
      <c r="I7" s="17"/>
      <c r="J7" s="21" t="s">
        <v>18</v>
      </c>
      <c r="K7" s="22" t="n">
        <v>0.0196</v>
      </c>
      <c r="L7" s="22" t="n">
        <v>0.02303</v>
      </c>
      <c r="M7" s="23" t="n">
        <v>34.3</v>
      </c>
    </row>
    <row r="8" customFormat="false" ht="12.75" hidden="false" customHeight="false" outlineLevel="0" collapsed="false">
      <c r="B8" s="16" t="s">
        <v>19</v>
      </c>
      <c r="C8" s="17" t="s">
        <v>20</v>
      </c>
      <c r="D8" s="18" t="n">
        <v>1120.31</v>
      </c>
      <c r="E8" s="18" t="n">
        <v>1138.65</v>
      </c>
      <c r="F8" s="19" t="n">
        <v>0.0163704688880758</v>
      </c>
      <c r="G8" s="14"/>
      <c r="H8" s="20" t="s">
        <v>21</v>
      </c>
      <c r="I8" s="17"/>
      <c r="J8" s="21" t="s">
        <v>22</v>
      </c>
      <c r="K8" s="22" t="n">
        <v>0.02434</v>
      </c>
      <c r="L8" s="22" t="n">
        <v>0.03053</v>
      </c>
      <c r="M8" s="23" t="n">
        <v>61.9</v>
      </c>
    </row>
    <row r="9" customFormat="false" ht="12.75" hidden="false" customHeight="false" outlineLevel="0" collapsed="false">
      <c r="B9" s="16" t="s">
        <v>23</v>
      </c>
      <c r="C9" s="17" t="s">
        <v>24</v>
      </c>
      <c r="D9" s="18" t="n">
        <v>438.1</v>
      </c>
      <c r="E9" s="18" t="n">
        <v>451.31</v>
      </c>
      <c r="F9" s="19" t="n">
        <v>0.0301529331202921</v>
      </c>
      <c r="G9" s="14"/>
      <c r="H9" s="20" t="s">
        <v>25</v>
      </c>
      <c r="I9" s="17"/>
      <c r="J9" s="21" t="s">
        <v>26</v>
      </c>
      <c r="K9" s="22" t="n">
        <v>0.03553</v>
      </c>
      <c r="L9" s="22" t="n">
        <v>0.04235</v>
      </c>
      <c r="M9" s="23" t="n">
        <v>68.2000000000001</v>
      </c>
    </row>
    <row r="10" customFormat="false" ht="12.75" hidden="false" customHeight="false" outlineLevel="0" collapsed="false">
      <c r="B10" s="16" t="s">
        <v>27</v>
      </c>
      <c r="C10" s="17" t="s">
        <v>28</v>
      </c>
      <c r="D10" s="18" t="n">
        <v>10297.21</v>
      </c>
      <c r="E10" s="18" t="n">
        <v>10486.67</v>
      </c>
      <c r="F10" s="19" t="n">
        <v>0.0183991586070403</v>
      </c>
      <c r="G10" s="14"/>
      <c r="H10" s="20" t="s">
        <v>29</v>
      </c>
      <c r="I10" s="17"/>
      <c r="J10" s="21" t="s">
        <v>30</v>
      </c>
      <c r="K10" s="22" t="n">
        <v>0.04307</v>
      </c>
      <c r="L10" s="22" t="n">
        <v>0.04891</v>
      </c>
      <c r="M10" s="23" t="n">
        <v>58.4</v>
      </c>
    </row>
    <row r="11" customFormat="false" ht="12.75" hidden="false" customHeight="false" outlineLevel="0" collapsed="false">
      <c r="B11" s="16" t="s">
        <v>31</v>
      </c>
      <c r="C11" s="17" t="s">
        <v>32</v>
      </c>
      <c r="D11" s="18" t="n">
        <v>7140.79</v>
      </c>
      <c r="E11" s="18" t="n">
        <v>7315.3</v>
      </c>
      <c r="F11" s="19" t="n">
        <v>0.0244384724939398</v>
      </c>
      <c r="G11" s="14"/>
      <c r="H11" s="20" t="s">
        <v>33</v>
      </c>
      <c r="I11" s="17"/>
      <c r="J11" s="21" t="s">
        <v>34</v>
      </c>
      <c r="K11" s="22" t="n">
        <v>0.04876</v>
      </c>
      <c r="L11" s="22" t="n">
        <v>0.05303</v>
      </c>
      <c r="M11" s="23" t="n">
        <v>42.7</v>
      </c>
    </row>
    <row r="12" customFormat="false" ht="12.75" hidden="false" customHeight="false" outlineLevel="0" collapsed="false">
      <c r="B12" s="16" t="s">
        <v>35</v>
      </c>
      <c r="C12" s="17" t="s">
        <v>36</v>
      </c>
      <c r="D12" s="18" t="n">
        <v>5244.2</v>
      </c>
      <c r="E12" s="18" t="n">
        <v>5291</v>
      </c>
      <c r="F12" s="19" t="n">
        <v>0.00892414476945963</v>
      </c>
      <c r="G12" s="14"/>
      <c r="H12" s="13" t="s">
        <v>37</v>
      </c>
      <c r="I12" s="14"/>
      <c r="J12" s="14"/>
      <c r="K12" s="25"/>
      <c r="L12" s="25"/>
      <c r="M12" s="26"/>
    </row>
    <row r="13" customFormat="false" ht="12.75" hidden="false" customHeight="false" outlineLevel="0" collapsed="false">
      <c r="B13" s="16" t="s">
        <v>38</v>
      </c>
      <c r="C13" s="17" t="s">
        <v>39</v>
      </c>
      <c r="D13" s="18" t="n">
        <v>10215.71</v>
      </c>
      <c r="E13" s="18" t="n">
        <v>10649.09</v>
      </c>
      <c r="F13" s="19" t="n">
        <v>0.0424228957164995</v>
      </c>
      <c r="G13" s="14"/>
      <c r="H13" s="20" t="s">
        <v>9</v>
      </c>
      <c r="I13" s="27"/>
      <c r="J13" s="28" t="s">
        <v>40</v>
      </c>
      <c r="K13" s="22" t="n">
        <v>0.0201625</v>
      </c>
      <c r="L13" s="22" t="n">
        <v>0.0213875</v>
      </c>
      <c r="M13" s="23" t="n">
        <v>12.25</v>
      </c>
    </row>
    <row r="14" customFormat="false" ht="12.75" hidden="false" customHeight="false" outlineLevel="0" collapsed="false">
      <c r="B14" s="16" t="s">
        <v>41</v>
      </c>
      <c r="C14" s="17" t="s">
        <v>42</v>
      </c>
      <c r="D14" s="18" t="n">
        <v>4910.07</v>
      </c>
      <c r="E14" s="18" t="n">
        <v>5062.64</v>
      </c>
      <c r="F14" s="19" t="n">
        <v>0.0310728767614312</v>
      </c>
      <c r="G14" s="14"/>
      <c r="H14" s="20" t="s">
        <v>13</v>
      </c>
      <c r="I14" s="27"/>
      <c r="J14" s="28" t="s">
        <v>43</v>
      </c>
      <c r="K14" s="22" t="n">
        <v>0.0197</v>
      </c>
      <c r="L14" s="22" t="n">
        <v>0.0217</v>
      </c>
      <c r="M14" s="23" t="n">
        <v>20</v>
      </c>
    </row>
    <row r="15" customFormat="false" ht="12.75" hidden="false" customHeight="false" outlineLevel="0" collapsed="false">
      <c r="B15" s="16" t="s">
        <v>44</v>
      </c>
      <c r="C15" s="17" t="s">
        <v>45</v>
      </c>
      <c r="D15" s="18" t="n">
        <v>4514.28</v>
      </c>
      <c r="E15" s="18" t="n">
        <v>4587.3</v>
      </c>
      <c r="F15" s="19" t="n">
        <v>0.0161753369308063</v>
      </c>
      <c r="G15" s="14"/>
      <c r="H15" s="20" t="s">
        <v>17</v>
      </c>
      <c r="I15" s="27"/>
      <c r="J15" s="28" t="s">
        <v>46</v>
      </c>
      <c r="K15" s="22" t="n">
        <v>0.0212</v>
      </c>
      <c r="L15" s="22" t="n">
        <v>0.025025</v>
      </c>
      <c r="M15" s="23" t="n">
        <v>38.25</v>
      </c>
    </row>
    <row r="16" customFormat="false" ht="12.75" hidden="false" customHeight="false" outlineLevel="0" collapsed="false">
      <c r="B16" s="29" t="s">
        <v>47</v>
      </c>
      <c r="C16" s="13"/>
      <c r="D16" s="14"/>
      <c r="E16" s="14"/>
      <c r="F16" s="30"/>
      <c r="G16" s="14"/>
      <c r="H16" s="20" t="s">
        <v>21</v>
      </c>
      <c r="I16" s="27"/>
      <c r="J16" s="28" t="s">
        <v>48</v>
      </c>
      <c r="K16" s="22" t="n">
        <v>0.0283800006</v>
      </c>
      <c r="L16" s="22" t="n">
        <v>0.0347600007</v>
      </c>
      <c r="M16" s="23" t="n">
        <v>63.800001</v>
      </c>
    </row>
    <row r="17" customFormat="false" ht="12.75" hidden="false" customHeight="false" outlineLevel="0" collapsed="false">
      <c r="B17" s="16" t="s">
        <v>49</v>
      </c>
      <c r="C17" s="17" t="s">
        <v>50</v>
      </c>
      <c r="D17" s="18" t="n">
        <v>36.5</v>
      </c>
      <c r="E17" s="18" t="n">
        <v>31.5</v>
      </c>
      <c r="F17" s="31" t="n">
        <v>-0.136986301369863</v>
      </c>
      <c r="G17" s="14"/>
      <c r="H17" s="20" t="s">
        <v>25</v>
      </c>
      <c r="I17" s="27"/>
      <c r="J17" s="28" t="s">
        <v>51</v>
      </c>
      <c r="K17" s="22" t="n">
        <v>0.0420800018</v>
      </c>
      <c r="L17" s="22" t="n">
        <v>0.0486299992</v>
      </c>
      <c r="M17" s="23" t="n">
        <v>65.499974</v>
      </c>
    </row>
    <row r="18" customFormat="false" ht="12.75" hidden="false" customHeight="false" outlineLevel="0" collapsed="false">
      <c r="B18" s="16" t="s">
        <v>52</v>
      </c>
      <c r="C18" s="17" t="s">
        <v>53</v>
      </c>
      <c r="D18" s="18" t="n">
        <v>22.22</v>
      </c>
      <c r="E18" s="18" t="n">
        <v>18.03</v>
      </c>
      <c r="F18" s="31" t="n">
        <v>-0.188568856885688</v>
      </c>
      <c r="G18" s="14"/>
      <c r="H18" s="20" t="s">
        <v>29</v>
      </c>
      <c r="I18" s="17"/>
      <c r="J18" s="28" t="s">
        <v>54</v>
      </c>
      <c r="K18" s="22" t="n">
        <v>0.0490799999</v>
      </c>
      <c r="L18" s="22" t="n">
        <v>0.0551599979</v>
      </c>
      <c r="M18" s="23" t="n">
        <v>60.79998</v>
      </c>
      <c r="W18" s="1" t="n">
        <v>0.25</v>
      </c>
    </row>
    <row r="19" customFormat="false" ht="12.75" hidden="false" customHeight="false" outlineLevel="0" collapsed="false">
      <c r="B19" s="16" t="s">
        <v>55</v>
      </c>
      <c r="C19" s="17" t="s">
        <v>56</v>
      </c>
      <c r="D19" s="18" t="n">
        <v>21.38</v>
      </c>
      <c r="E19" s="18" t="n">
        <v>17.75</v>
      </c>
      <c r="F19" s="31" t="n">
        <v>-0.16978484565014</v>
      </c>
      <c r="G19" s="14"/>
      <c r="H19" s="20" t="s">
        <v>33</v>
      </c>
      <c r="I19" s="17"/>
      <c r="J19" s="28" t="s">
        <v>57</v>
      </c>
      <c r="K19" s="22" t="n">
        <v>0.0546799994</v>
      </c>
      <c r="L19" s="22" t="n">
        <v>0.0591499996</v>
      </c>
      <c r="M19" s="23" t="n">
        <v>44.700002</v>
      </c>
      <c r="W19" s="1" t="n">
        <v>0.5</v>
      </c>
    </row>
    <row r="20" customFormat="false" ht="12.75" hidden="false" customHeight="false" outlineLevel="0" collapsed="false">
      <c r="B20" s="16" t="s">
        <v>58</v>
      </c>
      <c r="C20" s="17" t="s">
        <v>59</v>
      </c>
      <c r="D20" s="18" t="n">
        <v>60.71</v>
      </c>
      <c r="E20" s="18" t="n">
        <v>50.22</v>
      </c>
      <c r="F20" s="31" t="n">
        <v>-0.172788667435348</v>
      </c>
      <c r="G20" s="14"/>
      <c r="M20" s="32"/>
      <c r="W20" s="1" t="n">
        <v>0.75</v>
      </c>
    </row>
    <row r="21" customFormat="false" ht="12.75" hidden="false" customHeight="false" outlineLevel="0" collapsed="false">
      <c r="B21" s="16" t="s">
        <v>60</v>
      </c>
      <c r="C21" s="17" t="s">
        <v>61</v>
      </c>
      <c r="D21" s="18" t="n">
        <v>62.68</v>
      </c>
      <c r="E21" s="18" t="n">
        <v>52.18</v>
      </c>
      <c r="F21" s="31" t="n">
        <v>-0.167517549457562</v>
      </c>
      <c r="G21" s="14"/>
      <c r="H21" s="10" t="s">
        <v>62</v>
      </c>
      <c r="I21" s="33"/>
      <c r="J21" s="33"/>
      <c r="K21" s="33"/>
      <c r="L21" s="33"/>
      <c r="M21" s="32"/>
      <c r="W21" s="1" t="n">
        <v>1</v>
      </c>
    </row>
    <row r="22" customFormat="false" ht="12.75" hidden="false" customHeight="false" outlineLevel="0" collapsed="false">
      <c r="B22" s="16" t="s">
        <v>63</v>
      </c>
      <c r="C22" s="34" t="s">
        <v>64</v>
      </c>
      <c r="D22" s="18" t="n">
        <v>2.925</v>
      </c>
      <c r="E22" s="18" t="n">
        <v>2.637</v>
      </c>
      <c r="F22" s="31" t="n">
        <v>-0.0984615384615384</v>
      </c>
      <c r="G22" s="14"/>
      <c r="H22" s="20" t="s">
        <v>9</v>
      </c>
      <c r="I22" s="17"/>
      <c r="J22" s="22" t="s">
        <v>65</v>
      </c>
      <c r="K22" s="22" t="s">
        <v>66</v>
      </c>
      <c r="L22" s="22" t="n">
        <v>0</v>
      </c>
      <c r="M22" s="23" t="s">
        <v>67</v>
      </c>
    </row>
    <row r="23" customFormat="false" ht="12.75" hidden="false" customHeight="false" outlineLevel="0" collapsed="false">
      <c r="B23" s="16" t="s">
        <v>68</v>
      </c>
      <c r="C23" s="21" t="s">
        <v>69</v>
      </c>
      <c r="D23" s="18" t="n">
        <v>35</v>
      </c>
      <c r="E23" s="18" t="n">
        <v>33.5</v>
      </c>
      <c r="F23" s="31" t="n">
        <v>-0.0428571428571429</v>
      </c>
      <c r="G23" s="14"/>
      <c r="H23" s="20" t="s">
        <v>13</v>
      </c>
      <c r="I23" s="17"/>
      <c r="J23" s="22" t="s">
        <v>70</v>
      </c>
      <c r="K23" s="22" t="n">
        <v>0.00013</v>
      </c>
      <c r="L23" s="22" t="n">
        <v>0.00016</v>
      </c>
      <c r="M23" s="23" t="n">
        <v>0.3</v>
      </c>
      <c r="N23" s="35" t="n">
        <v>0.25</v>
      </c>
      <c r="W23" s="1" t="s">
        <v>71</v>
      </c>
    </row>
    <row r="24" customFormat="false" ht="12.75" hidden="false" customHeight="false" outlineLevel="0" collapsed="false">
      <c r="B24" s="16" t="s">
        <v>72</v>
      </c>
      <c r="C24" s="36" t="s">
        <v>73</v>
      </c>
      <c r="D24" s="18" t="n">
        <v>8.25</v>
      </c>
      <c r="E24" s="18" t="n">
        <v>7.88</v>
      </c>
      <c r="F24" s="31" t="n">
        <v>-0.0448484848484849</v>
      </c>
      <c r="G24" s="14"/>
      <c r="H24" s="20" t="s">
        <v>17</v>
      </c>
      <c r="I24" s="17"/>
      <c r="J24" s="22" t="s">
        <v>74</v>
      </c>
      <c r="K24" s="22" t="n">
        <v>0.00044</v>
      </c>
      <c r="L24" s="22" t="n">
        <v>0.00044</v>
      </c>
      <c r="M24" s="23" t="n">
        <v>0</v>
      </c>
      <c r="N24" s="35" t="n">
        <v>0.5</v>
      </c>
    </row>
    <row r="25" customFormat="false" ht="12.75" hidden="false" customHeight="false" outlineLevel="0" collapsed="false">
      <c r="B25" s="16" t="s">
        <v>75</v>
      </c>
      <c r="C25" s="36" t="s">
        <v>76</v>
      </c>
      <c r="D25" s="18" t="n">
        <v>6.75</v>
      </c>
      <c r="E25" s="18" t="n">
        <v>6.13</v>
      </c>
      <c r="F25" s="31" t="n">
        <v>-0.0918518518518519</v>
      </c>
      <c r="G25" s="14"/>
      <c r="H25" s="20" t="s">
        <v>21</v>
      </c>
      <c r="I25" s="17"/>
      <c r="J25" s="22" t="s">
        <v>77</v>
      </c>
      <c r="K25" s="22" t="n">
        <v>0.00115</v>
      </c>
      <c r="L25" s="22" t="n">
        <v>0.00115</v>
      </c>
      <c r="M25" s="23" t="n">
        <v>0</v>
      </c>
      <c r="N25" s="35" t="n">
        <v>1</v>
      </c>
      <c r="W25" s="37" t="n">
        <v>37200</v>
      </c>
      <c r="X25" s="38" t="n">
        <v>11.17</v>
      </c>
    </row>
    <row r="26" customFormat="false" ht="12.75" hidden="false" customHeight="false" outlineLevel="0" collapsed="false">
      <c r="B26" s="16" t="s">
        <v>78</v>
      </c>
      <c r="C26" s="17" t="s">
        <v>79</v>
      </c>
      <c r="D26" s="18" t="n">
        <v>206.25</v>
      </c>
      <c r="E26" s="18" t="n">
        <v>199</v>
      </c>
      <c r="F26" s="39" t="n">
        <v>-0.0351515151515152</v>
      </c>
      <c r="G26" s="14"/>
      <c r="H26" s="20" t="s">
        <v>25</v>
      </c>
      <c r="I26" s="17"/>
      <c r="J26" s="22" t="s">
        <v>80</v>
      </c>
      <c r="K26" s="22" t="n">
        <v>0.00475</v>
      </c>
      <c r="L26" s="22" t="n">
        <v>0.00504</v>
      </c>
      <c r="M26" s="23" t="n">
        <v>2.9</v>
      </c>
      <c r="N26" s="35" t="n">
        <v>2</v>
      </c>
      <c r="W26" s="37" t="n">
        <v>37201</v>
      </c>
      <c r="X26" s="38" t="n">
        <v>9.67</v>
      </c>
    </row>
    <row r="27" customFormat="false" ht="12.75" hidden="false" customHeight="false" outlineLevel="0" collapsed="false">
      <c r="B27" s="16" t="s">
        <v>81</v>
      </c>
      <c r="C27" s="17" t="s">
        <v>82</v>
      </c>
      <c r="D27" s="18" t="n">
        <v>917</v>
      </c>
      <c r="E27" s="18" t="n">
        <v>900</v>
      </c>
      <c r="F27" s="39" t="n">
        <v>-0.0185387131952017</v>
      </c>
      <c r="G27" s="14"/>
      <c r="H27" s="20" t="s">
        <v>29</v>
      </c>
      <c r="I27" s="17"/>
      <c r="J27" s="22" t="s">
        <v>83</v>
      </c>
      <c r="K27" s="22" t="n">
        <v>0.01324</v>
      </c>
      <c r="L27" s="22" t="n">
        <v>0.01364</v>
      </c>
      <c r="M27" s="23" t="n">
        <v>3.99999999999999</v>
      </c>
      <c r="N27" s="35" t="n">
        <v>5</v>
      </c>
      <c r="W27" s="37" t="n">
        <v>37202</v>
      </c>
      <c r="X27" s="38" t="n">
        <v>9.05</v>
      </c>
    </row>
    <row r="28" customFormat="false" ht="12.75" hidden="false" customHeight="false" outlineLevel="0" collapsed="false">
      <c r="B28" s="16" t="s">
        <v>84</v>
      </c>
      <c r="C28" s="17" t="s">
        <v>85</v>
      </c>
      <c r="D28" s="18" t="n">
        <v>6852</v>
      </c>
      <c r="E28" s="18" t="n">
        <v>6791</v>
      </c>
      <c r="F28" s="39" t="n">
        <v>-0.00890251021599533</v>
      </c>
      <c r="G28" s="14"/>
      <c r="H28" s="20" t="s">
        <v>33</v>
      </c>
      <c r="I28" s="17"/>
      <c r="J28" s="22" t="s">
        <v>86</v>
      </c>
      <c r="K28" s="22" t="n">
        <v>0.02443</v>
      </c>
      <c r="L28" s="22" t="n">
        <v>0.02443</v>
      </c>
      <c r="M28" s="23" t="n">
        <v>0</v>
      </c>
      <c r="N28" s="35" t="n">
        <v>10</v>
      </c>
      <c r="W28" s="37" t="n">
        <v>37203</v>
      </c>
      <c r="X28" s="38" t="n">
        <v>8.41</v>
      </c>
    </row>
    <row r="29" customFormat="false" ht="12.75" hidden="false" customHeight="false" outlineLevel="0" collapsed="false">
      <c r="B29" s="16" t="s">
        <v>87</v>
      </c>
      <c r="C29" s="17" t="s">
        <v>88</v>
      </c>
      <c r="D29" s="18" t="n">
        <v>843</v>
      </c>
      <c r="E29" s="18" t="n">
        <v>830</v>
      </c>
      <c r="F29" s="39" t="n">
        <v>-0.0154211150652432</v>
      </c>
      <c r="G29" s="14"/>
      <c r="H29" s="40" t="s">
        <v>89</v>
      </c>
      <c r="I29" s="33"/>
      <c r="J29" s="33"/>
      <c r="K29" s="33"/>
      <c r="L29" s="33"/>
      <c r="M29" s="32"/>
      <c r="N29" s="35" t="n">
        <v>30</v>
      </c>
      <c r="W29" s="37" t="n">
        <v>37204</v>
      </c>
      <c r="X29" s="38" t="n">
        <v>8.63</v>
      </c>
    </row>
    <row r="30" customFormat="false" ht="12.75" hidden="false" customHeight="false" outlineLevel="0" collapsed="false">
      <c r="A30" s="41"/>
      <c r="B30" s="16" t="s">
        <v>90</v>
      </c>
      <c r="C30" s="17" t="s">
        <v>91</v>
      </c>
      <c r="D30" s="18" t="n">
        <v>932</v>
      </c>
      <c r="E30" s="18" t="n">
        <v>978</v>
      </c>
      <c r="F30" s="39" t="n">
        <v>0.0493562231759657</v>
      </c>
      <c r="G30" s="14"/>
      <c r="H30" s="20" t="s">
        <v>9</v>
      </c>
      <c r="I30" s="17"/>
      <c r="J30" s="22" t="s">
        <v>92</v>
      </c>
      <c r="K30" s="22" t="n">
        <v>0.0008154</v>
      </c>
      <c r="L30" s="22" t="n">
        <v>0.0008154</v>
      </c>
      <c r="M30" s="23" t="n">
        <v>0</v>
      </c>
      <c r="O30" s="37"/>
    </row>
    <row r="31" customFormat="false" ht="12.75" hidden="false" customHeight="false" outlineLevel="0" collapsed="false">
      <c r="A31" s="41"/>
      <c r="B31" s="16" t="s">
        <v>93</v>
      </c>
      <c r="C31" s="17" t="s">
        <v>94</v>
      </c>
      <c r="D31" s="18" t="n">
        <v>277.7</v>
      </c>
      <c r="E31" s="18" t="n">
        <v>274.9</v>
      </c>
      <c r="F31" s="39" t="n">
        <v>-0.0100828231904934</v>
      </c>
      <c r="G31" s="14"/>
      <c r="H31" s="20" t="s">
        <v>13</v>
      </c>
      <c r="I31" s="17"/>
      <c r="J31" s="22" t="s">
        <v>95</v>
      </c>
      <c r="K31" s="22" t="n">
        <v>0.0009231</v>
      </c>
      <c r="L31" s="22" t="n">
        <v>0.0009308</v>
      </c>
      <c r="M31" s="23" t="n">
        <v>0.0769999999999992</v>
      </c>
      <c r="O31" s="37"/>
      <c r="P31" s="42"/>
    </row>
    <row r="32" customFormat="false" ht="12.75" hidden="false" customHeight="false" outlineLevel="0" collapsed="false">
      <c r="A32" s="41"/>
      <c r="B32" s="16" t="s">
        <v>96</v>
      </c>
      <c r="C32" s="17" t="s">
        <v>97</v>
      </c>
      <c r="D32" s="18" t="n">
        <v>422.6</v>
      </c>
      <c r="E32" s="18" t="n">
        <v>427.9</v>
      </c>
      <c r="F32" s="39" t="n">
        <v>0.0125414103170846</v>
      </c>
      <c r="G32" s="14"/>
      <c r="H32" s="20" t="s">
        <v>17</v>
      </c>
      <c r="I32" s="17"/>
      <c r="J32" s="22" t="s">
        <v>98</v>
      </c>
      <c r="K32" s="22" t="n">
        <v>0.0009846</v>
      </c>
      <c r="L32" s="22" t="n">
        <v>0.0009923</v>
      </c>
      <c r="M32" s="23" t="n">
        <v>0.0770000000000003</v>
      </c>
      <c r="O32" s="37"/>
      <c r="P32" s="42"/>
    </row>
    <row r="33" customFormat="false" ht="12.75" hidden="false" customHeight="false" outlineLevel="0" collapsed="false">
      <c r="A33" s="41"/>
      <c r="B33" s="16" t="s">
        <v>99</v>
      </c>
      <c r="C33" s="17" t="s">
        <v>100</v>
      </c>
      <c r="D33" s="18" t="n">
        <v>1308</v>
      </c>
      <c r="E33" s="18" t="n">
        <v>1396</v>
      </c>
      <c r="F33" s="39" t="n">
        <v>0.0672782874617737</v>
      </c>
      <c r="G33" s="14"/>
      <c r="H33" s="43"/>
      <c r="I33" s="43"/>
      <c r="J33" s="33"/>
      <c r="K33" s="33"/>
      <c r="L33" s="33"/>
      <c r="M33" s="32"/>
      <c r="O33" s="37"/>
      <c r="P33" s="42"/>
    </row>
    <row r="34" customFormat="false" ht="12.75" hidden="false" customHeight="false" outlineLevel="0" collapsed="false">
      <c r="A34" s="41"/>
      <c r="B34" s="16" t="s">
        <v>101</v>
      </c>
      <c r="C34" s="17" t="s">
        <v>102</v>
      </c>
      <c r="D34" s="18" t="n">
        <v>492</v>
      </c>
      <c r="E34" s="18" t="n">
        <v>492</v>
      </c>
      <c r="F34" s="39" t="n">
        <v>0</v>
      </c>
      <c r="G34" s="14"/>
      <c r="H34" s="21" t="s">
        <v>103</v>
      </c>
      <c r="I34" s="21"/>
      <c r="J34" s="21" t="s">
        <v>104</v>
      </c>
      <c r="K34" s="22" t="n">
        <v>0.05</v>
      </c>
      <c r="L34" s="22" t="n">
        <v>0.05</v>
      </c>
      <c r="M34" s="23" t="n">
        <v>0</v>
      </c>
      <c r="O34" s="37"/>
      <c r="P34" s="42"/>
    </row>
    <row r="35" customFormat="false" ht="12.75" hidden="false" customHeight="false" outlineLevel="0" collapsed="false">
      <c r="A35" s="41"/>
      <c r="B35" s="16" t="s">
        <v>105</v>
      </c>
      <c r="C35" s="17" t="s">
        <v>106</v>
      </c>
      <c r="D35" s="18" t="n">
        <v>4890</v>
      </c>
      <c r="E35" s="18" t="n">
        <v>5430</v>
      </c>
      <c r="F35" s="39" t="n">
        <v>0.110429447852761</v>
      </c>
      <c r="G35" s="14"/>
      <c r="M35" s="32"/>
      <c r="O35" s="37"/>
      <c r="P35" s="42"/>
    </row>
    <row r="36" customFormat="false" ht="12.75" hidden="false" customHeight="false" outlineLevel="0" collapsed="false">
      <c r="A36" s="41"/>
      <c r="B36" s="16" t="s">
        <v>107</v>
      </c>
      <c r="C36" s="17" t="s">
        <v>108</v>
      </c>
      <c r="D36" s="18" t="n">
        <v>230.1</v>
      </c>
      <c r="E36" s="18" t="n">
        <v>231.2</v>
      </c>
      <c r="F36" s="39" t="n">
        <v>0.00478053020425899</v>
      </c>
      <c r="G36" s="14"/>
      <c r="H36" s="44" t="s">
        <v>109</v>
      </c>
      <c r="I36" s="45"/>
      <c r="J36" s="45"/>
      <c r="K36" s="45"/>
      <c r="L36" s="45"/>
      <c r="M36" s="32"/>
      <c r="O36" s="37"/>
      <c r="P36" s="42"/>
    </row>
    <row r="37" customFormat="false" ht="12.75" hidden="false" customHeight="false" outlineLevel="0" collapsed="false">
      <c r="A37" s="41"/>
      <c r="B37" s="16" t="s">
        <v>110</v>
      </c>
      <c r="C37" s="17" t="s">
        <v>111</v>
      </c>
      <c r="D37" s="18" t="n">
        <v>215</v>
      </c>
      <c r="E37" s="18" t="n">
        <v>215</v>
      </c>
      <c r="F37" s="39" t="n">
        <v>0</v>
      </c>
      <c r="G37" s="14"/>
      <c r="H37" s="21" t="s">
        <v>112</v>
      </c>
      <c r="I37" s="21"/>
      <c r="J37" s="21" t="s">
        <v>113</v>
      </c>
      <c r="K37" s="18" t="n">
        <v>8.63</v>
      </c>
      <c r="L37" s="18" t="n">
        <v>9</v>
      </c>
      <c r="M37" s="46" t="n">
        <v>0.0428736964078794</v>
      </c>
      <c r="O37" s="37"/>
      <c r="P37" s="42"/>
    </row>
    <row r="38" customFormat="false" ht="12.75" hidden="false" customHeight="false" outlineLevel="0" collapsed="false">
      <c r="A38" s="41"/>
      <c r="B38" s="16" t="s">
        <v>114</v>
      </c>
      <c r="C38" s="17" t="s">
        <v>115</v>
      </c>
      <c r="D38" s="18" t="n">
        <v>285</v>
      </c>
      <c r="E38" s="18" t="n">
        <v>285</v>
      </c>
      <c r="F38" s="39" t="n">
        <v>0</v>
      </c>
      <c r="G38" s="14"/>
      <c r="H38" s="21" t="s">
        <v>116</v>
      </c>
      <c r="I38" s="21"/>
      <c r="J38" s="21" t="s">
        <v>117</v>
      </c>
      <c r="K38" s="18" t="n">
        <v>36.61</v>
      </c>
      <c r="L38" s="18" t="n">
        <v>32.73</v>
      </c>
      <c r="M38" s="46" t="n">
        <v>-0.10598197213876</v>
      </c>
      <c r="O38" s="37"/>
      <c r="P38" s="42"/>
    </row>
    <row r="39" customFormat="false" ht="12.75" hidden="false" customHeight="false" outlineLevel="0" collapsed="false">
      <c r="A39" s="41"/>
      <c r="B39" s="47" t="s">
        <v>118</v>
      </c>
      <c r="C39" s="43"/>
      <c r="D39" s="43"/>
      <c r="E39" s="43"/>
      <c r="F39" s="43"/>
      <c r="G39" s="14"/>
      <c r="H39" s="21" t="s">
        <v>119</v>
      </c>
      <c r="I39" s="21"/>
      <c r="J39" s="21" t="s">
        <v>120</v>
      </c>
      <c r="K39" s="18" t="n">
        <v>1.17</v>
      </c>
      <c r="L39" s="18" t="n">
        <v>1.31</v>
      </c>
      <c r="M39" s="46" t="n">
        <v>0.11965811965812</v>
      </c>
    </row>
    <row r="40" customFormat="false" ht="12.75" hidden="false" customHeight="false" outlineLevel="0" collapsed="false">
      <c r="A40" s="41"/>
      <c r="B40" s="16" t="s">
        <v>121</v>
      </c>
      <c r="C40" s="48" t="s">
        <v>122</v>
      </c>
      <c r="D40" s="18" t="n">
        <v>0.87383502</v>
      </c>
      <c r="E40" s="18" t="n">
        <v>0.883385</v>
      </c>
      <c r="F40" s="39" t="n">
        <v>0.0109288135419429</v>
      </c>
      <c r="G40" s="49"/>
      <c r="H40" s="21" t="s">
        <v>123</v>
      </c>
      <c r="I40" s="21"/>
      <c r="J40" s="21" t="s">
        <v>124</v>
      </c>
      <c r="K40" s="18" t="n">
        <v>39.61</v>
      </c>
      <c r="L40" s="18" t="n">
        <v>38.25</v>
      </c>
      <c r="M40" s="46" t="n">
        <v>-0.0343347639484978</v>
      </c>
    </row>
    <row r="41" customFormat="false" ht="12.75" hidden="false" customHeight="false" outlineLevel="0" collapsed="false">
      <c r="A41" s="41"/>
      <c r="B41" s="16" t="s">
        <v>125</v>
      </c>
      <c r="C41" s="48" t="s">
        <v>126</v>
      </c>
      <c r="D41" s="18" t="n">
        <v>1.57783509</v>
      </c>
      <c r="E41" s="18" t="n">
        <v>1.590585</v>
      </c>
      <c r="F41" s="39" t="n">
        <v>0.0080806353470057</v>
      </c>
      <c r="G41" s="33"/>
      <c r="H41" s="21" t="s">
        <v>127</v>
      </c>
      <c r="I41" s="21"/>
      <c r="J41" s="21" t="s">
        <v>128</v>
      </c>
      <c r="K41" s="18" t="n">
        <v>19.44</v>
      </c>
      <c r="L41" s="18" t="n">
        <v>18.5</v>
      </c>
      <c r="M41" s="46" t="n">
        <v>-0.0483539094650206</v>
      </c>
    </row>
    <row r="42" customFormat="false" ht="12.75" hidden="false" customHeight="false" outlineLevel="0" collapsed="false">
      <c r="A42" s="41"/>
      <c r="B42" s="16" t="s">
        <v>129</v>
      </c>
      <c r="C42" s="48" t="s">
        <v>130</v>
      </c>
      <c r="D42" s="18" t="n">
        <v>125.33499512</v>
      </c>
      <c r="E42" s="18" t="n">
        <v>122.715</v>
      </c>
      <c r="F42" s="39" t="n">
        <v>-0.0209039392189829</v>
      </c>
      <c r="G42" s="33"/>
      <c r="H42" s="50"/>
      <c r="I42" s="50"/>
      <c r="J42" s="50"/>
      <c r="K42" s="50"/>
      <c r="L42" s="50"/>
      <c r="M42" s="51"/>
    </row>
    <row r="43" customFormat="false" ht="12.75" hidden="false" customHeight="false" outlineLevel="0" collapsed="false">
      <c r="A43" s="41"/>
      <c r="B43" s="16" t="s">
        <v>131</v>
      </c>
      <c r="C43" s="48" t="s">
        <v>132</v>
      </c>
      <c r="D43" s="18" t="n">
        <v>1.39530496</v>
      </c>
      <c r="E43" s="18" t="n">
        <v>1.424655</v>
      </c>
      <c r="F43" s="39" t="n">
        <v>0.0210348567814164</v>
      </c>
      <c r="G43" s="43"/>
      <c r="H43" s="33"/>
      <c r="I43" s="33"/>
      <c r="J43" s="33"/>
      <c r="K43" s="33"/>
      <c r="L43" s="33"/>
      <c r="M43" s="32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41"/>
      <c r="B44" s="16" t="s">
        <v>133</v>
      </c>
      <c r="C44" s="48" t="s">
        <v>134</v>
      </c>
      <c r="D44" s="18" t="n">
        <v>2.23761086</v>
      </c>
      <c r="E44" s="18" t="n">
        <v>2.21398</v>
      </c>
      <c r="F44" s="39" t="n">
        <v>-0.0105607549652311</v>
      </c>
      <c r="H44" s="43"/>
      <c r="I44" s="43"/>
      <c r="J44" s="43"/>
      <c r="K44" s="43"/>
      <c r="L44" s="43"/>
      <c r="M44" s="52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B45" s="16" t="s">
        <v>135</v>
      </c>
      <c r="C45" s="48" t="s">
        <v>136</v>
      </c>
      <c r="D45" s="18" t="n">
        <v>1.67744509</v>
      </c>
      <c r="E45" s="18" t="n">
        <v>1.658245</v>
      </c>
      <c r="F45" s="39" t="n">
        <v>-0.011446031893658</v>
      </c>
      <c r="H45" s="53" t="s">
        <v>137</v>
      </c>
      <c r="I45" s="54"/>
      <c r="J45" s="54"/>
      <c r="K45" s="55" t="n">
        <v>37197</v>
      </c>
      <c r="L45" s="55" t="n">
        <v>37204</v>
      </c>
      <c r="M45" s="56" t="s">
        <v>4</v>
      </c>
      <c r="N45" s="33"/>
      <c r="O45" s="33"/>
      <c r="P45" s="33"/>
      <c r="Q45" s="33"/>
      <c r="R45" s="33"/>
      <c r="S45" s="33"/>
      <c r="T45" s="33"/>
      <c r="U45" s="33"/>
    </row>
    <row r="46" customFormat="false" ht="12.75" hidden="false" customHeight="false" outlineLevel="0" collapsed="false">
      <c r="B46" s="16" t="s">
        <v>138</v>
      </c>
      <c r="C46" s="48" t="s">
        <v>139</v>
      </c>
      <c r="D46" s="18" t="n">
        <v>7.50468915</v>
      </c>
      <c r="E46" s="18" t="n">
        <v>7.425435</v>
      </c>
      <c r="F46" s="39" t="n">
        <v>-0.0105606172908574</v>
      </c>
      <c r="G46" s="57"/>
      <c r="H46" s="58" t="s">
        <v>140</v>
      </c>
      <c r="I46" s="36"/>
      <c r="J46" s="59"/>
      <c r="K46" s="60" t="n">
        <v>477</v>
      </c>
      <c r="L46" s="60" t="n">
        <v>469</v>
      </c>
      <c r="M46" s="61" t="n">
        <v>-8</v>
      </c>
      <c r="N46" s="33"/>
      <c r="O46" s="33"/>
      <c r="P46" s="33"/>
      <c r="Q46" s="33"/>
      <c r="R46" s="33"/>
      <c r="S46" s="33"/>
      <c r="T46" s="33"/>
      <c r="U46" s="33"/>
    </row>
    <row r="47" customFormat="false" ht="13.5" hidden="false" customHeight="false" outlineLevel="0" collapsed="false">
      <c r="B47" s="62" t="s">
        <v>141</v>
      </c>
      <c r="C47" s="63" t="s">
        <v>142</v>
      </c>
      <c r="D47" s="64" t="n">
        <v>0.52894999</v>
      </c>
      <c r="E47" s="64" t="n">
        <v>0.52145</v>
      </c>
      <c r="F47" s="65" t="n">
        <v>-0.0141790152978356</v>
      </c>
      <c r="G47" s="66"/>
      <c r="H47" s="67" t="s">
        <v>143</v>
      </c>
      <c r="I47" s="68"/>
      <c r="J47" s="69"/>
      <c r="K47" s="70" t="n">
        <v>873</v>
      </c>
      <c r="L47" s="70" t="n">
        <v>850</v>
      </c>
      <c r="M47" s="71" t="n">
        <v>-23</v>
      </c>
    </row>
    <row r="48" customFormat="false" ht="13.5" hidden="false" customHeight="false" outlineLevel="0" collapsed="false"/>
    <row r="49" customFormat="false" ht="15.75" hidden="false" customHeight="false" outlineLevel="0" collapsed="false">
      <c r="B49" s="72" t="s">
        <v>144</v>
      </c>
      <c r="C49" s="73"/>
      <c r="D49" s="74"/>
    </row>
    <row r="50" customFormat="false" ht="15.75" hidden="false" customHeight="false" outlineLevel="0" collapsed="false">
      <c r="B50" s="75" t="s">
        <v>145</v>
      </c>
      <c r="C50" s="76"/>
      <c r="D50" s="77"/>
      <c r="E50" s="78"/>
      <c r="F50" s="78"/>
      <c r="G50" s="79" t="s">
        <v>146</v>
      </c>
      <c r="H50" s="80"/>
      <c r="I50" s="78"/>
      <c r="J50" s="78"/>
      <c r="K50" s="78"/>
      <c r="L50" s="78"/>
      <c r="M50" s="78"/>
      <c r="N50" s="79" t="s">
        <v>147</v>
      </c>
      <c r="O50" s="78"/>
      <c r="P50" s="78"/>
      <c r="Q50" s="78"/>
      <c r="R50" s="78"/>
      <c r="S50" s="81"/>
    </row>
    <row r="51" customFormat="false" ht="12.75" hidden="false" customHeight="false" outlineLevel="0" collapsed="false">
      <c r="B51" s="47" t="s">
        <v>148</v>
      </c>
      <c r="C51" s="40"/>
      <c r="D51" s="33"/>
      <c r="E51" s="33"/>
      <c r="F51" s="33"/>
      <c r="G51" s="82" t="s">
        <v>149</v>
      </c>
      <c r="H51" s="40"/>
      <c r="I51" s="33"/>
      <c r="J51" s="33"/>
      <c r="K51" s="33"/>
      <c r="L51" s="33"/>
      <c r="M51" s="33"/>
      <c r="N51" s="82" t="s">
        <v>149</v>
      </c>
      <c r="O51" s="33"/>
      <c r="P51" s="33"/>
      <c r="Q51" s="33"/>
      <c r="R51" s="33"/>
      <c r="S51" s="32"/>
    </row>
    <row r="52" customFormat="false" ht="12.75" hidden="false" customHeight="false" outlineLevel="0" collapsed="false">
      <c r="B52" s="83" t="s">
        <v>150</v>
      </c>
      <c r="C52" s="41"/>
      <c r="D52" s="33"/>
      <c r="E52" s="33"/>
      <c r="F52" s="33"/>
      <c r="G52" s="84" t="s">
        <v>151</v>
      </c>
      <c r="H52" s="33"/>
      <c r="I52" s="33"/>
      <c r="J52" s="33"/>
      <c r="K52" s="33"/>
      <c r="L52" s="33"/>
      <c r="M52" s="33"/>
      <c r="N52" s="84" t="s">
        <v>152</v>
      </c>
      <c r="O52" s="33"/>
      <c r="P52" s="33"/>
      <c r="Q52" s="33"/>
      <c r="R52" s="33"/>
      <c r="S52" s="32"/>
    </row>
    <row r="53" customFormat="false" ht="12.75" hidden="false" customHeight="false" outlineLevel="0" collapsed="false">
      <c r="B53" s="85" t="s">
        <v>153</v>
      </c>
      <c r="C53" s="41"/>
      <c r="D53" s="33"/>
      <c r="E53" s="33"/>
      <c r="F53" s="33"/>
      <c r="G53" s="84" t="s">
        <v>154</v>
      </c>
      <c r="H53" s="33"/>
      <c r="I53" s="33"/>
      <c r="J53" s="33"/>
      <c r="K53" s="33"/>
      <c r="L53" s="33"/>
      <c r="M53" s="33"/>
      <c r="N53" s="84" t="s">
        <v>155</v>
      </c>
      <c r="O53" s="33"/>
      <c r="P53" s="33"/>
      <c r="Q53" s="33"/>
      <c r="R53" s="33"/>
      <c r="S53" s="32"/>
    </row>
    <row r="54" customFormat="false" ht="12.75" hidden="false" customHeight="false" outlineLevel="0" collapsed="false">
      <c r="B54" s="83" t="s">
        <v>156</v>
      </c>
      <c r="C54" s="41"/>
      <c r="D54" s="33"/>
      <c r="E54" s="33"/>
      <c r="F54" s="33"/>
      <c r="G54" s="84" t="s">
        <v>157</v>
      </c>
      <c r="H54" s="33"/>
      <c r="I54" s="33"/>
      <c r="J54" s="33"/>
      <c r="K54" s="33"/>
      <c r="L54" s="33"/>
      <c r="M54" s="86"/>
      <c r="N54" s="84" t="s">
        <v>158</v>
      </c>
      <c r="O54" s="33"/>
      <c r="P54" s="33"/>
      <c r="Q54" s="33"/>
      <c r="R54" s="33"/>
      <c r="S54" s="32"/>
    </row>
    <row r="55" customFormat="false" ht="15.75" hidden="false" customHeight="false" outlineLevel="0" collapsed="false">
      <c r="B55" s="47" t="s">
        <v>149</v>
      </c>
      <c r="C55" s="40"/>
      <c r="D55" s="33"/>
      <c r="E55" s="33"/>
      <c r="F55" s="33"/>
      <c r="G55" s="87" t="s">
        <v>159</v>
      </c>
      <c r="H55" s="88"/>
      <c r="I55" s="33"/>
      <c r="J55" s="33"/>
      <c r="K55" s="33"/>
      <c r="L55" s="33"/>
      <c r="M55" s="86"/>
      <c r="N55" s="88" t="s">
        <v>160</v>
      </c>
      <c r="O55" s="33"/>
      <c r="P55" s="33"/>
      <c r="Q55" s="33"/>
      <c r="R55" s="33"/>
      <c r="S55" s="32"/>
    </row>
    <row r="56" customFormat="false" ht="12.75" hidden="false" customHeight="false" outlineLevel="0" collapsed="false">
      <c r="B56" s="83" t="s">
        <v>161</v>
      </c>
      <c r="C56" s="33"/>
      <c r="D56" s="33"/>
      <c r="E56" s="33"/>
      <c r="F56" s="33"/>
      <c r="G56" s="82" t="s">
        <v>149</v>
      </c>
      <c r="H56" s="40"/>
      <c r="I56" s="33"/>
      <c r="J56" s="33"/>
      <c r="K56" s="33"/>
      <c r="L56" s="33"/>
      <c r="M56" s="86"/>
      <c r="N56" s="82" t="s">
        <v>149</v>
      </c>
      <c r="O56" s="33"/>
      <c r="P56" s="33"/>
      <c r="Q56" s="33"/>
      <c r="R56" s="33"/>
      <c r="S56" s="32"/>
    </row>
    <row r="57" customFormat="false" ht="12.75" hidden="false" customHeight="false" outlineLevel="0" collapsed="false">
      <c r="B57" s="83" t="s">
        <v>162</v>
      </c>
      <c r="C57" s="33"/>
      <c r="D57" s="33"/>
      <c r="E57" s="33"/>
      <c r="F57" s="33"/>
      <c r="G57" s="84" t="s">
        <v>163</v>
      </c>
      <c r="H57" s="33"/>
      <c r="I57" s="33"/>
      <c r="J57" s="33"/>
      <c r="K57" s="33"/>
      <c r="L57" s="33"/>
      <c r="M57" s="86"/>
      <c r="N57" s="89" t="s">
        <v>164</v>
      </c>
      <c r="O57" s="33"/>
      <c r="P57" s="33"/>
      <c r="Q57" s="33"/>
      <c r="R57" s="33"/>
      <c r="S57" s="32"/>
    </row>
    <row r="58" customFormat="false" ht="13.5" hidden="false" customHeight="false" outlineLevel="0" collapsed="false">
      <c r="B58" s="90" t="s">
        <v>165</v>
      </c>
      <c r="C58" s="91"/>
      <c r="D58" s="91"/>
      <c r="E58" s="91"/>
      <c r="F58" s="91"/>
      <c r="G58" s="92"/>
      <c r="H58" s="91"/>
      <c r="I58" s="91"/>
      <c r="J58" s="91"/>
      <c r="K58" s="91"/>
      <c r="L58" s="91"/>
      <c r="M58" s="93"/>
      <c r="N58" s="91" t="s">
        <v>166</v>
      </c>
      <c r="O58" s="91"/>
      <c r="P58" s="91"/>
      <c r="Q58" s="91"/>
      <c r="R58" s="91"/>
      <c r="S58" s="94"/>
    </row>
    <row r="59" customFormat="false" ht="15.75" hidden="false" customHeight="false" outlineLevel="0" collapsed="false">
      <c r="B59" s="95" t="s">
        <v>167</v>
      </c>
      <c r="C59" s="96"/>
      <c r="D59" s="97"/>
      <c r="G59" s="91"/>
      <c r="H59" s="33"/>
      <c r="L59" s="33"/>
      <c r="M59" s="91"/>
      <c r="N59" s="33"/>
      <c r="O59" s="33"/>
      <c r="P59" s="33"/>
      <c r="Q59" s="33"/>
      <c r="R59" s="33"/>
      <c r="S59" s="33"/>
    </row>
    <row r="60" customFormat="false" ht="15.75" hidden="false" customHeight="false" outlineLevel="0" collapsed="false">
      <c r="B60" s="75" t="s">
        <v>145</v>
      </c>
      <c r="C60" s="76"/>
      <c r="D60" s="77"/>
      <c r="E60" s="78"/>
      <c r="F60" s="78"/>
      <c r="G60" s="79" t="s">
        <v>146</v>
      </c>
      <c r="H60" s="80"/>
      <c r="I60" s="78"/>
      <c r="J60" s="78"/>
      <c r="K60" s="78"/>
      <c r="L60" s="78"/>
      <c r="M60" s="78"/>
      <c r="N60" s="79" t="s">
        <v>147</v>
      </c>
      <c r="O60" s="78"/>
      <c r="P60" s="78"/>
      <c r="Q60" s="78"/>
      <c r="R60" s="78"/>
      <c r="S60" s="81"/>
    </row>
    <row r="61" customFormat="false" ht="12.75" hidden="false" customHeight="false" outlineLevel="0" collapsed="false">
      <c r="B61" s="47" t="s">
        <v>148</v>
      </c>
      <c r="C61" s="40"/>
      <c r="D61" s="33"/>
      <c r="E61" s="33"/>
      <c r="F61" s="33"/>
      <c r="G61" s="82" t="s">
        <v>149</v>
      </c>
      <c r="H61" s="40"/>
      <c r="I61" s="33"/>
      <c r="J61" s="33"/>
      <c r="K61" s="33"/>
      <c r="L61" s="33"/>
      <c r="M61" s="33"/>
      <c r="N61" s="82" t="s">
        <v>149</v>
      </c>
      <c r="O61" s="33"/>
      <c r="P61" s="33"/>
      <c r="Q61" s="33"/>
      <c r="R61" s="33"/>
      <c r="S61" s="32"/>
    </row>
    <row r="62" customFormat="false" ht="12.75" hidden="false" customHeight="false" outlineLevel="0" collapsed="false">
      <c r="B62" s="83" t="s">
        <v>168</v>
      </c>
      <c r="C62" s="41"/>
      <c r="D62" s="33"/>
      <c r="E62" s="33"/>
      <c r="F62" s="33"/>
      <c r="G62" s="84" t="s">
        <v>169</v>
      </c>
      <c r="H62" s="33"/>
      <c r="I62" s="33"/>
      <c r="J62" s="33"/>
      <c r="K62" s="33"/>
      <c r="L62" s="33"/>
      <c r="M62" s="33"/>
      <c r="N62" s="84" t="s">
        <v>170</v>
      </c>
      <c r="O62" s="33"/>
      <c r="P62" s="33"/>
      <c r="Q62" s="33"/>
      <c r="R62" s="33"/>
      <c r="S62" s="32"/>
    </row>
    <row r="63" customFormat="false" ht="12.75" hidden="false" customHeight="false" outlineLevel="0" collapsed="false">
      <c r="B63" s="85" t="s">
        <v>171</v>
      </c>
      <c r="C63" s="41"/>
      <c r="D63" s="33"/>
      <c r="E63" s="33"/>
      <c r="F63" s="33"/>
      <c r="G63" s="84" t="s">
        <v>172</v>
      </c>
      <c r="H63" s="33"/>
      <c r="I63" s="33"/>
      <c r="J63" s="33"/>
      <c r="K63" s="33"/>
      <c r="L63" s="33"/>
      <c r="M63" s="33"/>
      <c r="N63" s="84" t="s">
        <v>173</v>
      </c>
      <c r="O63" s="33"/>
      <c r="P63" s="33"/>
      <c r="Q63" s="33"/>
      <c r="R63" s="33"/>
      <c r="S63" s="32"/>
    </row>
    <row r="64" customFormat="false" ht="12.75" hidden="false" customHeight="false" outlineLevel="0" collapsed="false">
      <c r="B64" s="83" t="s">
        <v>174</v>
      </c>
      <c r="C64" s="41"/>
      <c r="D64" s="33"/>
      <c r="E64" s="33"/>
      <c r="F64" s="33"/>
      <c r="G64" s="84" t="s">
        <v>175</v>
      </c>
      <c r="H64" s="33"/>
      <c r="I64" s="33"/>
      <c r="J64" s="33"/>
      <c r="K64" s="33"/>
      <c r="L64" s="33"/>
      <c r="M64" s="86"/>
      <c r="N64" s="84" t="s">
        <v>176</v>
      </c>
      <c r="O64" s="33"/>
      <c r="P64" s="33"/>
      <c r="Q64" s="33"/>
      <c r="R64" s="33"/>
      <c r="S64" s="32"/>
    </row>
    <row r="65" customFormat="false" ht="15.75" hidden="false" customHeight="false" outlineLevel="0" collapsed="false">
      <c r="B65" s="47" t="s">
        <v>149</v>
      </c>
      <c r="C65" s="40"/>
      <c r="D65" s="33"/>
      <c r="E65" s="33"/>
      <c r="F65" s="33"/>
      <c r="G65" s="87" t="s">
        <v>159</v>
      </c>
      <c r="H65" s="88"/>
      <c r="I65" s="33"/>
      <c r="J65" s="33"/>
      <c r="K65" s="33"/>
      <c r="L65" s="33"/>
      <c r="M65" s="86"/>
      <c r="N65" s="88" t="s">
        <v>160</v>
      </c>
      <c r="O65" s="33"/>
      <c r="P65" s="33"/>
      <c r="Q65" s="33"/>
      <c r="R65" s="33"/>
      <c r="S65" s="32"/>
    </row>
    <row r="66" customFormat="false" ht="12.75" hidden="false" customHeight="false" outlineLevel="0" collapsed="false">
      <c r="B66" s="83" t="s">
        <v>177</v>
      </c>
      <c r="C66" s="33"/>
      <c r="D66" s="33"/>
      <c r="E66" s="33"/>
      <c r="F66" s="33"/>
      <c r="G66" s="82" t="s">
        <v>149</v>
      </c>
      <c r="H66" s="40"/>
      <c r="I66" s="33"/>
      <c r="J66" s="33"/>
      <c r="K66" s="33"/>
      <c r="L66" s="33"/>
      <c r="M66" s="86"/>
      <c r="N66" s="82" t="s">
        <v>149</v>
      </c>
      <c r="O66" s="33"/>
      <c r="P66" s="33"/>
      <c r="Q66" s="33"/>
      <c r="R66" s="33"/>
      <c r="S66" s="32"/>
    </row>
    <row r="67" customFormat="false" ht="12.75" hidden="false" customHeight="false" outlineLevel="0" collapsed="false">
      <c r="B67" s="83" t="s">
        <v>178</v>
      </c>
      <c r="C67" s="33"/>
      <c r="D67" s="33"/>
      <c r="E67" s="33"/>
      <c r="F67" s="33"/>
      <c r="G67" s="84" t="s">
        <v>179</v>
      </c>
      <c r="H67" s="33"/>
      <c r="I67" s="33"/>
      <c r="J67" s="33"/>
      <c r="K67" s="33"/>
      <c r="L67" s="33"/>
      <c r="M67" s="86"/>
      <c r="N67" s="89" t="s">
        <v>180</v>
      </c>
      <c r="O67" s="33"/>
      <c r="P67" s="33"/>
      <c r="Q67" s="33"/>
      <c r="R67" s="33"/>
      <c r="S67" s="32"/>
    </row>
    <row r="68" customFormat="false" ht="13.5" hidden="false" customHeight="false" outlineLevel="0" collapsed="false">
      <c r="B68" s="90" t="s">
        <v>181</v>
      </c>
      <c r="C68" s="91"/>
      <c r="D68" s="91"/>
      <c r="E68" s="91"/>
      <c r="F68" s="91"/>
      <c r="G68" s="92" t="s">
        <v>182</v>
      </c>
      <c r="H68" s="91"/>
      <c r="I68" s="91"/>
      <c r="J68" s="91"/>
      <c r="K68" s="91"/>
      <c r="L68" s="91"/>
      <c r="M68" s="93"/>
      <c r="N68" s="91" t="s">
        <v>183</v>
      </c>
      <c r="O68" s="91"/>
      <c r="P68" s="91"/>
      <c r="Q68" s="91"/>
      <c r="R68" s="91"/>
      <c r="S68" s="94"/>
    </row>
  </sheetData>
  <conditionalFormatting sqref="F5:F15 F17:F25 M37:M41">
    <cfRule type="cellIs" priority="2" operator="greaterThan" aboveAverage="0" equalAverage="0" bottom="0" percent="0" rank="0" text="" dxfId="0">
      <formula>0.001</formula>
    </cfRule>
    <cfRule type="cellIs" priority="3" operator="lessThan" aboveAverage="0" equalAverage="0" bottom="0" percent="0" rank="0" text="" dxfId="1">
      <formula>-0.001</formula>
    </cfRule>
  </conditionalFormatting>
  <conditionalFormatting sqref="F16">
    <cfRule type="cellIs" priority="4" operator="greaterThan" aboveAverage="0" equalAverage="0" bottom="0" percent="0" rank="0" text="" dxfId="2">
      <formula>0</formula>
    </cfRule>
    <cfRule type="cellIs" priority="5" operator="lessThan" aboveAverage="0" equalAverage="0" bottom="0" percent="0" rank="0" text="" dxfId="3">
      <formula>0</formula>
    </cfRule>
  </conditionalFormatting>
  <conditionalFormatting sqref="F41:F48 F26:F39">
    <cfRule type="cellIs" priority="6" operator="greaterThan" aboveAverage="0" equalAverage="0" bottom="0" percent="0" rank="0" text="" dxfId="4">
      <formula>0</formula>
    </cfRule>
    <cfRule type="cellIs" priority="7" operator="lessThan" aboveAverage="0" equalAverage="0" bottom="0" percent="0" rank="0" text="" dxfId="5">
      <formula>0</formula>
    </cfRule>
  </conditionalFormatting>
  <conditionalFormatting sqref="M34 M12">
    <cfRule type="cellIs" priority="8" operator="greaterThan" aboveAverage="0" equalAverage="0" bottom="0" percent="0" rank="0" text="" dxfId="6">
      <formula>0</formula>
    </cfRule>
  </conditionalFormatting>
  <conditionalFormatting sqref="M5:M11 M13:M19 M22:M28 M30:M32">
    <cfRule type="cellIs" priority="9" operator="lessThan" aboveAverage="0" equalAverage="0" bottom="0" percent="0" rank="0" text="" dxfId="7">
      <formula>0</formula>
    </cfRule>
  </conditionalFormatting>
  <printOptions headings="false" gridLines="false" gridLinesSet="true" horizontalCentered="false" verticalCentered="false"/>
  <pageMargins left="0" right="0" top="0.5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&amp;L&amp;F&amp;R&amp;D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U79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.7"/>
    <col collapsed="false" customWidth="true" hidden="false" outlineLevel="0" max="2" min="2" style="1" width="36.99"/>
    <col collapsed="false" customWidth="true" hidden="false" outlineLevel="0" max="3" min="3" style="1" width="33.56"/>
    <col collapsed="false" customWidth="true" hidden="false" outlineLevel="0" max="5" min="4" style="1" width="15.13"/>
    <col collapsed="false" customWidth="true" hidden="false" outlineLevel="0" max="6" min="6" style="1" width="10.99"/>
    <col collapsed="false" customWidth="true" hidden="false" outlineLevel="0" max="7" min="7" style="1" width="2.28"/>
    <col collapsed="false" customWidth="true" hidden="false" outlineLevel="0" max="8" min="8" style="1" width="9.85"/>
    <col collapsed="false" customWidth="true" hidden="false" outlineLevel="0" max="9" min="9" style="1" width="20.41"/>
    <col collapsed="false" customWidth="true" hidden="false" outlineLevel="0" max="10" min="10" style="1" width="17.14"/>
    <col collapsed="false" customWidth="true" hidden="false" outlineLevel="0" max="12" min="11" style="1" width="15.28"/>
    <col collapsed="false" customWidth="true" hidden="false" outlineLevel="0" max="13" min="13" style="1" width="13.28"/>
    <col collapsed="false" customWidth="true" hidden="false" outlineLevel="0" max="14" min="14" style="1" width="9.56"/>
    <col collapsed="false" customWidth="true" hidden="false" outlineLevel="0" max="15" min="15" style="1" width="10.41"/>
    <col collapsed="false" customWidth="true" hidden="false" outlineLevel="0" max="16" min="16" style="1" width="9.28"/>
    <col collapsed="false" customWidth="false" hidden="false" outlineLevel="0" max="18" min="17" style="1" width="9.14"/>
    <col collapsed="false" customWidth="true" hidden="false" outlineLevel="0" max="19" min="19" style="1" width="15.85"/>
    <col collapsed="false" customWidth="false" hidden="false" outlineLevel="0" max="20" min="20" style="1" width="9.14"/>
    <col collapsed="false" customWidth="true" hidden="false" outlineLevel="0" max="21" min="21" style="1" width="12.7"/>
    <col collapsed="false" customWidth="false" hidden="false" outlineLevel="0" max="22" min="22" style="1" width="9.14"/>
    <col collapsed="false" customWidth="true" hidden="false" outlineLevel="0" max="23" min="23" style="1" width="10.71"/>
    <col collapsed="false" customWidth="true" hidden="false" outlineLevel="0" max="24" min="24" style="1" width="9.28"/>
    <col collapsed="false" customWidth="false" hidden="false" outlineLevel="0" max="257" min="25" style="1" width="9.14"/>
  </cols>
  <sheetData>
    <row r="1" customFormat="false" ht="26.25" hidden="false" customHeight="false" outlineLevel="0" collapsed="false">
      <c r="B1" s="2" t="s">
        <v>0</v>
      </c>
      <c r="C1" s="3"/>
      <c r="F1" s="0"/>
      <c r="G1" s="0"/>
      <c r="H1" s="0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13.5" hidden="false" customHeight="false" outlineLevel="0" collapsed="false"/>
    <row r="3" customFormat="false" ht="15" hidden="false" customHeight="false" outlineLevel="0" collapsed="false">
      <c r="B3" s="4" t="s">
        <v>1</v>
      </c>
      <c r="C3" s="5"/>
      <c r="D3" s="6" t="n">
        <f aca="false">E3-7</f>
        <v>45919</v>
      </c>
      <c r="E3" s="6" t="n">
        <f aca="true">TODAY()</f>
        <v>45926</v>
      </c>
      <c r="F3" s="6" t="s">
        <v>2</v>
      </c>
      <c r="G3" s="7"/>
      <c r="H3" s="5" t="s">
        <v>3</v>
      </c>
      <c r="I3" s="7"/>
      <c r="J3" s="7"/>
      <c r="K3" s="6" t="n">
        <f aca="false">D3</f>
        <v>45919</v>
      </c>
      <c r="L3" s="6" t="n">
        <f aca="false">E3</f>
        <v>45926</v>
      </c>
      <c r="M3" s="8" t="s">
        <v>4</v>
      </c>
    </row>
    <row r="4" customFormat="false" ht="12.75" hidden="false" customHeight="false" outlineLevel="0" collapsed="false">
      <c r="B4" s="9" t="s">
        <v>5</v>
      </c>
      <c r="C4" s="10"/>
      <c r="D4" s="11"/>
      <c r="E4" s="11"/>
      <c r="F4" s="11"/>
      <c r="G4" s="12"/>
      <c r="H4" s="13" t="s">
        <v>6</v>
      </c>
      <c r="I4" s="14"/>
      <c r="J4" s="14"/>
      <c r="K4" s="14"/>
      <c r="L4" s="14"/>
      <c r="M4" s="15"/>
    </row>
    <row r="5" customFormat="false" ht="12.75" hidden="false" customHeight="false" outlineLevel="0" collapsed="false">
      <c r="B5" s="16" t="s">
        <v>7</v>
      </c>
      <c r="C5" s="17" t="s">
        <v>8</v>
      </c>
      <c r="D5" s="18" t="n">
        <f aca="false">DDE("BLP","M","INDU Index,[PX_close_5d]")</f>
        <v>9608</v>
      </c>
      <c r="E5" s="18" t="n">
        <f aca="false">DDE("BLP","M","INDU Index,[PX_last]")</f>
        <v>9866.99</v>
      </c>
      <c r="F5" s="19" t="n">
        <f aca="false">(E5-D5)/D5</f>
        <v>0.0269556619483763</v>
      </c>
      <c r="G5" s="14"/>
      <c r="H5" s="20" t="s">
        <v>9</v>
      </c>
      <c r="I5" s="17"/>
      <c r="J5" s="21" t="s">
        <v>10</v>
      </c>
      <c r="K5" s="22" t="n">
        <v>0.01828</v>
      </c>
      <c r="L5" s="22" t="n">
        <f aca="false">(1/100)*DDE("BLP","M","'CB03 Govt,&lt;CUSIP&gt;[YLD_YTM_MID]'")</f>
        <v>0.01933</v>
      </c>
      <c r="M5" s="23" t="n">
        <f aca="false">(L5-K5)*10000</f>
        <v>10.5</v>
      </c>
    </row>
    <row r="6" customFormat="false" ht="12.75" hidden="false" customHeight="false" outlineLevel="0" collapsed="false">
      <c r="B6" s="16" t="s">
        <v>11</v>
      </c>
      <c r="C6" s="17" t="s">
        <v>12</v>
      </c>
      <c r="D6" s="18" t="n">
        <f aca="false">DDE("BLP","M","ccmp Index,[PX_close_5d]")</f>
        <v>1828.48</v>
      </c>
      <c r="E6" s="18" t="n">
        <f aca="false">DDE("BLP","M","ccmp Index,[PX_last]")</f>
        <v>1898.58</v>
      </c>
      <c r="F6" s="19" t="n">
        <f aca="false">(E6-D6)/D6</f>
        <v>0.0383378543927196</v>
      </c>
      <c r="G6" s="14"/>
      <c r="H6" s="20" t="s">
        <v>13</v>
      </c>
      <c r="I6" s="17"/>
      <c r="J6" s="21" t="s">
        <v>14</v>
      </c>
      <c r="K6" s="22" t="n">
        <v>0.01815</v>
      </c>
      <c r="L6" s="22" t="n">
        <f aca="false">(1/100)*DDE("BLP","M","'CB06 Govt,&lt;CUSIP&gt;[YLD_YTM_MID]'")</f>
        <v>0.02046</v>
      </c>
      <c r="M6" s="23" t="n">
        <f aca="false">(L6-K6)*10000</f>
        <v>23.1</v>
      </c>
      <c r="W6" s="24"/>
    </row>
    <row r="7" customFormat="false" ht="12.75" hidden="false" customHeight="false" outlineLevel="0" collapsed="false">
      <c r="B7" s="16" t="s">
        <v>15</v>
      </c>
      <c r="C7" s="17" t="s">
        <v>16</v>
      </c>
      <c r="D7" s="18" t="n">
        <f aca="false">DDE("BLP","M","ndq Index,[PX_close_5d]")</f>
        <v>1514.96</v>
      </c>
      <c r="E7" s="18" t="n">
        <f aca="false">DDE("BLP","M","ndq Index,[PX_last]")</f>
        <v>1582.14</v>
      </c>
      <c r="F7" s="19" t="n">
        <f aca="false">(E7-D7)/D7</f>
        <v>0.0443444051328088</v>
      </c>
      <c r="G7" s="14"/>
      <c r="H7" s="20" t="s">
        <v>17</v>
      </c>
      <c r="I7" s="17"/>
      <c r="J7" s="21" t="s">
        <v>18</v>
      </c>
      <c r="K7" s="22" t="n">
        <v>0.0196</v>
      </c>
      <c r="L7" s="22" t="n">
        <f aca="false">(1/100)*DDE("BLP","M","'CB12 Govt,&lt;CUSIP&gt;[YLD_YTM_MID]'")</f>
        <v>0.02303</v>
      </c>
      <c r="M7" s="23" t="n">
        <f aca="false">(L7-K7)*10000</f>
        <v>34.3</v>
      </c>
    </row>
    <row r="8" customFormat="false" ht="12.75" hidden="false" customHeight="false" outlineLevel="0" collapsed="false">
      <c r="B8" s="16" t="s">
        <v>19</v>
      </c>
      <c r="C8" s="17" t="s">
        <v>20</v>
      </c>
      <c r="D8" s="18" t="n">
        <f aca="false">DDE("BLP","M","spx Index,[PX_close_5d]")</f>
        <v>1120.31</v>
      </c>
      <c r="E8" s="18" t="n">
        <f aca="false">DDE("BLP","M","spx Index,[PX_last]")</f>
        <v>1138.65</v>
      </c>
      <c r="F8" s="19" t="n">
        <f aca="false">(E8-D8)/D8</f>
        <v>0.0163704688880758</v>
      </c>
      <c r="G8" s="14"/>
      <c r="H8" s="20" t="s">
        <v>21</v>
      </c>
      <c r="I8" s="17"/>
      <c r="J8" s="21" t="s">
        <v>22</v>
      </c>
      <c r="K8" s="22" t="n">
        <v>0.02434</v>
      </c>
      <c r="L8" s="22" t="n">
        <f aca="false">(1/100)*DDE("BLP","M","'CT02 Govt,&lt;CUSIP&gt;[YLD_YTM_MID]'")</f>
        <v>0.03053</v>
      </c>
      <c r="M8" s="23" t="n">
        <f aca="false">(L8-K8)*10000</f>
        <v>61.9</v>
      </c>
    </row>
    <row r="9" customFormat="false" ht="12.75" hidden="false" customHeight="false" outlineLevel="0" collapsed="false">
      <c r="B9" s="16" t="s">
        <v>23</v>
      </c>
      <c r="C9" s="17" t="s">
        <v>24</v>
      </c>
      <c r="D9" s="18" t="n">
        <f aca="false">DDE("BLP","M","rty Index,[PX_close_5d]")</f>
        <v>438.1</v>
      </c>
      <c r="E9" s="18" t="n">
        <f aca="false">DDE("BLP","M","rty Index,[PX_last]")</f>
        <v>451.31</v>
      </c>
      <c r="F9" s="19" t="n">
        <f aca="false">(E9-D9)/D9</f>
        <v>0.0301529331202921</v>
      </c>
      <c r="G9" s="14"/>
      <c r="H9" s="20" t="s">
        <v>25</v>
      </c>
      <c r="I9" s="17"/>
      <c r="J9" s="21" t="s">
        <v>26</v>
      </c>
      <c r="K9" s="22" t="n">
        <v>0.03553</v>
      </c>
      <c r="L9" s="22" t="n">
        <f aca="false">(1/100)*DDE("BLP","M","'CT05 Govt,&lt;CUSIP&gt;[YLD_YTM_MID]'")</f>
        <v>0.04235</v>
      </c>
      <c r="M9" s="23" t="n">
        <f aca="false">(L9-K9)*10000</f>
        <v>68.2000000000001</v>
      </c>
    </row>
    <row r="10" customFormat="false" ht="12.75" hidden="false" customHeight="false" outlineLevel="0" collapsed="false">
      <c r="B10" s="16" t="s">
        <v>27</v>
      </c>
      <c r="C10" s="17" t="s">
        <v>28</v>
      </c>
      <c r="D10" s="18" t="n">
        <f aca="false">DDE("BLP","M","tmw Index,[PX_close_5d]")</f>
        <v>10297.21</v>
      </c>
      <c r="E10" s="18" t="n">
        <f aca="false">DDE("BLP","M","tmw Index,[PX_last]")</f>
        <v>10486.67</v>
      </c>
      <c r="F10" s="19" t="n">
        <f aca="false">(E10-D10)/D10</f>
        <v>0.0183991586070403</v>
      </c>
      <c r="G10" s="14"/>
      <c r="H10" s="20" t="s">
        <v>29</v>
      </c>
      <c r="I10" s="17"/>
      <c r="J10" s="21" t="s">
        <v>30</v>
      </c>
      <c r="K10" s="22" t="n">
        <v>0.04307</v>
      </c>
      <c r="L10" s="22" t="n">
        <f aca="false">(1/100)*DDE("BLP","M","'CT10 Govt,&lt;CUSIP&gt;[YLD_YTM_MID]'")</f>
        <v>0.04891</v>
      </c>
      <c r="M10" s="23" t="n">
        <f aca="false">(L10-K10)*10000</f>
        <v>58.4</v>
      </c>
    </row>
    <row r="11" customFormat="false" ht="12.75" hidden="false" customHeight="false" outlineLevel="0" collapsed="false">
      <c r="B11" s="16" t="s">
        <v>31</v>
      </c>
      <c r="C11" s="17" t="s">
        <v>32</v>
      </c>
      <c r="D11" s="18" t="n">
        <f aca="false">DDE("BLP","M","ts300 Index,[PX_close_5d]")</f>
        <v>7140.79</v>
      </c>
      <c r="E11" s="18" t="n">
        <f aca="false">DDE("BLP","M","ts300 Index,[PX_last]")</f>
        <v>7315.3</v>
      </c>
      <c r="F11" s="19" t="n">
        <f aca="false">(E11-D11)/D11</f>
        <v>0.0244384724939398</v>
      </c>
      <c r="G11" s="14"/>
      <c r="H11" s="20" t="s">
        <v>33</v>
      </c>
      <c r="I11" s="17"/>
      <c r="J11" s="21" t="s">
        <v>34</v>
      </c>
      <c r="K11" s="22" t="n">
        <v>0.04876</v>
      </c>
      <c r="L11" s="22" t="n">
        <f aca="false">(1/100)*DDE("BLP","M","'CT30 Govt,&lt;CUSIP&gt;[YLD_YTM_MID]'")</f>
        <v>0.05303</v>
      </c>
      <c r="M11" s="23" t="n">
        <f aca="false">(L11-K11)*10000</f>
        <v>42.7</v>
      </c>
    </row>
    <row r="12" customFormat="false" ht="12.75" hidden="false" customHeight="false" outlineLevel="0" collapsed="false">
      <c r="B12" s="16" t="s">
        <v>35</v>
      </c>
      <c r="C12" s="17" t="s">
        <v>36</v>
      </c>
      <c r="D12" s="18" t="n">
        <f aca="false">DDE("BLP","M","ukx Index,[PX_close_5d]")</f>
        <v>5244.2</v>
      </c>
      <c r="E12" s="18" t="n">
        <f aca="false">DDE("BLP","M","ukx Index,[PX_last]")</f>
        <v>5291</v>
      </c>
      <c r="F12" s="19" t="n">
        <f aca="false">(E12-D12)/D12</f>
        <v>0.00892414476945963</v>
      </c>
      <c r="G12" s="14"/>
      <c r="H12" s="13" t="s">
        <v>37</v>
      </c>
      <c r="I12" s="14"/>
      <c r="J12" s="14"/>
      <c r="K12" s="25"/>
      <c r="L12" s="25"/>
      <c r="M12" s="26"/>
    </row>
    <row r="13" customFormat="false" ht="12.75" hidden="false" customHeight="false" outlineLevel="0" collapsed="false">
      <c r="B13" s="16" t="s">
        <v>38</v>
      </c>
      <c r="C13" s="17" t="s">
        <v>39</v>
      </c>
      <c r="D13" s="18" t="n">
        <f aca="false">DDE("BLP","M","nky Index,[PX_close_5d]")</f>
        <v>10215.71</v>
      </c>
      <c r="E13" s="18" t="n">
        <f aca="false">DDE("BLP","M","nky Index,[PX_last]")</f>
        <v>10649.09</v>
      </c>
      <c r="F13" s="19" t="n">
        <f aca="false">(E13-D13)/D13</f>
        <v>0.0424228957164995</v>
      </c>
      <c r="G13" s="14"/>
      <c r="H13" s="20" t="s">
        <v>9</v>
      </c>
      <c r="I13" s="27"/>
      <c r="J13" s="28" t="s">
        <v>40</v>
      </c>
      <c r="K13" s="22" t="n">
        <f aca="false">(1/100)*DDE("BLP","M","'US0003M Index,[PX_CLOSE_5D]'")</f>
        <v>0.0201625</v>
      </c>
      <c r="L13" s="22" t="n">
        <f aca="false">(1/100)*DDE("BLP","M","'US0003M Index,[PX_LAST]'")</f>
        <v>0.0213875</v>
      </c>
      <c r="M13" s="23" t="n">
        <f aca="false">(L13-K13)*10000</f>
        <v>12.25</v>
      </c>
    </row>
    <row r="14" customFormat="false" ht="12.75" hidden="false" customHeight="false" outlineLevel="0" collapsed="false">
      <c r="B14" s="16" t="s">
        <v>41</v>
      </c>
      <c r="C14" s="17" t="s">
        <v>42</v>
      </c>
      <c r="D14" s="18" t="n">
        <f aca="false">DDE("BLP","M","dax Index,[PX_close_5d]")</f>
        <v>4910.07</v>
      </c>
      <c r="E14" s="18" t="n">
        <f aca="false">DDE("BLP","M","dax Index,[PX_last]")</f>
        <v>5062.64</v>
      </c>
      <c r="F14" s="19" t="n">
        <f aca="false">(E14-D14)/D14</f>
        <v>0.0310728767614312</v>
      </c>
      <c r="G14" s="14"/>
      <c r="H14" s="20" t="s">
        <v>13</v>
      </c>
      <c r="I14" s="27"/>
      <c r="J14" s="28" t="s">
        <v>43</v>
      </c>
      <c r="K14" s="22" t="n">
        <f aca="false">(1/100)*DDE("BLP","M","'US0006M Index,[PX_CLOSE_5D]'")</f>
        <v>0.0197</v>
      </c>
      <c r="L14" s="22" t="n">
        <f aca="false">(1/100)*DDE("BLP","M","'US0006M Index,[PX_LAST]'")</f>
        <v>0.0217</v>
      </c>
      <c r="M14" s="23" t="n">
        <f aca="false">(L14-K14)*10000</f>
        <v>20</v>
      </c>
    </row>
    <row r="15" customFormat="false" ht="12.75" hidden="false" customHeight="false" outlineLevel="0" collapsed="false">
      <c r="B15" s="16" t="s">
        <v>44</v>
      </c>
      <c r="C15" s="17" t="s">
        <v>45</v>
      </c>
      <c r="D15" s="18" t="n">
        <f aca="false">DDE("BLP","M","cac Index,[PX_close_5d]")</f>
        <v>4514.28</v>
      </c>
      <c r="E15" s="18" t="n">
        <f aca="false">DDE("BLP","M","cac Index,[PX_last]")</f>
        <v>4587.3</v>
      </c>
      <c r="F15" s="19" t="n">
        <f aca="false">(E15-D15)/D15</f>
        <v>0.0161753369308063</v>
      </c>
      <c r="G15" s="14"/>
      <c r="H15" s="20" t="s">
        <v>17</v>
      </c>
      <c r="I15" s="27"/>
      <c r="J15" s="28" t="s">
        <v>46</v>
      </c>
      <c r="K15" s="22" t="n">
        <f aca="false">(1/100)*DDE("BLP","M","'US0012M Index,[PX_CLOSE_5D]'")</f>
        <v>0.0212</v>
      </c>
      <c r="L15" s="22" t="n">
        <f aca="false">(1/100)*DDE("BLP","M","'US0012M Index,[PX_LAST]'")</f>
        <v>0.025025</v>
      </c>
      <c r="M15" s="23" t="n">
        <f aca="false">(L15-K15)*10000</f>
        <v>38.25</v>
      </c>
    </row>
    <row r="16" customFormat="false" ht="12.75" hidden="false" customHeight="false" outlineLevel="0" collapsed="false">
      <c r="B16" s="29" t="s">
        <v>47</v>
      </c>
      <c r="C16" s="13"/>
      <c r="D16" s="14"/>
      <c r="E16" s="14"/>
      <c r="F16" s="30"/>
      <c r="G16" s="14"/>
      <c r="H16" s="20" t="s">
        <v>21</v>
      </c>
      <c r="I16" s="27"/>
      <c r="J16" s="28" t="s">
        <v>48</v>
      </c>
      <c r="K16" s="22" t="n">
        <f aca="false">(1/100)*DDE("BLP","M","'USSW2 Index,[PX_CLOSE_5D]'")</f>
        <v>0.0283800006</v>
      </c>
      <c r="L16" s="22" t="n">
        <f aca="false">(1/100)*DDE("BLP","M","'USSW2 Index,[PX_LAST]'")</f>
        <v>0.0347600007</v>
      </c>
      <c r="M16" s="23" t="n">
        <f aca="false">(L16-K16)*10000</f>
        <v>63.800001</v>
      </c>
    </row>
    <row r="17" customFormat="false" ht="12.75" hidden="false" customHeight="false" outlineLevel="0" collapsed="false">
      <c r="B17" s="16" t="s">
        <v>49</v>
      </c>
      <c r="C17" s="17" t="s">
        <v>50</v>
      </c>
      <c r="D17" s="18" t="n">
        <f aca="false">DDE("BLP","M","OW1 Comdty,[PX_Close_5d]")</f>
        <v>36.5</v>
      </c>
      <c r="E17" s="18" t="n">
        <f aca="false">DDE("BLP","M","OW1 Comdty,[PX_SETTLE]")</f>
        <v>31.5</v>
      </c>
      <c r="F17" s="31" t="n">
        <f aca="false">(E17-D17)/D17</f>
        <v>-0.136986301369863</v>
      </c>
      <c r="G17" s="14"/>
      <c r="H17" s="20" t="s">
        <v>25</v>
      </c>
      <c r="I17" s="27"/>
      <c r="J17" s="28" t="s">
        <v>51</v>
      </c>
      <c r="K17" s="22" t="n">
        <f aca="false">(1/100)*DDE("BLP","M","'USSW5 Index,[PX_CLOSE_5D]'")</f>
        <v>0.0420800018</v>
      </c>
      <c r="L17" s="22" t="n">
        <f aca="false">(1/100)*DDE("BLP","M","'USSW5 Index,[PX_LAST]'")</f>
        <v>0.0486299992</v>
      </c>
      <c r="M17" s="23" t="n">
        <f aca="false">(L17-K17)*10000</f>
        <v>65.499974</v>
      </c>
    </row>
    <row r="18" customFormat="false" ht="12.75" hidden="false" customHeight="false" outlineLevel="0" collapsed="false">
      <c r="B18" s="16" t="s">
        <v>52</v>
      </c>
      <c r="C18" s="17" t="s">
        <v>53</v>
      </c>
      <c r="D18" s="18" t="n">
        <f aca="false">DDE("BLP","M","CL1 Comdty,[PX_close_5d]")</f>
        <v>22.22</v>
      </c>
      <c r="E18" s="18" t="n">
        <f aca="false">DDE("BLP","M","CL1 Comdty,[PX_SETTLE]")</f>
        <v>18.03</v>
      </c>
      <c r="F18" s="31" t="n">
        <f aca="false">(E18-D18)/D18</f>
        <v>-0.188568856885688</v>
      </c>
      <c r="G18" s="14"/>
      <c r="H18" s="20" t="s">
        <v>29</v>
      </c>
      <c r="I18" s="17"/>
      <c r="J18" s="28" t="s">
        <v>54</v>
      </c>
      <c r="K18" s="22" t="n">
        <f aca="false">(1/100)*DDE("BLP","M","'USSW10 Index,[PX_CLOSE_5D]'")</f>
        <v>0.0490799999</v>
      </c>
      <c r="L18" s="22" t="n">
        <f aca="false">(1/100)*DDE("BLP","M","'USSW10 Index,[PX_LAST]'")</f>
        <v>0.0551599979</v>
      </c>
      <c r="M18" s="23" t="n">
        <f aca="false">(L18-K18)*10000</f>
        <v>60.79998</v>
      </c>
      <c r="W18" s="1" t="n">
        <v>0.25</v>
      </c>
    </row>
    <row r="19" customFormat="false" ht="12.75" hidden="false" customHeight="false" outlineLevel="0" collapsed="false">
      <c r="B19" s="16" t="s">
        <v>55</v>
      </c>
      <c r="C19" s="17" t="s">
        <v>56</v>
      </c>
      <c r="D19" s="18" t="n">
        <f aca="false">DDE("BLP","M","CO1 Comdty,[PX_close_5d]")</f>
        <v>21.38</v>
      </c>
      <c r="E19" s="18" t="n">
        <f aca="false">DDE("BLP","M","CO1 Comdty,[PX_SETTLE]")</f>
        <v>17.75</v>
      </c>
      <c r="F19" s="31" t="n">
        <f aca="false">(E19-D19)/D19</f>
        <v>-0.16978484565014</v>
      </c>
      <c r="G19" s="14"/>
      <c r="H19" s="20" t="s">
        <v>33</v>
      </c>
      <c r="I19" s="17"/>
      <c r="J19" s="28" t="s">
        <v>57</v>
      </c>
      <c r="K19" s="22" t="n">
        <f aca="false">(1/100)*DDE("BLP","M","'USSW30 Index,[PX_CLOSE_5D]'")</f>
        <v>0.0546799994</v>
      </c>
      <c r="L19" s="22" t="n">
        <f aca="false">(1/100)*DDE("BLP","M","'USSW30 Index,[PX_LAST]'")</f>
        <v>0.0591499996</v>
      </c>
      <c r="M19" s="23" t="n">
        <f aca="false">(L19-K19)*10000</f>
        <v>44.700002</v>
      </c>
      <c r="W19" s="1" t="n">
        <v>0.5</v>
      </c>
    </row>
    <row r="20" customFormat="false" ht="12.75" hidden="false" customHeight="false" outlineLevel="0" collapsed="false">
      <c r="B20" s="16" t="s">
        <v>58</v>
      </c>
      <c r="C20" s="17" t="s">
        <v>59</v>
      </c>
      <c r="D20" s="18" t="n">
        <f aca="false">DDE("BLP","M","HU1 Comdty,[PX_close_5d]")</f>
        <v>60.71</v>
      </c>
      <c r="E20" s="18" t="n">
        <f aca="false">DDE("BLP","M","HU1 Comdty,[PX_SETTLE]")</f>
        <v>50.22</v>
      </c>
      <c r="F20" s="31" t="n">
        <f aca="false">(E20-D20)/D20</f>
        <v>-0.172788667435348</v>
      </c>
      <c r="G20" s="14"/>
      <c r="M20" s="32"/>
      <c r="W20" s="1" t="n">
        <v>0.75</v>
      </c>
    </row>
    <row r="21" customFormat="false" ht="12.75" hidden="false" customHeight="false" outlineLevel="0" collapsed="false">
      <c r="B21" s="16" t="s">
        <v>60</v>
      </c>
      <c r="C21" s="17" t="s">
        <v>61</v>
      </c>
      <c r="D21" s="18" t="n">
        <f aca="false">DDE("BLP","M","HO1 Comdty,[PX_close_5d]")</f>
        <v>62.68</v>
      </c>
      <c r="E21" s="18" t="n">
        <f aca="false">DDE("BLP","M","HO1 Comdty,[PX_SETTLE]")</f>
        <v>52.18</v>
      </c>
      <c r="F21" s="31" t="n">
        <f aca="false">(E21-D21)/D21</f>
        <v>-0.167517549457562</v>
      </c>
      <c r="G21" s="14"/>
      <c r="H21" s="10" t="s">
        <v>62</v>
      </c>
      <c r="I21" s="33"/>
      <c r="J21" s="33"/>
      <c r="K21" s="33"/>
      <c r="L21" s="33"/>
      <c r="M21" s="32"/>
      <c r="W21" s="1" t="n">
        <v>1</v>
      </c>
    </row>
    <row r="22" customFormat="false" ht="12.75" hidden="false" customHeight="false" outlineLevel="0" collapsed="false">
      <c r="B22" s="16" t="s">
        <v>63</v>
      </c>
      <c r="C22" s="34" t="s">
        <v>64</v>
      </c>
      <c r="D22" s="18" t="n">
        <f aca="false">DDE("BLP","M","NG1 Comdty,[PX_close_5d]")</f>
        <v>2.925</v>
      </c>
      <c r="E22" s="18" t="n">
        <f aca="false">DDE("BLP","M","NG1 Comdty,[PX_SETTLE]")</f>
        <v>2.637</v>
      </c>
      <c r="F22" s="31" t="n">
        <f aca="false">(E22-D22)/D22</f>
        <v>-0.0984615384615384</v>
      </c>
      <c r="G22" s="14"/>
      <c r="H22" s="20" t="s">
        <v>9</v>
      </c>
      <c r="I22" s="17"/>
      <c r="J22" s="22" t="s">
        <v>65</v>
      </c>
      <c r="K22" s="22" t="s">
        <v>66</v>
      </c>
      <c r="L22" s="22" t="e">
        <f aca="false">1/100*([1]!BLP,J22,REF!B2,,,DDE("BLP","M","GJTB3MO Index,[PX_LAST]"))</f>
        <v>#NAME?</v>
      </c>
      <c r="M22" s="23" t="s">
        <v>67</v>
      </c>
    </row>
    <row r="23" customFormat="false" ht="12.75" hidden="false" customHeight="false" outlineLevel="0" collapsed="false">
      <c r="B23" s="16" t="s">
        <v>68</v>
      </c>
      <c r="C23" s="21" t="s">
        <v>69</v>
      </c>
      <c r="D23" s="18" t="e">
        <f aca="false" t="array" ref="D23:D23">([1]!BLP,C23,REF!$B$3,,,DDE("BLP","M","COALBGSD Index,[PX_CLOSE_5D]"))</f>
        <v>#NAME?</v>
      </c>
      <c r="E23" s="18" t="e">
        <f aca="false" t="array" ref="E23:E23">([1]!BLP,C23,REF!$B$2,,,DDE("BLP","M","COALBGSD Index,[PX_LAST]"))</f>
        <v>#NAME?</v>
      </c>
      <c r="F23" s="31" t="e">
        <f aca="false">(E23-D23)/D23</f>
        <v>#NAME?</v>
      </c>
      <c r="G23" s="14"/>
      <c r="H23" s="20" t="s">
        <v>13</v>
      </c>
      <c r="I23" s="17"/>
      <c r="J23" s="22" t="s">
        <v>70</v>
      </c>
      <c r="K23" s="22" t="e">
        <f aca="false" t="array" ref="K23:K23">1/100*([1]!BLP,J23,REF!$B$3,,,DDE("BLP","M","GJTB6MO Index,[PX_CLOSE_5D]"))</f>
        <v>#NAME?</v>
      </c>
      <c r="L23" s="22" t="e">
        <f aca="false" t="array" ref="L23:L23">1/100*([1]!BLP,J23,REF!$B$2,,,DDE("BLP","M","GJTB6MO Index,[PX_LAST]"))</f>
        <v>#NAME?</v>
      </c>
      <c r="M23" s="23" t="e">
        <f aca="false">(L23-K23)*10000</f>
        <v>#NAME?</v>
      </c>
      <c r="N23" s="35" t="n">
        <v>0.25</v>
      </c>
      <c r="W23" s="1" t="s">
        <v>71</v>
      </c>
    </row>
    <row r="24" customFormat="false" ht="12.75" hidden="false" customHeight="false" outlineLevel="0" collapsed="false">
      <c r="B24" s="16" t="s">
        <v>72</v>
      </c>
      <c r="C24" s="36" t="s">
        <v>73</v>
      </c>
      <c r="D24" s="18" t="e">
        <f aca="false" t="array" ref="D24:D24">([1]!BLP,C24,REF!$B$3,,,DDE("BLP","M","COALPWDR Index,[PX_CLOSE_5D]"))</f>
        <v>#NAME?</v>
      </c>
      <c r="E24" s="18" t="e">
        <f aca="false">([1]!BLP,C24,REF!$B$2,,,DDE("BLP","M","COALPWDR Index,[PX_LAST]"))</f>
        <v>#NAME?</v>
      </c>
      <c r="F24" s="31" t="e">
        <f aca="false">(E24-D24)/D24</f>
        <v>#NAME?</v>
      </c>
      <c r="G24" s="14"/>
      <c r="H24" s="20" t="s">
        <v>17</v>
      </c>
      <c r="I24" s="17"/>
      <c r="J24" s="22" t="s">
        <v>74</v>
      </c>
      <c r="K24" s="22" t="e">
        <f aca="false" t="array" ref="K24:K24">1/100*([1]!BLP,J24,REF!$B$3,,,DDE("BLP","M","GJGB1 Index,[PX_CLOSE_5D]"))</f>
        <v>#NAME?</v>
      </c>
      <c r="L24" s="22" t="e">
        <f aca="false" t="array" ref="L24:L24">1/100*([1]!BLP,J24,REF!$B$2,,,DDE("BLP","M","GJGB1 Index,[PX_LAST]"))</f>
        <v>#NAME?</v>
      </c>
      <c r="M24" s="23" t="e">
        <f aca="false">(L24-K24)*10000</f>
        <v>#NAME?</v>
      </c>
      <c r="N24" s="35" t="n">
        <v>0.5</v>
      </c>
    </row>
    <row r="25" customFormat="false" ht="12.75" hidden="false" customHeight="false" outlineLevel="0" collapsed="false">
      <c r="B25" s="16" t="s">
        <v>75</v>
      </c>
      <c r="C25" s="36" t="s">
        <v>76</v>
      </c>
      <c r="D25" s="18" t="e">
        <f aca="false" t="array" ref="D25:D25">([1]!BLP,C25,REF!$B$3,,,DDE("BLP","M","COALPR84 Index,[PX_CLOSE_5D]"))</f>
        <v>#NAME?</v>
      </c>
      <c r="E25" s="18" t="e">
        <f aca="false" t="array" ref="E25:E25">([1]!BLP,C25,REF!$B$2,,,DDE("BLP","M","COALPR84 Index,[PX_LAST]"))</f>
        <v>#NAME?</v>
      </c>
      <c r="F25" s="31" t="e">
        <f aca="false">(E25-D25)/D25</f>
        <v>#NAME?</v>
      </c>
      <c r="G25" s="14"/>
      <c r="H25" s="20" t="s">
        <v>21</v>
      </c>
      <c r="I25" s="17"/>
      <c r="J25" s="22" t="s">
        <v>77</v>
      </c>
      <c r="K25" s="22" t="e">
        <f aca="false" t="array" ref="K25:K25">1/100*([1]!BLP,J25,REF!$B$3,,,DDE("BLP","M","GJGB2 Index,[PX_CLOSE_5D]"))</f>
        <v>#NAME?</v>
      </c>
      <c r="L25" s="22" t="e">
        <f aca="false" t="array" ref="L25:L25">1/100*([1]!BLP,J25,REF!$B$2,,,DDE("BLP","M","GJGB2 Index,[PX_LAST]"))</f>
        <v>#NAME?</v>
      </c>
      <c r="M25" s="23" t="e">
        <f aca="false">(L25-K25)*10000</f>
        <v>#NAME?</v>
      </c>
      <c r="N25" s="35" t="n">
        <v>1</v>
      </c>
      <c r="W25" s="37" t="n">
        <f aca="false">W26-1</f>
        <v>37200</v>
      </c>
      <c r="X25" s="38" t="e">
        <f aca="false" t="array" ref="X25:X25">([2]!blpsh,$W$23,REF!$B$2,LNK!W25,,,DDE("BLP","H","ENE Equity,[PX_LAST],ST=20011105 END=20011105 PD=D"))</f>
        <v>#VALUE!</v>
      </c>
    </row>
    <row r="26" customFormat="false" ht="12.75" hidden="false" customHeight="false" outlineLevel="0" collapsed="false">
      <c r="B26" s="16" t="s">
        <v>78</v>
      </c>
      <c r="C26" s="17" t="s">
        <v>79</v>
      </c>
      <c r="D26" s="18" t="n">
        <f aca="false">DDE("BLP","M","ELEASO21 Index,[PX_CLOSE_5D]")</f>
        <v>206.25</v>
      </c>
      <c r="E26" s="18" t="n">
        <f aca="false">DDE("BLP","M","ELEASO21 Index,[PX_LAST]")</f>
        <v>199</v>
      </c>
      <c r="F26" s="39" t="n">
        <f aca="false">(E26-D26)/D26</f>
        <v>-0.0351515151515152</v>
      </c>
      <c r="G26" s="14"/>
      <c r="H26" s="20" t="s">
        <v>25</v>
      </c>
      <c r="I26" s="17"/>
      <c r="J26" s="22" t="s">
        <v>80</v>
      </c>
      <c r="K26" s="22" t="e">
        <f aca="false" t="array" ref="K26:K26">1/100*([1]!BLP,J26,REF!$B$3,,,DDE("BLP","M","GJGB5 Index,[PX_CLOSE_5D]"))</f>
        <v>#NAME?</v>
      </c>
      <c r="L26" s="22" t="e">
        <f aca="false" t="array" ref="L26:L26">1/100*([1]!BLP,J26,REF!$B$2,,,DDE("BLP","M","GJGB5 Index,[PX_LAST]"))</f>
        <v>#NAME?</v>
      </c>
      <c r="M26" s="23" t="e">
        <f aca="false">(L26-K26)*10000</f>
        <v>#NAME?</v>
      </c>
      <c r="N26" s="35" t="n">
        <v>2</v>
      </c>
      <c r="W26" s="37" t="n">
        <f aca="false">W27-1</f>
        <v>37201</v>
      </c>
      <c r="X26" s="38" t="e">
        <f aca="false" t="array" ref="X26:X26">([2]!blpsh,$W$23,REF!$B$2,LNK!W26,,,DDE("BLP","H","ENE Equity,[PX_LAST],ST=20011106 END=20011106 PD=D"))</f>
        <v>#VALUE!</v>
      </c>
    </row>
    <row r="27" customFormat="false" ht="12.75" hidden="false" customHeight="false" outlineLevel="0" collapsed="false">
      <c r="B27" s="16" t="s">
        <v>81</v>
      </c>
      <c r="C27" s="17" t="s">
        <v>82</v>
      </c>
      <c r="D27" s="18" t="n">
        <f aca="false">DDE("BLP","M","ELEANOX4 Index,[PX_CLOSE_5D]")</f>
        <v>917</v>
      </c>
      <c r="E27" s="18" t="n">
        <f aca="false">DDE("BLP","M","ELEANOX4 Index,[PX_LAST]")</f>
        <v>900</v>
      </c>
      <c r="F27" s="39" t="n">
        <f aca="false">(E27-D27)/D27</f>
        <v>-0.0185387131952017</v>
      </c>
      <c r="G27" s="14"/>
      <c r="H27" s="20" t="s">
        <v>29</v>
      </c>
      <c r="I27" s="17"/>
      <c r="J27" s="22" t="s">
        <v>83</v>
      </c>
      <c r="K27" s="22" t="e">
        <f aca="false" t="array" ref="K27:K27">1/100*([1]!BLP,J27,REF!$B$3,,,DDE("BLP","M","GJGB10 Index,[PX_CLOSE_5D]"))</f>
        <v>#NAME?</v>
      </c>
      <c r="L27" s="22" t="e">
        <f aca="false" t="array" ref="L27:L27">1/100*([1]!BLP,J27,REF!$B$2,,,DDE("BLP","M","GJGB10 Index,[PX_LAST]"))</f>
        <v>#NAME?</v>
      </c>
      <c r="M27" s="23" t="e">
        <f aca="false">(L27-K27)*10000</f>
        <v>#NAME?</v>
      </c>
      <c r="N27" s="35" t="n">
        <v>5</v>
      </c>
      <c r="W27" s="37" t="n">
        <f aca="false">W28-1</f>
        <v>37202</v>
      </c>
      <c r="X27" s="38" t="e">
        <f aca="false" t="array" ref="X27:X27">([2]!blpsh,$W$23,REF!$B$2,LNK!W27,,,DDE("BLP","H","ENE Equity,[PX_LAST],ST=20011107 END=20011107 PD=D"))</f>
        <v>#VALUE!</v>
      </c>
    </row>
    <row r="28" customFormat="false" ht="12.75" hidden="false" customHeight="false" outlineLevel="0" collapsed="false">
      <c r="B28" s="16" t="s">
        <v>84</v>
      </c>
      <c r="C28" s="17" t="s">
        <v>85</v>
      </c>
      <c r="D28" s="18" t="e">
        <f aca="false" t="array" ref="D28:D28">([1]!BLP,C28,REF!$B$3,,,DDE("BLP","M","BMIY Index,[PX_CLOSE_5D]"))</f>
        <v>#NAME?</v>
      </c>
      <c r="E28" s="18" t="e">
        <f aca="false">([1]!BLP,C28,REF!$B$2,,,DDE("BLP","M","BMIY Index,[PX_LAST]"))</f>
        <v>#NAME?</v>
      </c>
      <c r="F28" s="39" t="e">
        <f aca="false">(E28-D28)/D28</f>
        <v>#NAME?</v>
      </c>
      <c r="G28" s="14"/>
      <c r="H28" s="20" t="s">
        <v>33</v>
      </c>
      <c r="I28" s="17"/>
      <c r="J28" s="22" t="s">
        <v>86</v>
      </c>
      <c r="K28" s="22" t="e">
        <f aca="false" t="array" ref="K28:K28">1/100*([1]!BLP,J28,REF!$B$3,,,DDE("BLP","M","GJGB30 Index,[PX_CLOSE_5D]"))</f>
        <v>#NAME?</v>
      </c>
      <c r="L28" s="22" t="e">
        <f aca="false" t="array" ref="L28:L28">1/100*([1]!BLP,J28,REF!$B$2,,,DDE("BLP","M","GJGB30 Index,[PX_LAST]"))</f>
        <v>#NAME?</v>
      </c>
      <c r="M28" s="23" t="e">
        <f aca="false">(L28-K28)*10000</f>
        <v>#NAME?</v>
      </c>
      <c r="N28" s="35" t="n">
        <v>10</v>
      </c>
      <c r="W28" s="37" t="n">
        <f aca="false">W29-1</f>
        <v>37203</v>
      </c>
      <c r="X28" s="38" t="e">
        <f aca="false" t="array" ref="X28:X28">([2]!blpsh,$W$23,REF!$B$2,LNK!W28,,,DDE("BLP","H","ENE Equity,[PX_LAST],ST=20011108 END=20011108 PD=D"))</f>
        <v>#VALUE!</v>
      </c>
    </row>
    <row r="29" customFormat="false" ht="12.75" hidden="false" customHeight="false" outlineLevel="0" collapsed="false">
      <c r="B29" s="16" t="s">
        <v>87</v>
      </c>
      <c r="C29" s="17" t="s">
        <v>88</v>
      </c>
      <c r="D29" s="18" t="e">
        <f aca="false">([1]!BLP,C29,REF!$B$3,,,DDE("BLP","M","BPIY Index,[PX_CLOSE_5D]"))</f>
        <v>#NAME?</v>
      </c>
      <c r="E29" s="18" t="e">
        <f aca="false">([1]!BLP,C29,REF!B2,,,DDE("BLP","M","BPIY Index,[PX_LAST]"))</f>
        <v>#NAME?</v>
      </c>
      <c r="F29" s="39" t="e">
        <f aca="false">(E29-D29)/D29</f>
        <v>#NAME?</v>
      </c>
      <c r="G29" s="14"/>
      <c r="H29" s="40" t="s">
        <v>89</v>
      </c>
      <c r="I29" s="33"/>
      <c r="J29" s="33"/>
      <c r="K29" s="33"/>
      <c r="L29" s="33"/>
      <c r="M29" s="32"/>
      <c r="N29" s="35" t="n">
        <v>30</v>
      </c>
      <c r="W29" s="37" t="n">
        <v>37204</v>
      </c>
      <c r="X29" s="38" t="e">
        <f aca="false" t="array" ref="X29:X29">([2]!blpsh,$W$23,REF!$B$2,LNK!W29,,,DDE("BLP","H","ENE Equity,[PX_LAST],ST=20011109 END=20011109 PD=D"))</f>
        <v>#VALUE!</v>
      </c>
    </row>
    <row r="30" customFormat="false" ht="12.75" hidden="false" customHeight="false" outlineLevel="0" collapsed="false">
      <c r="A30" s="41"/>
      <c r="B30" s="16" t="s">
        <v>90</v>
      </c>
      <c r="C30" s="17" t="s">
        <v>91</v>
      </c>
      <c r="D30" s="18" t="e">
        <f aca="false">([1]!BLP,C30,REF!$B$3,,,DDE("BLP","M","BCIY Index,[PX_CLOSE_5D]"))</f>
        <v>#NAME?</v>
      </c>
      <c r="E30" s="18" t="e">
        <f aca="false">([1]!BLP,C30,REF!$B$2,,,DDE("BLP","M","BCIY Index,[PX_LAST]"))</f>
        <v>#NAME?</v>
      </c>
      <c r="F30" s="39" t="e">
        <f aca="false">(E30-D30)/D30</f>
        <v>#NAME?</v>
      </c>
      <c r="G30" s="14"/>
      <c r="H30" s="20" t="s">
        <v>9</v>
      </c>
      <c r="I30" s="17"/>
      <c r="J30" s="22" t="s">
        <v>92</v>
      </c>
      <c r="K30" s="22" t="e">
        <f aca="false" t="array" ref="K30:K30">1/100*([1]!BLP,LNK!J30,REF!$B$3,,,DDE("BLP","M","TI0003M Index,[PX_CLOSE_5D]"))</f>
        <v>#NAME?</v>
      </c>
      <c r="L30" s="22" t="e">
        <f aca="false" t="array" ref="L30:L30">1/100*([1]!BLP,J30,REF!$B$2,,,DDE("BLP","M","TI0003M Index,[PX_LAST]"))</f>
        <v>#NAME?</v>
      </c>
      <c r="M30" s="23" t="e">
        <f aca="false">(L30-K30)*10000</f>
        <v>#NAME?</v>
      </c>
      <c r="O30" s="37"/>
    </row>
    <row r="31" customFormat="false" ht="12.75" hidden="false" customHeight="false" outlineLevel="0" collapsed="false">
      <c r="A31" s="41"/>
      <c r="B31" s="16" t="s">
        <v>93</v>
      </c>
      <c r="C31" s="17" t="s">
        <v>94</v>
      </c>
      <c r="D31" s="18" t="n">
        <f aca="false">DDE("BLP","M","GC1 Comdty,[PX_CLOSE_5D]")</f>
        <v>277.7</v>
      </c>
      <c r="E31" s="18" t="n">
        <f aca="false">DDE("BLP","M","GC1 Comdty,[PX_SETTLE]")</f>
        <v>274.9</v>
      </c>
      <c r="F31" s="39" t="n">
        <f aca="false">(E31-D31)/D31</f>
        <v>-0.0100828231904934</v>
      </c>
      <c r="G31" s="14"/>
      <c r="H31" s="20" t="s">
        <v>13</v>
      </c>
      <c r="I31" s="17"/>
      <c r="J31" s="22" t="s">
        <v>95</v>
      </c>
      <c r="K31" s="22" t="e">
        <f aca="false" t="array" ref="K31:K31">1/100*([1]!BLP,LNK!J31,REF!$B$3,,,DDE("BLP","M","TI0006M Index,[PX_CLOSE_5D]"))</f>
        <v>#NAME?</v>
      </c>
      <c r="L31" s="22" t="e">
        <f aca="false" t="array" ref="L31:L31">1/100*([1]!BLP,J31,REF!$B$2,,,DDE("BLP","M","TI0006M Index,[PX_LAST]"))</f>
        <v>#NAME?</v>
      </c>
      <c r="M31" s="23" t="e">
        <f aca="false">(L31-K31)*10000</f>
        <v>#NAME?</v>
      </c>
      <c r="O31" s="37"/>
      <c r="P31" s="42"/>
    </row>
    <row r="32" customFormat="false" ht="12.75" hidden="false" customHeight="false" outlineLevel="0" collapsed="false">
      <c r="A32" s="41"/>
      <c r="B32" s="16" t="s">
        <v>96</v>
      </c>
      <c r="C32" s="17" t="s">
        <v>97</v>
      </c>
      <c r="D32" s="18" t="n">
        <f aca="false">DDE("BLP","M","PL1 Comdty,[PX_CLOSE_5D]")</f>
        <v>422.6</v>
      </c>
      <c r="E32" s="18" t="n">
        <f aca="false">DDE("BLP","M","PL1 Comdty,[PX_SETTLE]")</f>
        <v>427.9</v>
      </c>
      <c r="F32" s="39" t="n">
        <f aca="false">(E32-D32)/D32</f>
        <v>0.0125414103170846</v>
      </c>
      <c r="G32" s="14"/>
      <c r="H32" s="20" t="s">
        <v>17</v>
      </c>
      <c r="I32" s="17"/>
      <c r="J32" s="22" t="s">
        <v>98</v>
      </c>
      <c r="K32" s="22" t="e">
        <f aca="false" t="array" ref="K32:K32">1/100*([1]!BLP,LNK!J32,REF!$B$3,,,DDE("BLP","M","TI0012M Index,[PX_CLOSE_5D]"))</f>
        <v>#NAME?</v>
      </c>
      <c r="L32" s="22" t="e">
        <f aca="false" t="array" ref="L32:L32">1/100*([1]!BLP,J32,REF!$B$2,,,DDE("BLP","M","TI0012M Index,[PX_LAST]"))</f>
        <v>#NAME?</v>
      </c>
      <c r="M32" s="23" t="e">
        <f aca="false">(L32-K32)*10000</f>
        <v>#NAME?</v>
      </c>
      <c r="O32" s="37"/>
      <c r="P32" s="42"/>
    </row>
    <row r="33" customFormat="false" ht="12.75" hidden="false" customHeight="false" outlineLevel="0" collapsed="false">
      <c r="A33" s="41"/>
      <c r="B33" s="16" t="s">
        <v>99</v>
      </c>
      <c r="C33" s="17" t="s">
        <v>100</v>
      </c>
      <c r="D33" s="18" t="e">
        <f aca="false" t="array" ref="D33:D33">([1]!BLP,C33,REF!$B$3,,,DDE("BLP","M","LMAHDS03 Comdty,[PX_CLOSE_5D]"))</f>
        <v>#NAME?</v>
      </c>
      <c r="E33" s="18" t="e">
        <f aca="false" t="array" ref="E33:E33">([1]!BLP,C33,REF!$B$2,,,DDE("BLP","M","LMAHDS03 Comdty,[PX_LAST]"))</f>
        <v>#NAME?</v>
      </c>
      <c r="F33" s="39" t="e">
        <f aca="false">(E33-D33)/D33</f>
        <v>#NAME?</v>
      </c>
      <c r="G33" s="14"/>
      <c r="H33" s="43"/>
      <c r="I33" s="43"/>
      <c r="J33" s="33"/>
      <c r="K33" s="33"/>
      <c r="L33" s="33"/>
      <c r="M33" s="32"/>
      <c r="O33" s="37"/>
      <c r="P33" s="42"/>
    </row>
    <row r="34" customFormat="false" ht="12.75" hidden="false" customHeight="false" outlineLevel="0" collapsed="false">
      <c r="A34" s="41"/>
      <c r="B34" s="16" t="s">
        <v>101</v>
      </c>
      <c r="C34" s="17" t="s">
        <v>102</v>
      </c>
      <c r="D34" s="18" t="e">
        <f aca="false" t="array" ref="D34:D34">([1]!BLP,C34,REF!$B$3,,,DDE("BLP","M","LMPBDS03 Comdty,[PX_CLOSE_5D]"))</f>
        <v>#NAME?</v>
      </c>
      <c r="E34" s="18" t="e">
        <f aca="false" t="array" ref="E34:E34">([1]!BLP,C34,REF!$B$2,,,DDE("BLP","M","LMPBDS03 Comdty,[PX_LAST]"))</f>
        <v>#NAME?</v>
      </c>
      <c r="F34" s="39" t="e">
        <f aca="false">(E34-D34)/D34</f>
        <v>#NAME?</v>
      </c>
      <c r="G34" s="14"/>
      <c r="H34" s="21" t="s">
        <v>103</v>
      </c>
      <c r="I34" s="21"/>
      <c r="J34" s="21" t="s">
        <v>104</v>
      </c>
      <c r="K34" s="22" t="n">
        <f aca="false">(1/100)*DDE("BLP","M","'PRIME Index,[PX_CLOSE_5D]'")</f>
        <v>0.05</v>
      </c>
      <c r="L34" s="22" t="n">
        <f aca="false">(1/100)*DDE("BLP","M","'PRIME Index,[PX_LAST]'")</f>
        <v>0.05</v>
      </c>
      <c r="M34" s="23" t="n">
        <f aca="false">(L34-K34)*10000</f>
        <v>0</v>
      </c>
      <c r="O34" s="37"/>
      <c r="P34" s="42"/>
    </row>
    <row r="35" customFormat="false" ht="12.75" hidden="false" customHeight="false" outlineLevel="0" collapsed="false">
      <c r="A35" s="41"/>
      <c r="B35" s="16" t="s">
        <v>105</v>
      </c>
      <c r="C35" s="17" t="s">
        <v>106</v>
      </c>
      <c r="D35" s="18" t="e">
        <f aca="false" t="array" ref="D35:D35">([1]!BLP,C35,REF!$B$3,,,DDE("BLP","M","LMNIDS03 Comdty,[PX_CLOSE_5D]"))</f>
        <v>#NAME?</v>
      </c>
      <c r="E35" s="18" t="e">
        <f aca="false" t="array" ref="E35:E35">([1]!BLP,C35,REF!$B$2,,,DDE("BLP","M","LMNIDS03 Comdty,[PX_LAST]"))</f>
        <v>#NAME?</v>
      </c>
      <c r="F35" s="39" t="e">
        <f aca="false">(E35-D35)/D35</f>
        <v>#NAME?</v>
      </c>
      <c r="G35" s="14"/>
      <c r="M35" s="32"/>
      <c r="O35" s="37"/>
      <c r="P35" s="42"/>
    </row>
    <row r="36" customFormat="false" ht="12.75" hidden="false" customHeight="false" outlineLevel="0" collapsed="false">
      <c r="A36" s="41"/>
      <c r="B36" s="16" t="s">
        <v>107</v>
      </c>
      <c r="C36" s="17" t="s">
        <v>108</v>
      </c>
      <c r="D36" s="18" t="n">
        <f aca="false">DDE("BLP","M","LB1 Comdty,[PX_CLOSE_5D]")</f>
        <v>230.1</v>
      </c>
      <c r="E36" s="18" t="n">
        <f aca="false">DDE("BLP","M","LB1 Comdty,[PX_SETTLE]")</f>
        <v>231.2</v>
      </c>
      <c r="F36" s="39" t="n">
        <f aca="false">(E36-D36)/D36</f>
        <v>0.00478053020425899</v>
      </c>
      <c r="G36" s="14"/>
      <c r="H36" s="44" t="s">
        <v>109</v>
      </c>
      <c r="I36" s="45"/>
      <c r="J36" s="45"/>
      <c r="K36" s="45"/>
      <c r="L36" s="45"/>
      <c r="M36" s="32"/>
      <c r="O36" s="37"/>
      <c r="P36" s="42"/>
    </row>
    <row r="37" customFormat="false" ht="12.75" hidden="false" customHeight="false" outlineLevel="0" collapsed="false">
      <c r="A37" s="41"/>
      <c r="B37" s="16" t="s">
        <v>110</v>
      </c>
      <c r="C37" s="17" t="s">
        <v>111</v>
      </c>
      <c r="D37" s="18" t="e">
        <f aca="false" t="array" ref="D37:D37">([1]!BLP,C37,REF!$B$3,,,DDE("BLP","M","MBSTUSHR Index,[PX_CLOSE_5D]"))</f>
        <v>#NAME?</v>
      </c>
      <c r="E37" s="18" t="e">
        <f aca="false" t="array" ref="E37:E37">([1]!BLP,C37,REF!$B$2,,,DDE("BLP","M","MBSTUSHR Index,[PX_LAST]"))</f>
        <v>#NAME?</v>
      </c>
      <c r="F37" s="39" t="e">
        <f aca="false">(E37-D37)/D37</f>
        <v>#NAME?</v>
      </c>
      <c r="G37" s="14"/>
      <c r="H37" s="21" t="s">
        <v>112</v>
      </c>
      <c r="I37" s="21"/>
      <c r="J37" s="21" t="s">
        <v>113</v>
      </c>
      <c r="K37" s="18" t="n">
        <f aca="false">DDE("BLP","M","'ENE US Equity,[PX_CLOSE_5D]'")</f>
        <v>8.63</v>
      </c>
      <c r="L37" s="18" t="n">
        <f aca="false">DDE("BLP","M","'ENE US Equity,[PX_LAST]'")</f>
        <v>9</v>
      </c>
      <c r="M37" s="46" t="n">
        <f aca="false">(L37-K37)/K37</f>
        <v>0.0428736964078794</v>
      </c>
      <c r="O37" s="37"/>
      <c r="P37" s="42"/>
    </row>
    <row r="38" customFormat="false" ht="12.75" hidden="false" customHeight="false" outlineLevel="0" collapsed="false">
      <c r="A38" s="41"/>
      <c r="B38" s="16" t="s">
        <v>114</v>
      </c>
      <c r="C38" s="17" t="s">
        <v>115</v>
      </c>
      <c r="D38" s="18" t="e">
        <f aca="false" t="array" ref="D38:D38">([1]!BLP,C38,REF!$B$3,,,DDE("BLP","M","MBSTUSCR Index,[PX_CLOSE_5D]"))</f>
        <v>#NAME?</v>
      </c>
      <c r="E38" s="18" t="e">
        <f aca="false" t="array" ref="E38:E38">([1]!BLP,C38,REF!$B$2,,,DDE("BLP","M","MBSTUSCR Index,[PX_LAST]"))</f>
        <v>#NAME?</v>
      </c>
      <c r="F38" s="39" t="e">
        <f aca="false">(E38-D38)/D38</f>
        <v>#NAME?</v>
      </c>
      <c r="G38" s="14"/>
      <c r="H38" s="21" t="s">
        <v>116</v>
      </c>
      <c r="I38" s="21"/>
      <c r="J38" s="21" t="s">
        <v>117</v>
      </c>
      <c r="K38" s="18" t="n">
        <f aca="false">DDE("BLP","M","'EOG US Equity,[PX_CLOSE_5D]'")</f>
        <v>36.61</v>
      </c>
      <c r="L38" s="18" t="n">
        <f aca="false">DDE("BLP","M","'EOG US Equity,[PX_LAST]'")</f>
        <v>32.73</v>
      </c>
      <c r="M38" s="46" t="n">
        <f aca="false">(L38-K38)/K38</f>
        <v>-0.10598197213876</v>
      </c>
      <c r="O38" s="37"/>
      <c r="P38" s="42"/>
    </row>
    <row r="39" customFormat="false" ht="12.75" hidden="false" customHeight="false" outlineLevel="0" collapsed="false">
      <c r="A39" s="41"/>
      <c r="B39" s="47" t="s">
        <v>118</v>
      </c>
      <c r="C39" s="43"/>
      <c r="D39" s="43"/>
      <c r="E39" s="43"/>
      <c r="F39" s="43"/>
      <c r="G39" s="14"/>
      <c r="H39" s="21" t="s">
        <v>119</v>
      </c>
      <c r="I39" s="21"/>
      <c r="J39" s="21" t="s">
        <v>120</v>
      </c>
      <c r="K39" s="18" t="n">
        <f aca="false">DDE("BLP","M","'NPW US Equity,[PX_CLOSE_5D]'")</f>
        <v>1.17</v>
      </c>
      <c r="L39" s="18" t="n">
        <f aca="false">DDE("BLP","M","'NPW US Equity,[PX_LAST]'")</f>
        <v>1.31</v>
      </c>
      <c r="M39" s="46" t="n">
        <f aca="false">(L39-K39)/K39</f>
        <v>0.11965811965812</v>
      </c>
    </row>
    <row r="40" customFormat="false" ht="12.75" hidden="false" customHeight="false" outlineLevel="0" collapsed="false">
      <c r="A40" s="41"/>
      <c r="B40" s="16" t="s">
        <v>121</v>
      </c>
      <c r="C40" s="48" t="s">
        <v>122</v>
      </c>
      <c r="D40" s="18" t="n">
        <f aca="false">E40+DDE("BLP","M","'EUR Curncy,[CHG_NET_5D]'")</f>
        <v>0.87383502</v>
      </c>
      <c r="E40" s="18" t="n">
        <f aca="false">DDE("BLP","M","'EUR Curncy,[FWD_RT_1MO]'")</f>
        <v>0.883385</v>
      </c>
      <c r="F40" s="39" t="n">
        <f aca="false">(E40-D40)/D40</f>
        <v>0.0109288135419429</v>
      </c>
      <c r="G40" s="49"/>
      <c r="H40" s="21" t="s">
        <v>123</v>
      </c>
      <c r="I40" s="21"/>
      <c r="J40" s="21" t="s">
        <v>124</v>
      </c>
      <c r="K40" s="18" t="n">
        <f aca="false">DDE("BLP","M","'NBP US Equity,[PX_CLOSE_5D]'")</f>
        <v>39.61</v>
      </c>
      <c r="L40" s="18" t="n">
        <f aca="false">DDE("BLP","M","'NBP US Equity,[PX_LAST]'")</f>
        <v>38.25</v>
      </c>
      <c r="M40" s="46" t="n">
        <f aca="false">(L40-K40)/K40</f>
        <v>-0.0343347639484978</v>
      </c>
    </row>
    <row r="41" customFormat="false" ht="12.75" hidden="false" customHeight="false" outlineLevel="0" collapsed="false">
      <c r="A41" s="41"/>
      <c r="B41" s="16" t="s">
        <v>125</v>
      </c>
      <c r="C41" s="48" t="s">
        <v>126</v>
      </c>
      <c r="D41" s="18" t="n">
        <f aca="false">E41+DDE("BLP","M","'CAD Curncy,[CHG_NET_5D]'")</f>
        <v>1.57783509</v>
      </c>
      <c r="E41" s="18" t="n">
        <f aca="false">DDE("BLP","M","'CAD Curncy,[FWD_RT_1MO]'")</f>
        <v>1.590585</v>
      </c>
      <c r="F41" s="39" t="n">
        <f aca="false">(E41-D41)/D41</f>
        <v>0.0080806353470057</v>
      </c>
      <c r="G41" s="33"/>
      <c r="H41" s="21" t="s">
        <v>127</v>
      </c>
      <c r="I41" s="21"/>
      <c r="J41" s="21" t="s">
        <v>128</v>
      </c>
      <c r="K41" s="18" t="e">
        <f aca="false" t="array" ref="K41:K41">([1]!BLP,J41,REF!$B$3,,,DDE("BLP","M","EOT US Equity,[PX_CLOSE_5D]"))</f>
        <v>#NAME?</v>
      </c>
      <c r="L41" s="18" t="e">
        <f aca="false" t="array" ref="L41:L41">([1]!BLP,J41,REF!$B$2,,,DDE("BLP","M","EOT US Equity,[PX_LAST]"))</f>
        <v>#NAME?</v>
      </c>
      <c r="M41" s="46" t="e">
        <f aca="false">(L41-K41)/K41</f>
        <v>#NAME?</v>
      </c>
    </row>
    <row r="42" customFormat="false" ht="12.75" hidden="false" customHeight="false" outlineLevel="0" collapsed="false">
      <c r="A42" s="41"/>
      <c r="B42" s="16" t="s">
        <v>129</v>
      </c>
      <c r="C42" s="48" t="s">
        <v>130</v>
      </c>
      <c r="D42" s="18" t="n">
        <f aca="false">E42+DDE("BLP","M","'JPY Curncy,[CHG_NET_5D]'")</f>
        <v>125.33499512</v>
      </c>
      <c r="E42" s="18" t="n">
        <f aca="false">DDE("BLP","M","'JPY Curncy,[FWD_RT_1MO]'")</f>
        <v>122.715</v>
      </c>
      <c r="F42" s="39" t="n">
        <f aca="false">(E42-D42)/D42</f>
        <v>-0.0209039392189829</v>
      </c>
      <c r="G42" s="33"/>
      <c r="H42" s="50"/>
      <c r="I42" s="50"/>
      <c r="J42" s="50"/>
      <c r="K42" s="50"/>
      <c r="L42" s="50"/>
      <c r="M42" s="51"/>
    </row>
    <row r="43" customFormat="false" ht="12.75" hidden="false" customHeight="false" outlineLevel="0" collapsed="false">
      <c r="A43" s="41"/>
      <c r="B43" s="16" t="s">
        <v>131</v>
      </c>
      <c r="C43" s="48" t="s">
        <v>132</v>
      </c>
      <c r="D43" s="18" t="n">
        <f aca="false">E43+DDE("BLP","M","'GBP Curncy,[CHG_NET_5D]'")</f>
        <v>1.39530496</v>
      </c>
      <c r="E43" s="18" t="n">
        <f aca="false">DDE("BLP","M","'GBP Curncy,[FWD_RT_1MO]'")</f>
        <v>1.424655</v>
      </c>
      <c r="F43" s="39" t="n">
        <f aca="false">(E43-D43)/D43</f>
        <v>0.0210348567814164</v>
      </c>
      <c r="G43" s="43"/>
      <c r="H43" s="33"/>
      <c r="I43" s="33"/>
      <c r="J43" s="33"/>
      <c r="K43" s="33"/>
      <c r="L43" s="33"/>
      <c r="M43" s="32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41"/>
      <c r="B44" s="16" t="s">
        <v>133</v>
      </c>
      <c r="C44" s="48" t="s">
        <v>134</v>
      </c>
      <c r="D44" s="18" t="n">
        <f aca="false">E44+DDE("BLP","M","'DEM Curncy,[CHG_NET_5D]'")</f>
        <v>2.23761086</v>
      </c>
      <c r="E44" s="18" t="n">
        <f aca="false">DDE("BLP","M","'DEM Curncy,[FWD_RT_1MO]'")</f>
        <v>2.21398</v>
      </c>
      <c r="F44" s="39" t="n">
        <f aca="false">(E44-D44)/D44</f>
        <v>-0.0105607549652311</v>
      </c>
      <c r="H44" s="43"/>
      <c r="I44" s="43"/>
      <c r="J44" s="43"/>
      <c r="K44" s="43"/>
      <c r="L44" s="43"/>
      <c r="M44" s="52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B45" s="16" t="s">
        <v>135</v>
      </c>
      <c r="C45" s="48" t="s">
        <v>136</v>
      </c>
      <c r="D45" s="18" t="n">
        <f aca="false">E45+DDE("BLP","M","'CHF Curncy,[CHG_NET_5D]'")</f>
        <v>1.67744509</v>
      </c>
      <c r="E45" s="18" t="n">
        <f aca="false">DDE("BLP","M","'CHF Curncy,[FWD_RT_1MO]'")</f>
        <v>1.658245</v>
      </c>
      <c r="F45" s="39" t="n">
        <f aca="false">(E45-D45)/D45</f>
        <v>-0.011446031893658</v>
      </c>
      <c r="H45" s="53" t="s">
        <v>137</v>
      </c>
      <c r="I45" s="54"/>
      <c r="J45" s="54"/>
      <c r="K45" s="55" t="n">
        <v>37197</v>
      </c>
      <c r="L45" s="55" t="n">
        <v>37204</v>
      </c>
      <c r="M45" s="56" t="s">
        <v>4</v>
      </c>
      <c r="N45" s="33"/>
      <c r="O45" s="33"/>
      <c r="P45" s="33"/>
      <c r="Q45" s="33"/>
      <c r="R45" s="33"/>
      <c r="S45" s="33"/>
      <c r="T45" s="33"/>
      <c r="U45" s="33"/>
    </row>
    <row r="46" customFormat="false" ht="12.75" hidden="false" customHeight="false" outlineLevel="0" collapsed="false">
      <c r="B46" s="16" t="s">
        <v>138</v>
      </c>
      <c r="C46" s="48" t="s">
        <v>139</v>
      </c>
      <c r="D46" s="18" t="n">
        <f aca="false">E46+DDE("BLP","M","'FRF Curncy,[CHG_NET_5D]'")</f>
        <v>7.50468915</v>
      </c>
      <c r="E46" s="18" t="n">
        <f aca="false">DDE("BLP","M","'FRF Curncy,[FWD_RT_1MO]'")</f>
        <v>7.425435</v>
      </c>
      <c r="F46" s="39" t="n">
        <f aca="false">(E46-D46)/D46</f>
        <v>-0.0105606172908574</v>
      </c>
      <c r="G46" s="57"/>
      <c r="H46" s="58" t="s">
        <v>140</v>
      </c>
      <c r="I46" s="36"/>
      <c r="J46" s="59"/>
      <c r="K46" s="60" t="n">
        <v>477</v>
      </c>
      <c r="L46" s="60" t="n">
        <v>469</v>
      </c>
      <c r="M46" s="61" t="n">
        <f aca="false">L46-K46</f>
        <v>-8</v>
      </c>
      <c r="N46" s="33"/>
      <c r="O46" s="33"/>
      <c r="P46" s="33"/>
      <c r="Q46" s="33"/>
      <c r="R46" s="33"/>
      <c r="S46" s="33"/>
      <c r="T46" s="33"/>
      <c r="U46" s="33"/>
    </row>
    <row r="47" customFormat="false" ht="13.5" hidden="false" customHeight="false" outlineLevel="0" collapsed="false">
      <c r="B47" s="62" t="s">
        <v>141</v>
      </c>
      <c r="C47" s="63" t="s">
        <v>142</v>
      </c>
      <c r="D47" s="64" t="e">
        <f aca="false" t="array" ref="D47:D47">E47+([1]!BLP,C47,REF!$B$6,,,DDE("BLP","M","AUD Curncy,[CHG_NET_5D]"))</f>
        <v>#NAME?</v>
      </c>
      <c r="E47" s="64" t="e">
        <f aca="false" t="array" ref="E47:E47">([1]!BLP,C47,REF!$B$5,,,DDE("BLP","M","AUD Curncy,[FWD_RT_1MO]"))</f>
        <v>#NAME?</v>
      </c>
      <c r="F47" s="65" t="e">
        <f aca="false">(E47-D47)/D47</f>
        <v>#NAME?</v>
      </c>
      <c r="G47" s="66"/>
      <c r="H47" s="67" t="s">
        <v>143</v>
      </c>
      <c r="I47" s="68"/>
      <c r="J47" s="69"/>
      <c r="K47" s="70" t="n">
        <v>873</v>
      </c>
      <c r="L47" s="70" t="n">
        <v>850</v>
      </c>
      <c r="M47" s="71" t="n">
        <f aca="false">L47-K47</f>
        <v>-23</v>
      </c>
    </row>
    <row r="48" customFormat="false" ht="13.5" hidden="false" customHeight="false" outlineLevel="0" collapsed="false"/>
    <row r="49" customFormat="false" ht="15.75" hidden="false" customHeight="false" outlineLevel="0" collapsed="false">
      <c r="B49" s="72" t="s">
        <v>144</v>
      </c>
      <c r="C49" s="73"/>
      <c r="D49" s="74"/>
    </row>
    <row r="50" customFormat="false" ht="15.75" hidden="false" customHeight="false" outlineLevel="0" collapsed="false">
      <c r="B50" s="75" t="s">
        <v>145</v>
      </c>
      <c r="C50" s="76"/>
      <c r="D50" s="77"/>
      <c r="E50" s="78"/>
      <c r="F50" s="78"/>
      <c r="G50" s="79" t="s">
        <v>146</v>
      </c>
      <c r="H50" s="80"/>
      <c r="I50" s="78"/>
      <c r="J50" s="78"/>
      <c r="K50" s="78"/>
      <c r="L50" s="78"/>
      <c r="M50" s="78"/>
      <c r="N50" s="79" t="s">
        <v>147</v>
      </c>
      <c r="O50" s="78"/>
      <c r="P50" s="78"/>
      <c r="Q50" s="78"/>
      <c r="R50" s="78"/>
      <c r="S50" s="81"/>
    </row>
    <row r="51" customFormat="false" ht="12.75" hidden="false" customHeight="false" outlineLevel="0" collapsed="false">
      <c r="B51" s="47" t="s">
        <v>148</v>
      </c>
      <c r="C51" s="40"/>
      <c r="D51" s="33"/>
      <c r="E51" s="33"/>
      <c r="F51" s="33"/>
      <c r="G51" s="82" t="s">
        <v>149</v>
      </c>
      <c r="H51" s="40"/>
      <c r="I51" s="33"/>
      <c r="J51" s="33"/>
      <c r="K51" s="33"/>
      <c r="L51" s="33"/>
      <c r="M51" s="33"/>
      <c r="N51" s="82" t="s">
        <v>149</v>
      </c>
      <c r="O51" s="33"/>
      <c r="P51" s="33"/>
      <c r="Q51" s="33"/>
      <c r="R51" s="33"/>
      <c r="S51" s="32"/>
    </row>
    <row r="52" customFormat="false" ht="12.75" hidden="false" customHeight="false" outlineLevel="0" collapsed="false">
      <c r="B52" s="83" t="s">
        <v>150</v>
      </c>
      <c r="C52" s="41"/>
      <c r="D52" s="33"/>
      <c r="E52" s="33"/>
      <c r="F52" s="33"/>
      <c r="G52" s="84" t="s">
        <v>151</v>
      </c>
      <c r="H52" s="33"/>
      <c r="I52" s="33"/>
      <c r="J52" s="33"/>
      <c r="K52" s="33"/>
      <c r="L52" s="33"/>
      <c r="M52" s="33"/>
      <c r="N52" s="84" t="s">
        <v>152</v>
      </c>
      <c r="O52" s="33"/>
      <c r="P52" s="33"/>
      <c r="Q52" s="33"/>
      <c r="R52" s="33"/>
      <c r="S52" s="32"/>
    </row>
    <row r="53" customFormat="false" ht="12.75" hidden="false" customHeight="false" outlineLevel="0" collapsed="false">
      <c r="B53" s="85" t="s">
        <v>153</v>
      </c>
      <c r="C53" s="41"/>
      <c r="D53" s="33"/>
      <c r="E53" s="33"/>
      <c r="F53" s="33"/>
      <c r="G53" s="84" t="s">
        <v>154</v>
      </c>
      <c r="H53" s="33"/>
      <c r="I53" s="33"/>
      <c r="J53" s="33"/>
      <c r="K53" s="33"/>
      <c r="L53" s="33"/>
      <c r="M53" s="33"/>
      <c r="N53" s="84" t="s">
        <v>155</v>
      </c>
      <c r="O53" s="33"/>
      <c r="P53" s="33"/>
      <c r="Q53" s="33"/>
      <c r="R53" s="33"/>
      <c r="S53" s="32"/>
    </row>
    <row r="54" customFormat="false" ht="12.75" hidden="false" customHeight="false" outlineLevel="0" collapsed="false">
      <c r="B54" s="83" t="s">
        <v>156</v>
      </c>
      <c r="C54" s="41"/>
      <c r="D54" s="33"/>
      <c r="E54" s="33"/>
      <c r="F54" s="33"/>
      <c r="G54" s="84" t="s">
        <v>157</v>
      </c>
      <c r="H54" s="33"/>
      <c r="I54" s="33"/>
      <c r="J54" s="33"/>
      <c r="K54" s="33"/>
      <c r="L54" s="33"/>
      <c r="M54" s="86"/>
      <c r="N54" s="84" t="s">
        <v>158</v>
      </c>
      <c r="O54" s="33"/>
      <c r="P54" s="33"/>
      <c r="Q54" s="33"/>
      <c r="R54" s="33"/>
      <c r="S54" s="32"/>
    </row>
    <row r="55" customFormat="false" ht="15.75" hidden="false" customHeight="false" outlineLevel="0" collapsed="false">
      <c r="B55" s="47" t="s">
        <v>149</v>
      </c>
      <c r="C55" s="40"/>
      <c r="D55" s="33"/>
      <c r="E55" s="33"/>
      <c r="F55" s="33"/>
      <c r="G55" s="87" t="s">
        <v>159</v>
      </c>
      <c r="H55" s="88"/>
      <c r="I55" s="33"/>
      <c r="J55" s="33"/>
      <c r="K55" s="33"/>
      <c r="L55" s="33"/>
      <c r="M55" s="86"/>
      <c r="N55" s="88" t="s">
        <v>160</v>
      </c>
      <c r="O55" s="33"/>
      <c r="P55" s="33"/>
      <c r="Q55" s="33"/>
      <c r="R55" s="33"/>
      <c r="S55" s="32"/>
    </row>
    <row r="56" customFormat="false" ht="12.75" hidden="false" customHeight="false" outlineLevel="0" collapsed="false">
      <c r="B56" s="83" t="s">
        <v>161</v>
      </c>
      <c r="C56" s="33"/>
      <c r="D56" s="33"/>
      <c r="E56" s="33"/>
      <c r="F56" s="33"/>
      <c r="G56" s="82" t="str">
        <f aca="false">G51</f>
        <v>Economic Data</v>
      </c>
      <c r="H56" s="40"/>
      <c r="I56" s="33"/>
      <c r="J56" s="33"/>
      <c r="K56" s="33"/>
      <c r="L56" s="33"/>
      <c r="M56" s="86"/>
      <c r="N56" s="82" t="str">
        <f aca="false">G56</f>
        <v>Economic Data</v>
      </c>
      <c r="O56" s="33"/>
      <c r="P56" s="33"/>
      <c r="Q56" s="33"/>
      <c r="R56" s="33"/>
      <c r="S56" s="32"/>
    </row>
    <row r="57" customFormat="false" ht="12.75" hidden="false" customHeight="false" outlineLevel="0" collapsed="false">
      <c r="B57" s="83" t="s">
        <v>162</v>
      </c>
      <c r="C57" s="33"/>
      <c r="D57" s="33"/>
      <c r="E57" s="33"/>
      <c r="F57" s="33"/>
      <c r="G57" s="84" t="s">
        <v>163</v>
      </c>
      <c r="H57" s="33"/>
      <c r="I57" s="33"/>
      <c r="J57" s="33"/>
      <c r="K57" s="33"/>
      <c r="L57" s="33"/>
      <c r="M57" s="86"/>
      <c r="N57" s="89" t="s">
        <v>164</v>
      </c>
      <c r="O57" s="33"/>
      <c r="P57" s="33"/>
      <c r="Q57" s="33"/>
      <c r="R57" s="33"/>
      <c r="S57" s="32"/>
    </row>
    <row r="58" customFormat="false" ht="13.5" hidden="false" customHeight="false" outlineLevel="0" collapsed="false">
      <c r="B58" s="90" t="s">
        <v>165</v>
      </c>
      <c r="C58" s="91"/>
      <c r="D58" s="91"/>
      <c r="E58" s="91"/>
      <c r="F58" s="91"/>
      <c r="G58" s="92"/>
      <c r="H58" s="91"/>
      <c r="I58" s="91"/>
      <c r="J58" s="91"/>
      <c r="K58" s="91"/>
      <c r="L58" s="91"/>
      <c r="M58" s="93"/>
      <c r="N58" s="91" t="s">
        <v>166</v>
      </c>
      <c r="O58" s="91"/>
      <c r="P58" s="91"/>
      <c r="Q58" s="91"/>
      <c r="R58" s="91"/>
      <c r="S58" s="94"/>
    </row>
    <row r="59" customFormat="false" ht="15.75" hidden="false" customHeight="false" outlineLevel="0" collapsed="false">
      <c r="B59" s="95" t="s">
        <v>167</v>
      </c>
      <c r="C59" s="96"/>
      <c r="D59" s="97"/>
      <c r="G59" s="91"/>
      <c r="H59" s="33"/>
      <c r="L59" s="33"/>
      <c r="M59" s="91"/>
      <c r="N59" s="33"/>
      <c r="O59" s="33"/>
      <c r="P59" s="33"/>
      <c r="Q59" s="33"/>
      <c r="R59" s="33"/>
      <c r="S59" s="33"/>
    </row>
    <row r="60" customFormat="false" ht="15.75" hidden="false" customHeight="false" outlineLevel="0" collapsed="false">
      <c r="B60" s="75" t="s">
        <v>145</v>
      </c>
      <c r="C60" s="76"/>
      <c r="D60" s="77"/>
      <c r="E60" s="78"/>
      <c r="F60" s="78"/>
      <c r="G60" s="79" t="s">
        <v>146</v>
      </c>
      <c r="H60" s="80"/>
      <c r="I60" s="78"/>
      <c r="J60" s="78"/>
      <c r="K60" s="78"/>
      <c r="L60" s="78"/>
      <c r="M60" s="78"/>
      <c r="N60" s="79" t="s">
        <v>147</v>
      </c>
      <c r="O60" s="78"/>
      <c r="P60" s="78"/>
      <c r="Q60" s="78"/>
      <c r="R60" s="78"/>
      <c r="S60" s="81"/>
    </row>
    <row r="61" customFormat="false" ht="12.75" hidden="false" customHeight="false" outlineLevel="0" collapsed="false">
      <c r="B61" s="47" t="s">
        <v>148</v>
      </c>
      <c r="C61" s="40"/>
      <c r="D61" s="33"/>
      <c r="E61" s="33"/>
      <c r="F61" s="33"/>
      <c r="G61" s="82" t="s">
        <v>149</v>
      </c>
      <c r="H61" s="40"/>
      <c r="I61" s="33"/>
      <c r="J61" s="33"/>
      <c r="K61" s="33"/>
      <c r="L61" s="33"/>
      <c r="M61" s="33"/>
      <c r="N61" s="82" t="s">
        <v>149</v>
      </c>
      <c r="O61" s="33"/>
      <c r="P61" s="33"/>
      <c r="Q61" s="33"/>
      <c r="R61" s="33"/>
      <c r="S61" s="32"/>
    </row>
    <row r="62" customFormat="false" ht="12.75" hidden="false" customHeight="false" outlineLevel="0" collapsed="false">
      <c r="B62" s="83" t="s">
        <v>168</v>
      </c>
      <c r="C62" s="41"/>
      <c r="D62" s="33"/>
      <c r="E62" s="33"/>
      <c r="F62" s="33"/>
      <c r="G62" s="84" t="s">
        <v>169</v>
      </c>
      <c r="H62" s="33"/>
      <c r="I62" s="33"/>
      <c r="J62" s="33"/>
      <c r="K62" s="33"/>
      <c r="L62" s="33"/>
      <c r="M62" s="33"/>
      <c r="N62" s="84" t="s">
        <v>170</v>
      </c>
      <c r="O62" s="33"/>
      <c r="P62" s="33"/>
      <c r="Q62" s="33"/>
      <c r="R62" s="33"/>
      <c r="S62" s="32"/>
    </row>
    <row r="63" customFormat="false" ht="12.75" hidden="false" customHeight="false" outlineLevel="0" collapsed="false">
      <c r="B63" s="85" t="s">
        <v>171</v>
      </c>
      <c r="C63" s="41"/>
      <c r="D63" s="33"/>
      <c r="E63" s="33"/>
      <c r="F63" s="33"/>
      <c r="G63" s="84" t="s">
        <v>172</v>
      </c>
      <c r="H63" s="33"/>
      <c r="I63" s="33"/>
      <c r="J63" s="33"/>
      <c r="K63" s="33"/>
      <c r="L63" s="33"/>
      <c r="M63" s="33"/>
      <c r="N63" s="84" t="s">
        <v>173</v>
      </c>
      <c r="O63" s="33"/>
      <c r="P63" s="33"/>
      <c r="Q63" s="33"/>
      <c r="R63" s="33"/>
      <c r="S63" s="32"/>
    </row>
    <row r="64" customFormat="false" ht="12.75" hidden="false" customHeight="false" outlineLevel="0" collapsed="false">
      <c r="B64" s="83" t="s">
        <v>174</v>
      </c>
      <c r="C64" s="41"/>
      <c r="D64" s="33"/>
      <c r="E64" s="33"/>
      <c r="F64" s="33"/>
      <c r="G64" s="84" t="s">
        <v>175</v>
      </c>
      <c r="H64" s="33"/>
      <c r="I64" s="33"/>
      <c r="J64" s="33"/>
      <c r="K64" s="33"/>
      <c r="L64" s="33"/>
      <c r="M64" s="86"/>
      <c r="N64" s="84" t="s">
        <v>176</v>
      </c>
      <c r="O64" s="33"/>
      <c r="P64" s="33"/>
      <c r="Q64" s="33"/>
      <c r="R64" s="33"/>
      <c r="S64" s="32"/>
    </row>
    <row r="65" customFormat="false" ht="15.75" hidden="false" customHeight="false" outlineLevel="0" collapsed="false">
      <c r="B65" s="47" t="s">
        <v>149</v>
      </c>
      <c r="C65" s="40"/>
      <c r="D65" s="33"/>
      <c r="E65" s="33"/>
      <c r="F65" s="33"/>
      <c r="G65" s="87" t="s">
        <v>159</v>
      </c>
      <c r="H65" s="88"/>
      <c r="I65" s="33"/>
      <c r="J65" s="33"/>
      <c r="K65" s="33"/>
      <c r="L65" s="33"/>
      <c r="M65" s="86"/>
      <c r="N65" s="88" t="s">
        <v>160</v>
      </c>
      <c r="O65" s="33"/>
      <c r="P65" s="33"/>
      <c r="Q65" s="33"/>
      <c r="R65" s="33"/>
      <c r="S65" s="32"/>
    </row>
    <row r="66" customFormat="false" ht="12.75" hidden="false" customHeight="false" outlineLevel="0" collapsed="false">
      <c r="B66" s="83" t="s">
        <v>177</v>
      </c>
      <c r="C66" s="33"/>
      <c r="D66" s="33"/>
      <c r="E66" s="33"/>
      <c r="F66" s="33"/>
      <c r="G66" s="82" t="str">
        <f aca="false">G61</f>
        <v>Economic Data</v>
      </c>
      <c r="H66" s="40"/>
      <c r="I66" s="33"/>
      <c r="J66" s="33"/>
      <c r="K66" s="33"/>
      <c r="L66" s="33"/>
      <c r="M66" s="86"/>
      <c r="N66" s="82" t="str">
        <f aca="false">G66</f>
        <v>Economic Data</v>
      </c>
      <c r="O66" s="33"/>
      <c r="P66" s="33"/>
      <c r="Q66" s="33"/>
      <c r="R66" s="33"/>
      <c r="S66" s="32"/>
    </row>
    <row r="67" customFormat="false" ht="12.75" hidden="false" customHeight="false" outlineLevel="0" collapsed="false">
      <c r="B67" s="83" t="s">
        <v>178</v>
      </c>
      <c r="C67" s="33"/>
      <c r="D67" s="33"/>
      <c r="E67" s="33"/>
      <c r="F67" s="33"/>
      <c r="G67" s="84" t="s">
        <v>179</v>
      </c>
      <c r="H67" s="33"/>
      <c r="I67" s="33"/>
      <c r="J67" s="33"/>
      <c r="K67" s="33"/>
      <c r="L67" s="33"/>
      <c r="M67" s="86"/>
      <c r="N67" s="89" t="s">
        <v>180</v>
      </c>
      <c r="O67" s="33"/>
      <c r="P67" s="33"/>
      <c r="Q67" s="33"/>
      <c r="R67" s="33"/>
      <c r="S67" s="32"/>
    </row>
    <row r="68" customFormat="false" ht="13.5" hidden="false" customHeight="false" outlineLevel="0" collapsed="false">
      <c r="B68" s="90" t="s">
        <v>181</v>
      </c>
      <c r="C68" s="91"/>
      <c r="D68" s="91"/>
      <c r="E68" s="91"/>
      <c r="F68" s="91"/>
      <c r="G68" s="92" t="s">
        <v>182</v>
      </c>
      <c r="H68" s="91"/>
      <c r="I68" s="91"/>
      <c r="J68" s="91"/>
      <c r="K68" s="91"/>
      <c r="L68" s="91"/>
      <c r="M68" s="93"/>
      <c r="N68" s="91" t="s">
        <v>183</v>
      </c>
      <c r="O68" s="91"/>
      <c r="P68" s="91"/>
      <c r="Q68" s="91"/>
      <c r="R68" s="91"/>
      <c r="S68" s="94"/>
    </row>
  </sheetData>
  <conditionalFormatting sqref="F5:F15 F17:F25 M37:M41">
    <cfRule type="cellIs" priority="2" operator="greaterThan" aboveAverage="0" equalAverage="0" bottom="0" percent="0" rank="0" text="" dxfId="8">
      <formula>0.001</formula>
    </cfRule>
    <cfRule type="cellIs" priority="3" operator="lessThan" aboveAverage="0" equalAverage="0" bottom="0" percent="0" rank="0" text="" dxfId="9">
      <formula>-0.001</formula>
    </cfRule>
  </conditionalFormatting>
  <conditionalFormatting sqref="F16">
    <cfRule type="cellIs" priority="4" operator="greaterThan" aboveAverage="0" equalAverage="0" bottom="0" percent="0" rank="0" text="" dxfId="10">
      <formula>0</formula>
    </cfRule>
    <cfRule type="cellIs" priority="5" operator="lessThan" aboveAverage="0" equalAverage="0" bottom="0" percent="0" rank="0" text="" dxfId="11">
      <formula>0</formula>
    </cfRule>
  </conditionalFormatting>
  <conditionalFormatting sqref="M34 M12">
    <cfRule type="cellIs" priority="6" operator="greaterThan" aboveAverage="0" equalAverage="0" bottom="0" percent="0" rank="0" text="" dxfId="12">
      <formula>0</formula>
    </cfRule>
  </conditionalFormatting>
  <conditionalFormatting sqref="M5:M11 M13:M19 M22:M28 M30:M32">
    <cfRule type="cellIs" priority="7" operator="lessThan" aboveAverage="0" equalAverage="0" bottom="0" percent="0" rank="0" text="" dxfId="13">
      <formula>0</formula>
    </cfRule>
  </conditionalFormatting>
  <conditionalFormatting sqref="F41:F48 F26:F39">
    <cfRule type="cellIs" priority="8" operator="greaterThan" aboveAverage="0" equalAverage="0" bottom="0" percent="0" rank="0" text="" dxfId="14">
      <formula>0</formula>
    </cfRule>
    <cfRule type="cellIs" priority="9" operator="lessThan" aboveAverage="0" equalAverage="0" bottom="0" percent="0" rank="0" text="" dxfId="15">
      <formula>0</formula>
    </cfRule>
  </conditionalFormatting>
  <printOptions headings="false" gridLines="false" gridLinesSet="true" horizontalCentered="false" verticalCentered="false"/>
  <pageMargins left="0.747916666666667" right="0.747916666666667" top="0.75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&amp;LEGM
Finance Structuring&amp;R&amp;F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7">
              <controlPr defaultSize="0" print="false" autoFill="0" autoPict="0" macro="Module2.PreSaver2">
                <anchor moveWithCells="true" sizeWithCells="false">
                  <from>
                    <xdr:col>18</xdr:col>
                    <xdr:colOff>281520</xdr:colOff>
                    <xdr:row>0</xdr:row>
                    <xdr:rowOff>76680</xdr:rowOff>
                  </from>
                  <to>
                    <xdr:col>20</xdr:col>
                    <xdr:colOff>815760</xdr:colOff>
                    <xdr:row>1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D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B2" s="0" t="s">
        <v>184</v>
      </c>
      <c r="D2" s="0" t="s">
        <v>185</v>
      </c>
    </row>
    <row r="3" customFormat="false" ht="12.75" hidden="false" customHeight="false" outlineLevel="0" collapsed="false">
      <c r="B3" s="0" t="s">
        <v>186</v>
      </c>
      <c r="D3" s="0" t="s">
        <v>187</v>
      </c>
    </row>
    <row r="4" customFormat="false" ht="12.75" hidden="false" customHeight="false" outlineLevel="0" collapsed="false">
      <c r="B4" s="0" t="s">
        <v>188</v>
      </c>
      <c r="D4" s="0" t="s">
        <v>189</v>
      </c>
    </row>
    <row r="5" customFormat="false" ht="12.75" hidden="false" customHeight="false" outlineLevel="0" collapsed="false">
      <c r="B5" s="0" t="s">
        <v>190</v>
      </c>
    </row>
    <row r="6" customFormat="false" ht="12.75" hidden="false" customHeight="false" outlineLevel="0" collapsed="false">
      <c r="B6" s="0" t="s">
        <v>191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2000-03-20T12:10:52Z</dcterms:created>
  <dc:creator>Ethan Schultz</dc:creator>
  <dc:description/>
  <dc:language>en-US</dc:language>
  <cp:lastModifiedBy>karmstr2</cp:lastModifiedBy>
  <cp:lastPrinted>2001-10-01T11:37:49Z</cp:lastPrinted>
  <dcterms:modified xsi:type="dcterms:W3CDTF">2001-11-18T17:34:24Z</dcterms:modified>
  <cp:revision>0</cp:revision>
  <dc:subject/>
  <dc:title>EGM Market Update</dc:title>
</cp:coreProperties>
</file>