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sharedStrings.xml" ContentType="application/vnd.openxmlformats-officedocument.spreadsheetml.sharedStrings+xml"/>
  <Override PartName="/xl/ctrlProps/ctrlProps3.xml" ContentType="application/vnd.ms-excel.controlproperties+xml"/>
  <Override PartName="/xl/comments1.xml" ContentType="application/vnd.openxmlformats-officedocument.spreadsheetml.comment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drawing2.xml" ContentType="application/vnd.openxmlformats-officedocument.drawing+xml"/>
  <Override PartName="/xl/drawings/vmlDrawing2.vml" ContentType="application/vnd.openxmlformats-officedocument.vmlDrawing"/>
  <Override PartName="/xl/comments2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UNLNK" sheetId="1" state="visible" r:id="rId3"/>
    <sheet name="LNK" sheetId="2" state="visible" r:id="rId4"/>
    <sheet name="REF" sheetId="3" state="visible" r:id="rId5"/>
  </sheets>
  <externalReferences>
    <externalReference r:id="rId6"/>
    <externalReference r:id="rId7"/>
  </externalReferences>
  <definedNames>
    <definedName function="false" hidden="false" localSheetId="1" name="_xlnm.Print_Area" vbProcedure="false">LNK!$A$1:$U$69</definedName>
    <definedName function="false" hidden="false" localSheetId="0" name="_xlnm.Print_Area" vbProcedure="false">UNLNK!$B$1:$T$70</definedName>
    <definedName function="false" hidden="false" name="BLPH1" vbProcedure="false">LNK!$W$27</definedName>
    <definedName function="false" hidden="false" name="BLPH2" vbProcedure="false">LNK!$W$25</definedName>
    <definedName function="false" hidden="false" name="BLPH3" vbProcedure="false">LNK!$O$24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3" authorId="0">
      <text>
        <r>
          <rPr>
            <b val="true"/>
            <sz val="8"/>
            <color rgb="FF000000"/>
            <rFont val="Tahoma"/>
            <family val="0"/>
          </rPr>
          <t xml:space="preserve">Ethan Schultz:
</t>
        </r>
        <r>
          <rPr>
            <sz val="8"/>
            <color rgb="FF000000"/>
            <rFont val="Tahoma"/>
            <family val="0"/>
          </rPr>
          <t xml:space="preserve">All Bloomberg BLP unless noted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1</xdr:row>
                <xdr:rowOff>9</xdr:rowOff>
              </xdr:from>
              <xdr:to>
                <xdr:col>4</xdr:col>
                <xdr:colOff>38</xdr:colOff>
                <xdr:row>5</xdr:row>
                <xdr:rowOff>9</xdr:rowOff>
              </xdr:to>
            </anchor>
          </commentPr>
        </mc:Choice>
        <mc:Fallback/>
      </mc:AlternateContent>
    </comment>
    <comment ref="H3" authorId="0">
      <text>
        <r>
          <rPr>
            <b val="true"/>
            <sz val="8"/>
            <color rgb="FF000000"/>
            <rFont val="Tahoma"/>
            <family val="2"/>
          </rPr>
          <t xml:space="preserve">Ethan Schultz:
</t>
        </r>
        <r>
          <rPr>
            <sz val="8"/>
            <color rgb="FF000000"/>
            <rFont val="Tahoma"/>
            <family val="2"/>
          </rPr>
          <t xml:space="preserve">All Bloomberg BLP unless noted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1</xdr:row>
                <xdr:rowOff>9</xdr:rowOff>
              </xdr:from>
              <xdr:to>
                <xdr:col>10</xdr:col>
                <xdr:colOff>4</xdr:colOff>
                <xdr:row>5</xdr:row>
                <xdr:rowOff>9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3" authorId="0">
      <text>
        <r>
          <rPr>
            <b val="true"/>
            <sz val="8"/>
            <color rgb="FF000000"/>
            <rFont val="Tahoma"/>
            <family val="0"/>
          </rPr>
          <t xml:space="preserve">Ethan Schultz:
</t>
        </r>
        <r>
          <rPr>
            <sz val="8"/>
            <color rgb="FF000000"/>
            <rFont val="Tahoma"/>
            <family val="0"/>
          </rPr>
          <t xml:space="preserve">All Bloomberg BLP unless noted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265</xdr:colOff>
                <xdr:row>1</xdr:row>
                <xdr:rowOff>8</xdr:rowOff>
              </xdr:from>
              <xdr:to>
                <xdr:col>2</xdr:col>
                <xdr:colOff>125</xdr:colOff>
                <xdr:row>5</xdr:row>
                <xdr:rowOff>8</xdr:rowOff>
              </xdr:to>
            </anchor>
          </commentPr>
        </mc:Choice>
        <mc:Fallback/>
      </mc:AlternateContent>
    </comment>
    <comment ref="H3" authorId="0">
      <text>
        <r>
          <rPr>
            <b val="true"/>
            <sz val="8"/>
            <color rgb="FF000000"/>
            <rFont val="Tahoma"/>
            <family val="2"/>
          </rPr>
          <t xml:space="preserve">Ethan Schultz:
</t>
        </r>
        <r>
          <rPr>
            <sz val="8"/>
            <color rgb="FF000000"/>
            <rFont val="Tahoma"/>
            <family val="2"/>
          </rPr>
          <t xml:space="preserve">All Bloomberg BLP unless noted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59</xdr:colOff>
                <xdr:row>1</xdr:row>
                <xdr:rowOff>8</xdr:rowOff>
              </xdr:from>
              <xdr:to>
                <xdr:col>8</xdr:col>
                <xdr:colOff>123</xdr:colOff>
                <xdr:row>5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<sst xmlns="http://schemas.openxmlformats.org/spreadsheetml/2006/main" count="438" uniqueCount="192">
  <si>
    <t xml:space="preserve">EGM Market Update</t>
  </si>
  <si>
    <t xml:space="preserve">Equity/Commodity Markets</t>
  </si>
  <si>
    <t xml:space="preserve">% Change</t>
  </si>
  <si>
    <t xml:space="preserve">Credit/Equity Markets</t>
  </si>
  <si>
    <t xml:space="preserve">bp change</t>
  </si>
  <si>
    <t xml:space="preserve">Equity Market Indices</t>
  </si>
  <si>
    <t xml:space="preserve">US Treasuries</t>
  </si>
  <si>
    <t xml:space="preserve">Dow Jones Industrial Average</t>
  </si>
  <si>
    <t xml:space="preserve">INDU Index</t>
  </si>
  <si>
    <t xml:space="preserve">3 Month</t>
  </si>
  <si>
    <t xml:space="preserve">CB03 Govt CUSIP</t>
  </si>
  <si>
    <t xml:space="preserve">NASDAQ Composite</t>
  </si>
  <si>
    <t xml:space="preserve">CCMP Index</t>
  </si>
  <si>
    <t xml:space="preserve">6 Month</t>
  </si>
  <si>
    <t xml:space="preserve">CB06 Govt CUSIP</t>
  </si>
  <si>
    <t xml:space="preserve">NASDAQ 100</t>
  </si>
  <si>
    <t xml:space="preserve">NDQ Index</t>
  </si>
  <si>
    <t xml:space="preserve">1 Year</t>
  </si>
  <si>
    <t xml:space="preserve">CB12 Govt CUSIP</t>
  </si>
  <si>
    <t xml:space="preserve">S&amp;P 500</t>
  </si>
  <si>
    <t xml:space="preserve">SPX Index</t>
  </si>
  <si>
    <t xml:space="preserve">2 Year</t>
  </si>
  <si>
    <t xml:space="preserve">CT02 Govt CUSIP</t>
  </si>
  <si>
    <t xml:space="preserve">Russell 2000</t>
  </si>
  <si>
    <t xml:space="preserve">RTY Index</t>
  </si>
  <si>
    <t xml:space="preserve">5 Year</t>
  </si>
  <si>
    <t xml:space="preserve">CT05 Govt CUSIP</t>
  </si>
  <si>
    <t xml:space="preserve">Wilshire 5000</t>
  </si>
  <si>
    <t xml:space="preserve">TMW Index</t>
  </si>
  <si>
    <t xml:space="preserve">10 Year</t>
  </si>
  <si>
    <t xml:space="preserve">CT10 Govt CUSIP</t>
  </si>
  <si>
    <t xml:space="preserve">TSE 300</t>
  </si>
  <si>
    <t xml:space="preserve">TS300 Index</t>
  </si>
  <si>
    <t xml:space="preserve">30 Year</t>
  </si>
  <si>
    <t xml:space="preserve">CT30 Govt CUSIP</t>
  </si>
  <si>
    <t xml:space="preserve">FTSE</t>
  </si>
  <si>
    <t xml:space="preserve">UKX Index</t>
  </si>
  <si>
    <t xml:space="preserve">LIBOR</t>
  </si>
  <si>
    <t xml:space="preserve">Nikkei</t>
  </si>
  <si>
    <t xml:space="preserve">NKY Index</t>
  </si>
  <si>
    <t xml:space="preserve">US0003M Index</t>
  </si>
  <si>
    <t xml:space="preserve">DAX</t>
  </si>
  <si>
    <t xml:space="preserve">DAX Index</t>
  </si>
  <si>
    <t xml:space="preserve">US0006M Index</t>
  </si>
  <si>
    <t xml:space="preserve">CAC 40</t>
  </si>
  <si>
    <t xml:space="preserve">CAC Index</t>
  </si>
  <si>
    <t xml:space="preserve">US0012M Index</t>
  </si>
  <si>
    <t xml:space="preserve">Commodities</t>
  </si>
  <si>
    <t xml:space="preserve">USSW2 Index</t>
  </si>
  <si>
    <t xml:space="preserve">Electricity COB ($/MWh)</t>
  </si>
  <si>
    <t xml:space="preserve">OW1  Comdty</t>
  </si>
  <si>
    <t xml:space="preserve">USSW5 Index</t>
  </si>
  <si>
    <t xml:space="preserve">Nymex Crude Oil ($/Bbl)</t>
  </si>
  <si>
    <t xml:space="preserve">CL1 Comdty</t>
  </si>
  <si>
    <t xml:space="preserve">USSW10 Index</t>
  </si>
  <si>
    <t xml:space="preserve">IPE Brent Crude ( $/Bbl)</t>
  </si>
  <si>
    <t xml:space="preserve">CO1 Comdty</t>
  </si>
  <si>
    <t xml:space="preserve">USSW30 Index</t>
  </si>
  <si>
    <t xml:space="preserve">NYMEX UL (cents/Gal)</t>
  </si>
  <si>
    <t xml:space="preserve">HU1 Comdty</t>
  </si>
  <si>
    <t xml:space="preserve">NYMEX HO (cents/Gal)</t>
  </si>
  <si>
    <t xml:space="preserve">HO1 Comdty</t>
  </si>
  <si>
    <t xml:space="preserve">Japan Governments</t>
  </si>
  <si>
    <t xml:space="preserve">Nymex Gas Henry Hub ($/MMBtu)</t>
  </si>
  <si>
    <t xml:space="preserve">NG1 Comdty</t>
  </si>
  <si>
    <t xml:space="preserve">GJTB3MO INDEX</t>
  </si>
  <si>
    <t xml:space="preserve">N/A</t>
  </si>
  <si>
    <t xml:space="preserve">NA</t>
  </si>
  <si>
    <t xml:space="preserve">Coal Spot Price Big Sandy ($/st)</t>
  </si>
  <si>
    <t xml:space="preserve">COALBGSD Index</t>
  </si>
  <si>
    <t xml:space="preserve">GJTB6MO INDEX</t>
  </si>
  <si>
    <t xml:space="preserve">ENE Equity</t>
  </si>
  <si>
    <t xml:space="preserve">Coal Spot Price PRB, 8800 ($/st)</t>
  </si>
  <si>
    <t xml:space="preserve">COALPWDR Index</t>
  </si>
  <si>
    <t xml:space="preserve">GJGB1 INDEX</t>
  </si>
  <si>
    <t xml:space="preserve">Coal Spot Price PRB, 8400 ($/st)</t>
  </si>
  <si>
    <t xml:space="preserve">COALPR84 Index</t>
  </si>
  <si>
    <t xml:space="preserve">GJGB2 INDEX</t>
  </si>
  <si>
    <t xml:space="preserve">SO2 Emission Allowance ($/st)</t>
  </si>
  <si>
    <t xml:space="preserve">ELEASO21 Index</t>
  </si>
  <si>
    <t xml:space="preserve">GJGB5 INDEX</t>
  </si>
  <si>
    <t xml:space="preserve">NOX Emission Allowance ($/st)</t>
  </si>
  <si>
    <t xml:space="preserve">ELEANOX4 Index</t>
  </si>
  <si>
    <t xml:space="preserve">GJGB10 INDEX</t>
  </si>
  <si>
    <t xml:space="preserve">Baltic Handymax Index ($/day)</t>
  </si>
  <si>
    <t xml:space="preserve">BMIY Index</t>
  </si>
  <si>
    <t xml:space="preserve">GJGB30 INDEX</t>
  </si>
  <si>
    <t xml:space="preserve">Baltic Panamax Index ($/day)</t>
  </si>
  <si>
    <t xml:space="preserve">BPIY Index</t>
  </si>
  <si>
    <t xml:space="preserve">TIBOR</t>
  </si>
  <si>
    <t xml:space="preserve">Baltix Capesize Index ($/day)</t>
  </si>
  <si>
    <t xml:space="preserve">BCIY Index</t>
  </si>
  <si>
    <t xml:space="preserve">Ti0003M INDEX</t>
  </si>
  <si>
    <t xml:space="preserve">Gold Future ($/100 Troy Ounce)</t>
  </si>
  <si>
    <t xml:space="preserve">GC1 Comdty</t>
  </si>
  <si>
    <t xml:space="preserve">TI0006M INDEX</t>
  </si>
  <si>
    <t xml:space="preserve">Platinum Future ($/50 Troy Oz)</t>
  </si>
  <si>
    <t xml:space="preserve">PL1 Comdty</t>
  </si>
  <si>
    <t xml:space="preserve">TI0012M INDEX</t>
  </si>
  <si>
    <t xml:space="preserve">LME 3MO Aluminum Future ($/25 tonnes)</t>
  </si>
  <si>
    <t xml:space="preserve">LMAHDS03 Comdty</t>
  </si>
  <si>
    <t xml:space="preserve">LME 3MO Lead Future ($/25 tonnes)</t>
  </si>
  <si>
    <t xml:space="preserve">LMPBDS03 Comdty</t>
  </si>
  <si>
    <t xml:space="preserve">Prime Rate (Current)</t>
  </si>
  <si>
    <t xml:space="preserve">PRIME Index</t>
  </si>
  <si>
    <t xml:space="preserve">LME 3MO Nickel Future ($/6 tonnes)</t>
  </si>
  <si>
    <t xml:space="preserve">LMNIDS03 Comdty</t>
  </si>
  <si>
    <t xml:space="preserve">Lumber ($/110,000 board ft)</t>
  </si>
  <si>
    <t xml:space="preserve">LB1 Comdty</t>
  </si>
  <si>
    <t xml:space="preserve">Enron Related Securities</t>
  </si>
  <si>
    <t xml:space="preserve">Hot Rolled Steel ($/metric ton)</t>
  </si>
  <si>
    <t xml:space="preserve">MBSTUSHR Index</t>
  </si>
  <si>
    <t xml:space="preserve">Enron (ENE)</t>
  </si>
  <si>
    <t xml:space="preserve">ENE US Equity</t>
  </si>
  <si>
    <t xml:space="preserve">Cold Rolled Steel ($/metric ton)</t>
  </si>
  <si>
    <t xml:space="preserve">MBSTUSCR Index</t>
  </si>
  <si>
    <t xml:space="preserve">EOG Resources (EOG)</t>
  </si>
  <si>
    <t xml:space="preserve">EOG US Equity</t>
  </si>
  <si>
    <t xml:space="preserve">Currencies</t>
  </si>
  <si>
    <t xml:space="preserve">The New Power Company (NPW)</t>
  </si>
  <si>
    <t xml:space="preserve">NPW US Equity</t>
  </si>
  <si>
    <t xml:space="preserve">$/Euro</t>
  </si>
  <si>
    <t xml:space="preserve">EUR Curncy</t>
  </si>
  <si>
    <t xml:space="preserve">Northern Border Partners (NBP)</t>
  </si>
  <si>
    <t xml:space="preserve">NBP US Equity</t>
  </si>
  <si>
    <t xml:space="preserve">CAD/$</t>
  </si>
  <si>
    <t xml:space="preserve">CAD Curncy</t>
  </si>
  <si>
    <t xml:space="preserve">EOTT (EOT)</t>
  </si>
  <si>
    <t xml:space="preserve">EOT US equity</t>
  </si>
  <si>
    <t xml:space="preserve">Yen/$</t>
  </si>
  <si>
    <t xml:space="preserve">JPY Curncy</t>
  </si>
  <si>
    <t xml:space="preserve">$/Pound</t>
  </si>
  <si>
    <t xml:space="preserve">GBP Curncy</t>
  </si>
  <si>
    <t xml:space="preserve">DM/$</t>
  </si>
  <si>
    <t xml:space="preserve">DEM Curncy</t>
  </si>
  <si>
    <t xml:space="preserve">CHF/$</t>
  </si>
  <si>
    <t xml:space="preserve">CHF Curncy</t>
  </si>
  <si>
    <t xml:space="preserve">Merrill Lynch High Yield Index</t>
  </si>
  <si>
    <t xml:space="preserve">FRF/$</t>
  </si>
  <si>
    <t xml:space="preserve">FRF Curncy</t>
  </si>
  <si>
    <t xml:space="preserve">BB Spread</t>
  </si>
  <si>
    <t xml:space="preserve">$/AUD</t>
  </si>
  <si>
    <t xml:space="preserve">AUD Curncy</t>
  </si>
  <si>
    <t xml:space="preserve">B Spread</t>
  </si>
  <si>
    <t xml:space="preserve">This Week's News  </t>
  </si>
  <si>
    <t xml:space="preserve">US</t>
  </si>
  <si>
    <t xml:space="preserve">Europe</t>
  </si>
  <si>
    <t xml:space="preserve">Japan</t>
  </si>
  <si>
    <t xml:space="preserve">Industry Data</t>
  </si>
  <si>
    <t xml:space="preserve">Economic Data</t>
  </si>
  <si>
    <t xml:space="preserve">Oct 19: California Governor Working to Renegotiate Power Contracts Amid Criticism</t>
  </si>
  <si>
    <t xml:space="preserve">Oct 19: France - Current Account (Euros) (AUG) [A: 4.1B, P: 4.0B]</t>
  </si>
  <si>
    <t xml:space="preserve">Oct 18: Crude Steel Products (YoY) (SEP) [A: -3.5%, P: -5.4%]</t>
  </si>
  <si>
    <t xml:space="preserve">Oct 19: Nymex Crude Oil Rises for First timein Week as OPEC Committee to Meet</t>
  </si>
  <si>
    <t xml:space="preserve">Oct 19: Germany - Construction Orders (BBK) (MoM) (AUG) [A: 4.3%, P: -9.7%]</t>
  </si>
  <si>
    <t xml:space="preserve">Oct 18: Leading Economic Index (AUG) [S: 42.9%, A: 55.6%, P: 55.6%]</t>
  </si>
  <si>
    <t xml:space="preserve">Oct 19: Enron Shares Fall for Third Day on Concern Over Partnerships Linked to CFO</t>
  </si>
  <si>
    <t xml:space="preserve">Oct 19: Netherlands - Retail Sales (YoY) (AUG) [A: 8.1%, P: 4.3%]</t>
  </si>
  <si>
    <t xml:space="preserve">Oct 19: Mfg. Electricity Usage (YoY) (SEP) [A: -6.0%, P: -4.5%]</t>
  </si>
  <si>
    <t xml:space="preserve">Canada</t>
  </si>
  <si>
    <t xml:space="preserve">Australia</t>
  </si>
  <si>
    <t xml:space="preserve">Oct 18: Initial Jobless Claims (OCT 13) [S: 480k, A: 490k, P: 484k]</t>
  </si>
  <si>
    <t xml:space="preserve">Oct 18: Philadelphia Fed. (OCT) [S: -15.0, A: -27.4, P: -7.3]</t>
  </si>
  <si>
    <t xml:space="preserve">Oct 18: Consumer Price Index (SEP) [S: 0.1%, A: 0.3%, P: 0.0%]</t>
  </si>
  <si>
    <t xml:space="preserve">Oct 18: Export price index (QoQ) (Q3) [A: -0.9%, P: 4.3%]</t>
  </si>
  <si>
    <t xml:space="preserve">Oct 19: Consumer Price Index (SEP) [S: 0.3%, A: 0.4%, P: 0.1%]</t>
  </si>
  <si>
    <t xml:space="preserve">Oct 19: Wholesale Sales (AUG) [S: C$5.2, A: C$4.4, P: C$5.4]</t>
  </si>
  <si>
    <t xml:space="preserve">Previous Week's News  </t>
  </si>
  <si>
    <t xml:space="preserve">Oct 12: Crude Oil, Gasoline Fall as Anthrax Cases Spur Concern Demand May Decline</t>
  </si>
  <si>
    <t xml:space="preserve">Oct 12: Germany - Retail Sales Real NSA (YoY) (AUG) [S: 0.7%, A: 0.4%, P: 0.9%]</t>
  </si>
  <si>
    <t xml:space="preserve">Oct 10: Tokyo Condominium Sales (YoY) (SEP) [A: -4.2%, P: -4.2%]</t>
  </si>
  <si>
    <t xml:space="preserve">Oct 12: PG&amp;E's Post-Crisis Restructuring May Make It Better Investment Than Edison</t>
  </si>
  <si>
    <t xml:space="preserve">Oct 12: France - Gross Domestic Product (YoY) (SEP) [S: 0.3%, A: 0.3%, P: 0.4%]</t>
  </si>
  <si>
    <t xml:space="preserve">Oct 10: Bank Lending (YoY) (SEP) [S: -4.4%, A: -4.2%, P: -4.2%]</t>
  </si>
  <si>
    <t xml:space="preserve">Oct 12: US Nuclear Regulators Shut Internet Site to Keep Data From Terrorists</t>
  </si>
  <si>
    <t xml:space="preserve">Oct 21: France - Consumer Price Index (YoY) (SEP) [S: 0.2%, A: 0.2%, P: 0.0%]</t>
  </si>
  <si>
    <t xml:space="preserve">Oct 10: Money Supply M2+CD (YoY) (SEP) [S: 3.4%, A: 3.7%, P: 3.4%]</t>
  </si>
  <si>
    <t xml:space="preserve">Oct 11: Initial Jobless Claims (OCT 6) [S: 510k A: 468k, P: 535k]</t>
  </si>
  <si>
    <t xml:space="preserve">Oct 12: Producer Price Index (SEP) [S: 0.0%, A: 0.4%, P: 0.4%]</t>
  </si>
  <si>
    <t xml:space="preserve">Oct 9: Ivey Purchasing Managers Index (SEP) [S: 49.0, A: 45.4, P: 53.5]</t>
  </si>
  <si>
    <t xml:space="preserve">Oct 10: Employment Change (SEP) [S: -25.00, A: -48.50, P: 77.30]</t>
  </si>
  <si>
    <t xml:space="preserve">Oct 12: U. of Michigan Confidence (OCT) [S: 76.0, A: 83.4, P: 81.9]</t>
  </si>
  <si>
    <t xml:space="preserve">Oct 11: New Housing Price Index (MoM) (AUG) [S: 0.3%, A: 0.2%, P: 0.3%]</t>
  </si>
  <si>
    <t xml:space="preserve">Oct 10: Housing Finance (AUG) [S: -0.5%, A: -2.1%, P: 3.0%]</t>
  </si>
  <si>
    <t xml:space="preserve">PX_Last</t>
  </si>
  <si>
    <t xml:space="preserve">CUSIP</t>
  </si>
  <si>
    <t xml:space="preserve">PX_Close_5D</t>
  </si>
  <si>
    <t xml:space="preserve">YLD_YTM_MID</t>
  </si>
  <si>
    <t xml:space="preserve">PX_Settle</t>
  </si>
  <si>
    <t xml:space="preserve">YLD_CHG_PCT_5D</t>
  </si>
  <si>
    <t xml:space="preserve">FWD_RT_1MO</t>
  </si>
  <si>
    <t xml:space="preserve">CHG_NET_5D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</si>
</sst>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[$-409]m/d/yyyy"/>
    <numFmt numFmtId="166" formatCode="0.00"/>
    <numFmt numFmtId="167" formatCode="0.00%"/>
    <numFmt numFmtId="168" formatCode="0"/>
    <numFmt numFmtId="169" formatCode="[$-409]mmm\-yy"/>
    <numFmt numFmtId="170" formatCode="0.0%"/>
    <numFmt numFmtId="171" formatCode="_(\$* #,##0.00_);_(\$* \(#,##0.00\);_(\$* \-??_);_(@_)"/>
    <numFmt numFmtId="172" formatCode="\$#,##0.00"/>
    <numFmt numFmtId="173" formatCode="[$-409]d\-mmm"/>
  </numFmts>
  <fonts count="2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u val="single"/>
      <sz val="20"/>
      <color rgb="FF0000FF"/>
      <name val="Arial"/>
      <family val="2"/>
    </font>
    <font>
      <b val="true"/>
      <i val="true"/>
      <sz val="12"/>
      <name val="Arial"/>
      <family val="2"/>
    </font>
    <font>
      <b val="true"/>
      <sz val="10"/>
      <name val="Arial"/>
      <family val="2"/>
    </font>
    <font>
      <sz val="10"/>
      <color rgb="FFFFFFFF"/>
      <name val="Arial"/>
      <family val="2"/>
    </font>
    <font>
      <b val="true"/>
      <u val="single"/>
      <sz val="10"/>
      <name val="Arial"/>
      <family val="2"/>
    </font>
    <font>
      <b val="true"/>
      <sz val="12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sz val="8"/>
      <color rgb="FF000000"/>
      <name val="Tahoma"/>
      <family val="2"/>
    </font>
    <font>
      <sz val="8"/>
      <color rgb="FF000000"/>
      <name val="Tahoma"/>
      <family val="2"/>
    </font>
    <font>
      <b val="true"/>
      <sz val="10.75"/>
      <color rgb="FF000000"/>
      <name val="Arial"/>
      <family val="2"/>
    </font>
    <font>
      <sz val="11.25"/>
      <color rgb="FF000000"/>
      <name val="Arial"/>
      <family val="2"/>
    </font>
    <font>
      <b val="true"/>
      <sz val="11.5"/>
      <color rgb="FF000000"/>
      <name val="Arial"/>
      <family val="2"/>
    </font>
    <font>
      <sz val="9.5"/>
      <color rgb="FF000000"/>
      <name val="Arial"/>
      <family val="2"/>
    </font>
    <font>
      <sz val="8.75"/>
      <color rgb="FF000000"/>
      <name val="Arial"/>
      <family val="2"/>
    </font>
    <font>
      <sz val="10.75"/>
      <color rgb="FF000000"/>
      <name val="Arial"/>
      <family val="2"/>
    </font>
    <font>
      <b val="true"/>
      <sz val="9"/>
      <color rgb="FF000000"/>
      <name val="Arial"/>
      <family val="2"/>
    </font>
    <font>
      <sz val="9"/>
      <color rgb="FF000000"/>
      <name val="Arial"/>
      <family val="2"/>
    </font>
    <font>
      <b val="true"/>
      <sz val="12"/>
      <color rgb="FF000000"/>
      <name val="Arial"/>
      <family val="2"/>
    </font>
    <font>
      <sz val="12"/>
      <color rgb="FF000000"/>
      <name val="Arial"/>
      <family val="2"/>
    </font>
    <font>
      <sz val="10"/>
      <color rgb="FF000000"/>
      <name val="Arial"/>
      <family val="2"/>
    </font>
    <font>
      <b val="true"/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0C0C0"/>
        <bgColor rgb="FFCCCCFF"/>
      </patternFill>
    </fill>
  </fills>
  <borders count="37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/>
      <right style="medium"/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71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9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3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4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4" fillId="3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4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3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4" fillId="3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4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3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4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4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2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2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3" borderId="2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4" fillId="3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2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16">
    <dxf>
      <font>
        <name val="Arial"/>
        <family val="0"/>
        <color rgb="00FFFFFF"/>
      </font>
    </dxf>
    <dxf>
      <font>
        <name val="Arial"/>
        <family val="0"/>
        <color rgb="FFFF0000"/>
      </font>
    </dxf>
    <dxf>
      <font>
        <name val="Arial"/>
        <family val="0"/>
        <color rgb="00FFFFFF"/>
      </font>
      <fill>
        <patternFill/>
      </fill>
    </dxf>
    <dxf>
      <font>
        <name val="Arial"/>
        <family val="0"/>
        <color rgb="FFFF0000"/>
      </font>
    </dxf>
    <dxf>
      <font>
        <name val="Arial"/>
        <family val="0"/>
        <color rgb="00FFFFFF"/>
      </font>
    </dxf>
    <dxf>
      <font>
        <name val="Arial"/>
        <family val="0"/>
        <color rgb="FFFF0000"/>
      </font>
    </dxf>
    <dxf>
      <font>
        <name val="Arial"/>
        <family val="0"/>
        <color rgb="FFFF0000"/>
      </font>
    </dxf>
    <dxf>
      <font>
        <name val="Arial"/>
        <family val="0"/>
        <color rgb="FFFF0000"/>
      </font>
    </dxf>
    <dxf>
      <font>
        <name val="Arial"/>
        <family val="0"/>
        <color rgb="00FFFFFF"/>
      </font>
    </dxf>
    <dxf>
      <font>
        <name val="Arial"/>
        <family val="0"/>
        <color rgb="FFFF0000"/>
      </font>
    </dxf>
    <dxf>
      <font>
        <name val="Arial"/>
        <family val="0"/>
        <color rgb="00FFFFFF"/>
      </font>
      <fill>
        <patternFill/>
      </fill>
    </dxf>
    <dxf>
      <font>
        <name val="Arial"/>
        <family val="0"/>
        <color rgb="FFFF0000"/>
      </font>
    </dxf>
    <dxf>
      <font>
        <name val="Arial"/>
        <family val="0"/>
        <color rgb="FFFF0000"/>
      </font>
    </dxf>
    <dxf>
      <font>
        <name val="Arial"/>
        <family val="0"/>
        <color rgb="FFFF0000"/>
      </font>
    </dxf>
    <dxf>
      <font>
        <name val="Arial"/>
        <family val="0"/>
        <color rgb="00FFFFFF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externalLink" Target="externalLinks/externalLink2.xml"/><Relationship Id="rId8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75" strike="noStrike" u="none">
                <a:solidFill>
                  <a:srgbClr val="000000"/>
                </a:solidFill>
                <a:uFillTx/>
                <a:latin typeface="Arial"/>
              </a:rPr>
              <a:t>Current LIBOR &amp; US Treasury Curves</a:t>
            </a:r>
          </a:p>
        </c:rich>
      </c:tx>
      <c:layout>
        <c:manualLayout>
          <c:xMode val="edge"/>
          <c:yMode val="edge"/>
          <c:x val="0.167979648777285"/>
          <c:y val="0.045430754736731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21565731166913"/>
          <c:y val="0.127289856589553"/>
          <c:w val="0.96512391268669"/>
          <c:h val="0.76562336438815"/>
        </c:manualLayout>
      </c:layout>
      <c:scatterChart>
        <c:scatterStyle val="lineMarker"/>
        <c:varyColors val="0"/>
        <c:ser>
          <c:idx val="0"/>
          <c:order val="0"/>
          <c:tx>
            <c:strRef>
              <c:f>"Treasuries"</c:f>
              <c:strCache>
                <c:ptCount val="1"/>
                <c:pt idx="0">
                  <c:v>Treasuries</c:v>
                </c:pt>
              </c:strCache>
            </c:strRef>
          </c:tx>
          <c:spPr>
            <a:solidFill>
              <a:srgbClr val="0000ff"/>
            </a:solidFill>
            <a:ln w="37800">
              <a:solidFill>
                <a:srgbClr val="0000ff"/>
              </a:solidFill>
              <a:round/>
            </a:ln>
          </c:spPr>
          <c:marker>
            <c:symbol val="square"/>
            <c:size val="5"/>
            <c:spPr>
              <a:solidFill>
                <a:srgbClr val="0000ff"/>
              </a:solidFill>
            </c:spPr>
          </c:marker>
          <c:dPt>
            <c:idx val="6"/>
            <c:marker>
              <c:symbol val="square"/>
              <c:size val="5"/>
              <c:spPr>
                <a:solidFill>
                  <a:srgbClr val="0000ff"/>
                </a:solidFill>
              </c:spPr>
            </c:marker>
          </c:dPt>
          <c:dLbls>
            <c:dLbl>
              <c:idx val="6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
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UNLNK!$N$23:$N$29</c:f>
              <c:numCache>
                <c:formatCode>General</c:formatCode>
                <c:ptCount val="7"/>
                <c:pt idx="0">
                  <c:v>0.25</c:v>
                </c:pt>
                <c:pt idx="1">
                  <c:v>0.5</c:v>
                </c:pt>
                <c:pt idx="2">
                  <c:v>1</c:v>
                </c:pt>
                <c:pt idx="3">
                  <c:v>2</c:v>
                </c:pt>
                <c:pt idx="4">
                  <c:v>5</c:v>
                </c:pt>
                <c:pt idx="5">
                  <c:v>10</c:v>
                </c:pt>
                <c:pt idx="6">
                  <c:v>30</c:v>
                </c:pt>
              </c:numCache>
            </c:numRef>
          </c:xVal>
          <c:yVal>
            <c:numRef>
              <c:f>UNLNK!$L$5:$L$11</c:f>
              <c:numCache>
                <c:formatCode>0.00%</c:formatCode>
                <c:ptCount val="7"/>
                <c:pt idx="0">
                  <c:v>0.02196</c:v>
                </c:pt>
                <c:pt idx="1">
                  <c:v>0.02157</c:v>
                </c:pt>
                <c:pt idx="2">
                  <c:v>0.02326</c:v>
                </c:pt>
                <c:pt idx="3">
                  <c:v>0.02754</c:v>
                </c:pt>
                <c:pt idx="4">
                  <c:v>0.03817</c:v>
                </c:pt>
                <c:pt idx="5">
                  <c:v>0.04621</c:v>
                </c:pt>
                <c:pt idx="6">
                  <c:v>0.05358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"LIBOR"</c:f>
              <c:strCache>
                <c:ptCount val="1"/>
                <c:pt idx="0">
                  <c:v>LIBOR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circle"/>
            <c:size val="3"/>
            <c:spPr>
              <a:solidFill>
                <a:srgbClr val="ff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UNLNK!$N$23:$N$29</c:f>
              <c:numCache>
                <c:formatCode>General</c:formatCode>
                <c:ptCount val="7"/>
                <c:pt idx="0">
                  <c:v>0.25</c:v>
                </c:pt>
                <c:pt idx="1">
                  <c:v>0.5</c:v>
                </c:pt>
                <c:pt idx="2">
                  <c:v>1</c:v>
                </c:pt>
                <c:pt idx="3">
                  <c:v>2</c:v>
                </c:pt>
                <c:pt idx="4">
                  <c:v>5</c:v>
                </c:pt>
                <c:pt idx="5">
                  <c:v>10</c:v>
                </c:pt>
                <c:pt idx="6">
                  <c:v>30</c:v>
                </c:pt>
              </c:numCache>
            </c:numRef>
          </c:xVal>
          <c:yVal>
            <c:numRef>
              <c:f>UNLNK!$L$13:$L$19</c:f>
              <c:numCache>
                <c:formatCode>0.00%</c:formatCode>
                <c:ptCount val="7"/>
                <c:pt idx="0">
                  <c:v>0.0236625</c:v>
                </c:pt>
                <c:pt idx="1">
                  <c:v>0.0232125</c:v>
                </c:pt>
                <c:pt idx="2">
                  <c:v>0.025025</c:v>
                </c:pt>
                <c:pt idx="3">
                  <c:v>0.0322000003</c:v>
                </c:pt>
                <c:pt idx="4">
                  <c:v>0.0454299998</c:v>
                </c:pt>
                <c:pt idx="5">
                  <c:v>0.05296</c:v>
                </c:pt>
                <c:pt idx="6">
                  <c:v>0.0587799978</c:v>
                </c:pt>
              </c:numCache>
            </c:numRef>
          </c:yVal>
          <c:smooth val="0"/>
        </c:ser>
        <c:axId val="72214444"/>
        <c:axId val="27040641"/>
      </c:scatterChart>
      <c:valAx>
        <c:axId val="72214444"/>
        <c:scaling>
          <c:orientation val="minMax"/>
          <c:max val="30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150" strike="noStrike" u="none">
                    <a:solidFill>
                      <a:srgbClr val="000000"/>
                    </a:solidFill>
                    <a:uFillTx/>
                    <a:latin typeface="Arial"/>
                  </a:rPr>
                  <a:t>Years</a:t>
                </a:r>
              </a:p>
            </c:rich>
          </c:tx>
          <c:layout>
            <c:manualLayout>
              <c:xMode val="edge"/>
              <c:yMode val="edge"/>
              <c:x val="0.450352863942229"/>
              <c:y val="0.882131267664608"/>
            </c:manualLayout>
          </c:layout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1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7040641"/>
        <c:crossesAt val="0"/>
        <c:crossBetween val="midCat"/>
      </c:valAx>
      <c:valAx>
        <c:axId val="27040641"/>
        <c:scaling>
          <c:orientation val="minMax"/>
          <c:max val="0.06"/>
          <c:min val="0.02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0.00%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2214444"/>
        <c:crossesAt val="0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789594616773346"/>
          <c:y val="0.88234062598136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75" strike="noStrike" u="none">
                <a:solidFill>
                  <a:srgbClr val="000000"/>
                </a:solidFill>
                <a:uFillTx/>
                <a:latin typeface="Arial"/>
              </a:rPr>
              <a:t>ENE Last 5 Days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463159614442085"/>
          <c:y val="0.114433098220865"/>
          <c:w val="0.927544518869466"/>
          <c:h val="0.833245604800505"/>
        </c:manualLayout>
      </c:layout>
      <c:lineChart>
        <c:grouping val="standard"/>
        <c:varyColors val="0"/>
        <c:ser>
          <c:idx val="0"/>
          <c:order val="0"/>
          <c:tx>
            <c:strRef>
              <c:f>UNLNK!$W$23</c:f>
              <c:strCache>
                <c:ptCount val="1"/>
                <c:pt idx="0">
                  <c:v>ENE Equity</c:v>
                </c:pt>
              </c:strCache>
            </c:strRef>
          </c:tx>
          <c:spPr>
            <a:solidFill>
              <a:srgbClr val="000080"/>
            </a:solidFill>
            <a:ln w="378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UNLNK!$W$25:$W$29</c:f>
              <c:strCache>
                <c:ptCount val="5"/>
                <c:pt idx="0">
                  <c:v>10/15/2001</c:v>
                </c:pt>
                <c:pt idx="1">
                  <c:v>10/16/2001</c:v>
                </c:pt>
                <c:pt idx="2">
                  <c:v>10/17/2001</c:v>
                </c:pt>
                <c:pt idx="3">
                  <c:v>10/18/2001</c:v>
                </c:pt>
                <c:pt idx="4">
                  <c:v>10/19/2001</c:v>
                </c:pt>
              </c:strCache>
            </c:strRef>
          </c:cat>
          <c:val>
            <c:numRef>
              <c:f>UNLNK!$X$25:$X$29</c:f>
              <c:numCache>
                <c:formatCode>\$#,##0.00</c:formatCode>
                <c:ptCount val="5"/>
                <c:pt idx="0">
                  <c:v>33.17</c:v>
                </c:pt>
                <c:pt idx="1">
                  <c:v>33.84</c:v>
                </c:pt>
                <c:pt idx="2">
                  <c:v>32.2</c:v>
                </c:pt>
                <c:pt idx="3">
                  <c:v>29</c:v>
                </c:pt>
                <c:pt idx="4">
                  <c:v>26.05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9642780"/>
        <c:axId val="36860613"/>
      </c:lineChart>
      <c:catAx>
        <c:axId val="19642780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9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6860613"/>
        <c:crossesAt val="0"/>
        <c:auto val="1"/>
        <c:lblAlgn val="ctr"/>
        <c:lblOffset val="100"/>
        <c:noMultiLvlLbl val="0"/>
      </c:catAx>
      <c:valAx>
        <c:axId val="36860613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\$#,##0.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9642780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Current LIBOR &amp; US Treasury Curves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08804847776885"/>
          <c:y val="0.179684917924424"/>
          <c:w val="0.964152734175367"/>
          <c:h val="0.682824721824391"/>
        </c:manualLayout>
      </c:layout>
      <c:scatterChart>
        <c:scatterStyle val="lineMarker"/>
        <c:varyColors val="0"/>
        <c:ser>
          <c:idx val="0"/>
          <c:order val="0"/>
          <c:tx>
            <c:strRef>
              <c:f>"Treasuries"</c:f>
              <c:strCache>
                <c:ptCount val="1"/>
                <c:pt idx="0">
                  <c:v>Treasuries</c:v>
                </c:pt>
              </c:strCache>
            </c:strRef>
          </c:tx>
          <c:spPr>
            <a:solidFill>
              <a:srgbClr val="0000ff"/>
            </a:solidFill>
            <a:ln w="37800">
              <a:solidFill>
                <a:srgbClr val="0000ff"/>
              </a:solidFill>
              <a:round/>
            </a:ln>
          </c:spPr>
          <c:marker>
            <c:symbol val="square"/>
            <c:size val="5"/>
            <c:spPr>
              <a:solidFill>
                <a:srgbClr val="0000ff"/>
              </a:solidFill>
            </c:spPr>
          </c:marker>
          <c:dPt>
            <c:idx val="6"/>
            <c:marker>
              <c:symbol val="square"/>
              <c:size val="5"/>
              <c:spPr>
                <a:solidFill>
                  <a:srgbClr val="0000ff"/>
                </a:solidFill>
              </c:spPr>
            </c:marker>
          </c:dPt>
          <c:dLbls>
            <c:dLbl>
              <c:idx val="6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
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LNK!$N$23:$N$29</c:f>
              <c:numCache>
                <c:formatCode>General</c:formatCode>
                <c:ptCount val="7"/>
                <c:pt idx="0">
                  <c:v>0.25</c:v>
                </c:pt>
                <c:pt idx="1">
                  <c:v>0.5</c:v>
                </c:pt>
                <c:pt idx="2">
                  <c:v>1</c:v>
                </c:pt>
                <c:pt idx="3">
                  <c:v>2</c:v>
                </c:pt>
                <c:pt idx="4">
                  <c:v>5</c:v>
                </c:pt>
                <c:pt idx="5">
                  <c:v>10</c:v>
                </c:pt>
                <c:pt idx="6">
                  <c:v>30</c:v>
                </c:pt>
              </c:numCache>
            </c:numRef>
          </c:xVal>
          <c:yVal>
            <c:numRef>
              <c:f>LNK!$L$5:$L$11</c:f>
              <c:numCache>
                <c:formatCode>0.00%</c:formatCode>
                <c:ptCount val="7"/>
                <c:pt idx="0">
                  <c:v>0.02196</c:v>
                </c:pt>
                <c:pt idx="1">
                  <c:v>0.02157</c:v>
                </c:pt>
                <c:pt idx="2">
                  <c:v>0.02326</c:v>
                </c:pt>
                <c:pt idx="3">
                  <c:v>0.02754</c:v>
                </c:pt>
                <c:pt idx="4">
                  <c:v>0.03817</c:v>
                </c:pt>
                <c:pt idx="5">
                  <c:v>0.04621</c:v>
                </c:pt>
                <c:pt idx="6">
                  <c:v>0.05358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"LIBOR"</c:f>
              <c:strCache>
                <c:ptCount val="1"/>
                <c:pt idx="0">
                  <c:v>LIBOR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circle"/>
            <c:size val="3"/>
            <c:spPr>
              <a:solidFill>
                <a:srgbClr val="ff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LNK!$N$23:$N$29</c:f>
              <c:numCache>
                <c:formatCode>General</c:formatCode>
                <c:ptCount val="7"/>
                <c:pt idx="0">
                  <c:v>0.25</c:v>
                </c:pt>
                <c:pt idx="1">
                  <c:v>0.5</c:v>
                </c:pt>
                <c:pt idx="2">
                  <c:v>1</c:v>
                </c:pt>
                <c:pt idx="3">
                  <c:v>2</c:v>
                </c:pt>
                <c:pt idx="4">
                  <c:v>5</c:v>
                </c:pt>
                <c:pt idx="5">
                  <c:v>10</c:v>
                </c:pt>
                <c:pt idx="6">
                  <c:v>30</c:v>
                </c:pt>
              </c:numCache>
            </c:numRef>
          </c:xVal>
          <c:yVal>
            <c:numRef>
              <c:f>LNK!$L$13:$L$19</c:f>
              <c:numCache>
                <c:formatCode>0.00%</c:formatCode>
                <c:ptCount val="7"/>
                <c:pt idx="0">
                  <c:v>0.0236625</c:v>
                </c:pt>
                <c:pt idx="1">
                  <c:v>0.0232125</c:v>
                </c:pt>
                <c:pt idx="2">
                  <c:v>0.025025</c:v>
                </c:pt>
                <c:pt idx="3">
                  <c:v>0.0322000003</c:v>
                </c:pt>
                <c:pt idx="4">
                  <c:v>0.0454299998</c:v>
                </c:pt>
                <c:pt idx="5">
                  <c:v>0.05296</c:v>
                </c:pt>
                <c:pt idx="6">
                  <c:v>0.0587799978</c:v>
                </c:pt>
              </c:numCache>
            </c:numRef>
          </c:yVal>
          <c:smooth val="0"/>
        </c:ser>
        <c:axId val="64354725"/>
        <c:axId val="97234183"/>
      </c:scatterChart>
      <c:valAx>
        <c:axId val="64354725"/>
        <c:scaling>
          <c:orientation val="minMax"/>
          <c:max val="30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Years</a:t>
                </a:r>
              </a:p>
            </c:rich>
          </c:tx>
          <c:layout>
            <c:manualLayout>
              <c:xMode val="edge"/>
              <c:yMode val="edge"/>
              <c:x val="0.445060962254508"/>
              <c:y val="0.8524843009805"/>
            </c:manualLayout>
          </c:layout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7234183"/>
        <c:crossesAt val="0"/>
        <c:crossBetween val="midCat"/>
      </c:valAx>
      <c:valAx>
        <c:axId val="97234183"/>
        <c:scaling>
          <c:orientation val="minMax"/>
          <c:min val="0.02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0.00%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4354725"/>
        <c:crossesAt val="0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769511571877053"/>
          <c:y val="0.84862840145422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ENE Last 5 Days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LNK!$W$23</c:f>
              <c:strCache>
                <c:ptCount val="1"/>
                <c:pt idx="0">
                  <c:v>ENE Equity</c:v>
                </c:pt>
              </c:strCache>
            </c:strRef>
          </c:tx>
          <c:spPr>
            <a:solidFill>
              <a:srgbClr val="000080"/>
            </a:solidFill>
            <a:ln w="378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LNK!$W$25:$W$29</c:f>
              <c:strCache>
                <c:ptCount val="5"/>
                <c:pt idx="0">
                  <c:v>9/22/2025</c:v>
                </c:pt>
                <c:pt idx="1">
                  <c:v>9/23/2025</c:v>
                </c:pt>
                <c:pt idx="2">
                  <c:v>9/24/2025</c:v>
                </c:pt>
                <c:pt idx="3">
                  <c:v>9/25/2025</c:v>
                </c:pt>
                <c:pt idx="4">
                  <c:v>9/26/2025</c:v>
                </c:pt>
              </c:strCache>
            </c:strRef>
          </c:cat>
          <c:val>
            <c:numRef>
              <c:f>LNK!$X$25:$X$29</c:f>
              <c:numCache>
                <c:formatCode>\$#,##0.00</c:formatCode>
                <c:ptCount val="5"/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4884295"/>
        <c:axId val="6897280"/>
      </c:lineChart>
      <c:catAx>
        <c:axId val="34884295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897280"/>
        <c:crossesAt val="0"/>
        <c:auto val="1"/>
        <c:lblAlgn val="ctr"/>
        <c:lblOffset val="100"/>
        <c:noMultiLvlLbl val="0"/>
      </c:catAx>
      <c:valAx>
        <c:axId val="6897280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\$#,##0.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4884295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trlProps/ctrlProps3.xml><?xml version="1.0" encoding="utf-8"?>
<formControlPr xmlns="http://schemas.microsoft.com/office/spreadsheetml/2009/9/main" objectType="Button" lockText="1"/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3.xml"/><Relationship Id="rId2" Type="http://schemas.openxmlformats.org/officeDocument/2006/relationships/chart" Target="../charts/chart4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100440</xdr:colOff>
      <xdr:row>1</xdr:row>
      <xdr:rowOff>123840</xdr:rowOff>
    </xdr:from>
    <xdr:to>
      <xdr:col>19</xdr:col>
      <xdr:colOff>20520</xdr:colOff>
      <xdr:row>22</xdr:row>
      <xdr:rowOff>123840</xdr:rowOff>
    </xdr:to>
    <xdr:graphicFrame>
      <xdr:nvGraphicFramePr>
        <xdr:cNvPr id="0" name="Chart 50"/>
        <xdr:cNvGraphicFramePr/>
      </xdr:nvGraphicFramePr>
      <xdr:xfrm>
        <a:off x="11190240" y="457200"/>
        <a:ext cx="4386600" cy="3438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13</xdr:col>
      <xdr:colOff>80280</xdr:colOff>
      <xdr:row>23</xdr:row>
      <xdr:rowOff>133560</xdr:rowOff>
    </xdr:from>
    <xdr:to>
      <xdr:col>19</xdr:col>
      <xdr:colOff>20520</xdr:colOff>
      <xdr:row>44</xdr:row>
      <xdr:rowOff>152280</xdr:rowOff>
    </xdr:to>
    <xdr:graphicFrame>
      <xdr:nvGraphicFramePr>
        <xdr:cNvPr id="1" name="Chart 60"/>
        <xdr:cNvGraphicFramePr/>
      </xdr:nvGraphicFramePr>
      <xdr:xfrm>
        <a:off x="11170080" y="4067280"/>
        <a:ext cx="4406760" cy="3419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120240</xdr:colOff>
      <xdr:row>2</xdr:row>
      <xdr:rowOff>0</xdr:rowOff>
    </xdr:from>
    <xdr:to>
      <xdr:col>19</xdr:col>
      <xdr:colOff>584280</xdr:colOff>
      <xdr:row>21</xdr:row>
      <xdr:rowOff>162000</xdr:rowOff>
    </xdr:to>
    <xdr:graphicFrame>
      <xdr:nvGraphicFramePr>
        <xdr:cNvPr id="2" name="Chart 1"/>
        <xdr:cNvGraphicFramePr/>
      </xdr:nvGraphicFramePr>
      <xdr:xfrm>
        <a:off x="14783040" y="504720"/>
        <a:ext cx="4930560" cy="3267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281520</xdr:colOff>
          <xdr:row>0</xdr:row>
          <xdr:rowOff>76680</xdr:rowOff>
        </xdr:from>
        <xdr:to>
          <xdr:col>20</xdr:col>
          <xdr:colOff>815760</xdr:colOff>
          <xdr:row>1</xdr:row>
          <xdr:rowOff>104400</xdr:rowOff>
        </xdr:to>
        <xdr:sp>
          <xdr:nvSpPr>
            <xdr:cNvPr id="1001" name="Button 27" descr="Pre-Save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Pre-Saver</a:t>
              </a:r>
            </a:p>
          </xdr:txBody>
        </xdr:sp>
        <xdr:clientData/>
      </xdr:twoCellAnchor>
    </mc:Choice>
  </mc:AlternateContent>
  <xdr:twoCellAnchor editAs="oneCell">
    <xdr:from>
      <xdr:col>13</xdr:col>
      <xdr:colOff>120240</xdr:colOff>
      <xdr:row>23</xdr:row>
      <xdr:rowOff>56880</xdr:rowOff>
    </xdr:from>
    <xdr:to>
      <xdr:col>19</xdr:col>
      <xdr:colOff>604440</xdr:colOff>
      <xdr:row>43</xdr:row>
      <xdr:rowOff>38160</xdr:rowOff>
    </xdr:to>
    <xdr:graphicFrame>
      <xdr:nvGraphicFramePr>
        <xdr:cNvPr id="3" name="Chart 28"/>
        <xdr:cNvGraphicFramePr/>
      </xdr:nvGraphicFramePr>
      <xdr:xfrm>
        <a:off x="14783040" y="3990600"/>
        <a:ext cx="4950720" cy="3219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blp/API/dde/Blp.xla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blp/API/dde/Blph.xla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ain"/>
    </sheetNames>
    <definedNames>
      <definedName name="BLP" refersTo="[1]Main!$A$23"/>
    </definedNames>
    <sheetDataSet>
      <sheetData sheetId="0">
        <row r="23">
          <cell r="A23">
            <v>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BLPFunctions"/>
      <sheetName val="Sheet1"/>
    </sheetNames>
    <definedNames>
      <definedName name="blpsh"/>
    </defined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2.vml"/><Relationship Id="rId4" Type="http://schemas.openxmlformats.org/officeDocument/2006/relationships/ctrlProp" Target="../ctrlProps/ctrlProps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6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2.7"/>
    <col collapsed="false" customWidth="true" hidden="false" outlineLevel="0" max="2" min="2" style="1" width="36.99"/>
    <col collapsed="false" customWidth="true" hidden="true" outlineLevel="0" max="3" min="3" style="1" width="33.56"/>
    <col collapsed="false" customWidth="true" hidden="false" outlineLevel="0" max="5" min="4" style="1" width="15.13"/>
    <col collapsed="false" customWidth="true" hidden="false" outlineLevel="0" max="6" min="6" style="1" width="10.99"/>
    <col collapsed="false" customWidth="true" hidden="false" outlineLevel="0" max="7" min="7" style="1" width="2.28"/>
    <col collapsed="false" customWidth="true" hidden="false" outlineLevel="0" max="8" min="8" style="1" width="9.85"/>
    <col collapsed="false" customWidth="true" hidden="false" outlineLevel="0" max="9" min="9" style="1" width="20.41"/>
    <col collapsed="false" customWidth="true" hidden="true" outlineLevel="0" max="10" min="10" style="1" width="17.14"/>
    <col collapsed="false" customWidth="true" hidden="false" outlineLevel="0" max="12" min="11" style="1" width="15.28"/>
    <col collapsed="false" customWidth="true" hidden="false" outlineLevel="0" max="13" min="13" style="1" width="13.28"/>
    <col collapsed="false" customWidth="true" hidden="false" outlineLevel="0" max="14" min="14" style="1" width="9.56"/>
    <col collapsed="false" customWidth="true" hidden="false" outlineLevel="0" max="15" min="15" style="1" width="10.41"/>
    <col collapsed="false" customWidth="true" hidden="false" outlineLevel="0" max="16" min="16" style="1" width="9.28"/>
    <col collapsed="false" customWidth="false" hidden="false" outlineLevel="0" max="18" min="17" style="1" width="9.14"/>
    <col collapsed="false" customWidth="true" hidden="false" outlineLevel="0" max="19" min="19" style="1" width="15.85"/>
    <col collapsed="false" customWidth="false" hidden="false" outlineLevel="0" max="20" min="20" style="1" width="9.14"/>
    <col collapsed="false" customWidth="true" hidden="false" outlineLevel="0" max="21" min="21" style="1" width="12.7"/>
    <col collapsed="false" customWidth="false" hidden="false" outlineLevel="0" max="22" min="22" style="1" width="9.14"/>
    <col collapsed="false" customWidth="true" hidden="false" outlineLevel="0" max="23" min="23" style="1" width="10.71"/>
    <col collapsed="false" customWidth="true" hidden="false" outlineLevel="0" max="24" min="24" style="1" width="9.28"/>
    <col collapsed="false" customWidth="false" hidden="false" outlineLevel="0" max="257" min="25" style="1" width="9.14"/>
  </cols>
  <sheetData>
    <row r="1" customFormat="false" ht="26.25" hidden="false" customHeight="false" outlineLevel="0" collapsed="false">
      <c r="B1" s="2" t="s">
        <v>0</v>
      </c>
      <c r="C1" s="3"/>
      <c r="F1" s="0"/>
      <c r="G1" s="0"/>
      <c r="H1" s="0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</row>
    <row r="2" customFormat="false" ht="13.5" hidden="false" customHeight="false" outlineLevel="0" collapsed="false"/>
    <row r="3" customFormat="false" ht="15" hidden="false" customHeight="false" outlineLevel="0" collapsed="false">
      <c r="B3" s="4" t="s">
        <v>1</v>
      </c>
      <c r="C3" s="5"/>
      <c r="D3" s="6" t="n">
        <v>37176</v>
      </c>
      <c r="E3" s="6" t="n">
        <v>37183</v>
      </c>
      <c r="F3" s="6" t="s">
        <v>2</v>
      </c>
      <c r="G3" s="7"/>
      <c r="H3" s="5" t="s">
        <v>3</v>
      </c>
      <c r="I3" s="7"/>
      <c r="J3" s="7"/>
      <c r="K3" s="6" t="n">
        <v>37176</v>
      </c>
      <c r="L3" s="6" t="n">
        <v>37183</v>
      </c>
      <c r="M3" s="8" t="s">
        <v>4</v>
      </c>
    </row>
    <row r="4" customFormat="false" ht="12.75" hidden="false" customHeight="false" outlineLevel="0" collapsed="false">
      <c r="B4" s="9" t="s">
        <v>5</v>
      </c>
      <c r="C4" s="10"/>
      <c r="D4" s="11"/>
      <c r="E4" s="11"/>
      <c r="F4" s="11"/>
      <c r="G4" s="12"/>
      <c r="H4" s="13" t="s">
        <v>6</v>
      </c>
      <c r="I4" s="14"/>
      <c r="J4" s="14"/>
      <c r="K4" s="14"/>
      <c r="L4" s="14"/>
      <c r="M4" s="15"/>
    </row>
    <row r="5" customFormat="false" ht="12.75" hidden="false" customHeight="false" outlineLevel="0" collapsed="false">
      <c r="B5" s="16" t="s">
        <v>7</v>
      </c>
      <c r="C5" s="17" t="s">
        <v>8</v>
      </c>
      <c r="D5" s="18" t="n">
        <v>9344.16</v>
      </c>
      <c r="E5" s="18" t="n">
        <v>9204.11</v>
      </c>
      <c r="F5" s="19" t="n">
        <v>-0.0149879710963853</v>
      </c>
      <c r="G5" s="14"/>
      <c r="H5" s="20" t="s">
        <v>9</v>
      </c>
      <c r="I5" s="17"/>
      <c r="J5" s="21" t="s">
        <v>10</v>
      </c>
      <c r="K5" s="22" t="n">
        <v>0.02249</v>
      </c>
      <c r="L5" s="22" t="n">
        <v>0.02196</v>
      </c>
      <c r="M5" s="23" t="n">
        <v>-5.29999999999999</v>
      </c>
    </row>
    <row r="6" customFormat="false" ht="12.75" hidden="false" customHeight="false" outlineLevel="0" collapsed="false">
      <c r="B6" s="16" t="s">
        <v>11</v>
      </c>
      <c r="C6" s="17" t="s">
        <v>12</v>
      </c>
      <c r="D6" s="18" t="n">
        <v>1703.4</v>
      </c>
      <c r="E6" s="18" t="n">
        <v>1671.31</v>
      </c>
      <c r="F6" s="19" t="n">
        <v>-0.0188387930022309</v>
      </c>
      <c r="G6" s="14"/>
      <c r="H6" s="20" t="s">
        <v>13</v>
      </c>
      <c r="I6" s="17"/>
      <c r="J6" s="21" t="s">
        <v>14</v>
      </c>
      <c r="K6" s="22" t="n">
        <v>0.02226</v>
      </c>
      <c r="L6" s="22" t="n">
        <v>0.02157</v>
      </c>
      <c r="M6" s="23" t="n">
        <v>-6.89999999999996</v>
      </c>
      <c r="W6" s="24"/>
    </row>
    <row r="7" customFormat="false" ht="12.75" hidden="false" customHeight="false" outlineLevel="0" collapsed="false">
      <c r="B7" s="16" t="s">
        <v>15</v>
      </c>
      <c r="C7" s="17" t="s">
        <v>16</v>
      </c>
      <c r="D7" s="18" t="n">
        <v>1393.84</v>
      </c>
      <c r="E7" s="18" t="n">
        <v>1347.59</v>
      </c>
      <c r="F7" s="19" t="n">
        <v>-0.0331817138265511</v>
      </c>
      <c r="G7" s="14"/>
      <c r="H7" s="20" t="s">
        <v>17</v>
      </c>
      <c r="I7" s="17"/>
      <c r="J7" s="21" t="s">
        <v>18</v>
      </c>
      <c r="K7" s="22" t="n">
        <v>0.0231</v>
      </c>
      <c r="L7" s="22" t="n">
        <v>0.02326</v>
      </c>
      <c r="M7" s="23" t="n">
        <v>1.59999999999997</v>
      </c>
    </row>
    <row r="8" customFormat="false" ht="12.75" hidden="false" customHeight="false" outlineLevel="0" collapsed="false">
      <c r="B8" s="16" t="s">
        <v>19</v>
      </c>
      <c r="C8" s="17" t="s">
        <v>20</v>
      </c>
      <c r="D8" s="18" t="n">
        <v>1091.65</v>
      </c>
      <c r="E8" s="18" t="n">
        <v>1073.48</v>
      </c>
      <c r="F8" s="19" t="n">
        <v>-0.0166445289241058</v>
      </c>
      <c r="G8" s="14"/>
      <c r="H8" s="20" t="s">
        <v>21</v>
      </c>
      <c r="I8" s="17"/>
      <c r="J8" s="21" t="s">
        <v>22</v>
      </c>
      <c r="K8" s="22" t="n">
        <v>0.02795</v>
      </c>
      <c r="L8" s="22" t="n">
        <v>0.02754</v>
      </c>
      <c r="M8" s="23" t="n">
        <v>-4.09999999999997</v>
      </c>
    </row>
    <row r="9" customFormat="false" ht="12.75" hidden="false" customHeight="false" outlineLevel="0" collapsed="false">
      <c r="B9" s="16" t="s">
        <v>23</v>
      </c>
      <c r="C9" s="17" t="s">
        <v>24</v>
      </c>
      <c r="D9" s="18" t="n">
        <v>428.59</v>
      </c>
      <c r="E9" s="18" t="n">
        <v>425.7</v>
      </c>
      <c r="F9" s="19" t="n">
        <v>-0.00674304113488412</v>
      </c>
      <c r="G9" s="14"/>
      <c r="H9" s="20" t="s">
        <v>25</v>
      </c>
      <c r="I9" s="17"/>
      <c r="J9" s="21" t="s">
        <v>26</v>
      </c>
      <c r="K9" s="22" t="n">
        <v>0.03864</v>
      </c>
      <c r="L9" s="22" t="n">
        <v>0.03817</v>
      </c>
      <c r="M9" s="23" t="n">
        <v>-4.69999999999998</v>
      </c>
    </row>
    <row r="10" customFormat="false" ht="12.75" hidden="false" customHeight="false" outlineLevel="0" collapsed="false">
      <c r="B10" s="16" t="s">
        <v>27</v>
      </c>
      <c r="C10" s="17" t="s">
        <v>28</v>
      </c>
      <c r="D10" s="18" t="n">
        <v>10049.12</v>
      </c>
      <c r="E10" s="18" t="n">
        <v>9894.9</v>
      </c>
      <c r="F10" s="19" t="n">
        <v>-0.0153466174152564</v>
      </c>
      <c r="G10" s="14"/>
      <c r="H10" s="20" t="s">
        <v>29</v>
      </c>
      <c r="I10" s="17"/>
      <c r="J10" s="21" t="s">
        <v>30</v>
      </c>
      <c r="K10" s="22" t="n">
        <v>0.04663</v>
      </c>
      <c r="L10" s="22" t="n">
        <v>0.04621</v>
      </c>
      <c r="M10" s="23" t="n">
        <v>-4.19999999999997</v>
      </c>
    </row>
    <row r="11" customFormat="false" ht="12.75" hidden="false" customHeight="false" outlineLevel="0" collapsed="false">
      <c r="B11" s="16" t="s">
        <v>31</v>
      </c>
      <c r="C11" s="17" t="s">
        <v>32</v>
      </c>
      <c r="D11" s="18" t="n">
        <v>7031.03</v>
      </c>
      <c r="E11" s="18" t="n">
        <v>6910.96</v>
      </c>
      <c r="F11" s="19" t="n">
        <v>-0.0170771565474759</v>
      </c>
      <c r="G11" s="14"/>
      <c r="H11" s="20" t="s">
        <v>33</v>
      </c>
      <c r="I11" s="17"/>
      <c r="J11" s="21" t="s">
        <v>34</v>
      </c>
      <c r="K11" s="22" t="n">
        <v>0.05425</v>
      </c>
      <c r="L11" s="22" t="n">
        <v>0.05358</v>
      </c>
      <c r="M11" s="23" t="n">
        <v>-6.70000000000004</v>
      </c>
    </row>
    <row r="12" customFormat="false" ht="12.75" hidden="false" customHeight="false" outlineLevel="0" collapsed="false">
      <c r="B12" s="16" t="s">
        <v>35</v>
      </c>
      <c r="C12" s="17" t="s">
        <v>36</v>
      </c>
      <c r="D12" s="18" t="n">
        <v>5145.5</v>
      </c>
      <c r="E12" s="18" t="n">
        <v>5017.7</v>
      </c>
      <c r="F12" s="19" t="n">
        <v>-0.024837236420173</v>
      </c>
      <c r="G12" s="14"/>
      <c r="H12" s="13" t="s">
        <v>37</v>
      </c>
      <c r="I12" s="14"/>
      <c r="J12" s="14"/>
      <c r="K12" s="25"/>
      <c r="L12" s="25"/>
      <c r="M12" s="26"/>
    </row>
    <row r="13" customFormat="false" ht="12.75" hidden="false" customHeight="false" outlineLevel="0" collapsed="false">
      <c r="B13" s="16" t="s">
        <v>38</v>
      </c>
      <c r="C13" s="17" t="s">
        <v>39</v>
      </c>
      <c r="D13" s="18" t="n">
        <v>10632.35</v>
      </c>
      <c r="E13" s="18" t="n">
        <v>10538.79</v>
      </c>
      <c r="F13" s="19" t="n">
        <v>-0.00879955983390309</v>
      </c>
      <c r="G13" s="14"/>
      <c r="H13" s="20" t="s">
        <v>9</v>
      </c>
      <c r="I13" s="27"/>
      <c r="J13" s="28" t="s">
        <v>40</v>
      </c>
      <c r="K13" s="22" t="n">
        <v>0.0245625</v>
      </c>
      <c r="L13" s="22" t="n">
        <v>0.0236625</v>
      </c>
      <c r="M13" s="23" t="n">
        <v>-8.99999999999998</v>
      </c>
    </row>
    <row r="14" customFormat="false" ht="12.75" hidden="false" customHeight="false" outlineLevel="0" collapsed="false">
      <c r="B14" s="16" t="s">
        <v>41</v>
      </c>
      <c r="C14" s="17" t="s">
        <v>42</v>
      </c>
      <c r="D14" s="18" t="n">
        <v>4625.13</v>
      </c>
      <c r="E14" s="18" t="n">
        <v>4513.53</v>
      </c>
      <c r="F14" s="19" t="n">
        <v>-0.0241290515077415</v>
      </c>
      <c r="G14" s="14"/>
      <c r="H14" s="20" t="s">
        <v>13</v>
      </c>
      <c r="I14" s="27"/>
      <c r="J14" s="28" t="s">
        <v>43</v>
      </c>
      <c r="K14" s="22" t="n">
        <v>0.024225</v>
      </c>
      <c r="L14" s="22" t="n">
        <v>0.0232125</v>
      </c>
      <c r="M14" s="23" t="n">
        <v>-10.125</v>
      </c>
    </row>
    <row r="15" customFormat="false" ht="12.75" hidden="false" customHeight="false" outlineLevel="0" collapsed="false">
      <c r="B15" s="16" t="s">
        <v>44</v>
      </c>
      <c r="C15" s="17" t="s">
        <v>45</v>
      </c>
      <c r="D15" s="18" t="n">
        <v>4336.88</v>
      </c>
      <c r="E15" s="18" t="n">
        <v>4264.89</v>
      </c>
      <c r="F15" s="19" t="n">
        <v>-0.016599490878235</v>
      </c>
      <c r="G15" s="14"/>
      <c r="H15" s="20" t="s">
        <v>17</v>
      </c>
      <c r="I15" s="27"/>
      <c r="J15" s="28" t="s">
        <v>46</v>
      </c>
      <c r="K15" s="22" t="n">
        <v>0.0262375</v>
      </c>
      <c r="L15" s="22" t="n">
        <v>0.025025</v>
      </c>
      <c r="M15" s="23" t="n">
        <v>-12.125</v>
      </c>
    </row>
    <row r="16" customFormat="false" ht="12.75" hidden="false" customHeight="false" outlineLevel="0" collapsed="false">
      <c r="B16" s="29" t="s">
        <v>47</v>
      </c>
      <c r="C16" s="13"/>
      <c r="D16" s="14"/>
      <c r="E16" s="14"/>
      <c r="F16" s="30"/>
      <c r="G16" s="14"/>
      <c r="H16" s="20" t="s">
        <v>21</v>
      </c>
      <c r="I16" s="27"/>
      <c r="J16" s="28" t="s">
        <v>48</v>
      </c>
      <c r="K16" s="22" t="n">
        <v>0.033499999</v>
      </c>
      <c r="L16" s="22" t="n">
        <v>0.0322000003</v>
      </c>
      <c r="M16" s="23" t="n">
        <v>-12.9999869999999</v>
      </c>
    </row>
    <row r="17" customFormat="false" ht="12.75" hidden="false" customHeight="false" outlineLevel="0" collapsed="false">
      <c r="B17" s="16" t="s">
        <v>49</v>
      </c>
      <c r="C17" s="17" t="s">
        <v>50</v>
      </c>
      <c r="D17" s="18" t="n">
        <v>31.5</v>
      </c>
      <c r="E17" s="18" t="n">
        <v>29</v>
      </c>
      <c r="F17" s="31" t="n">
        <v>-0.0793650793650794</v>
      </c>
      <c r="G17" s="14"/>
      <c r="H17" s="20" t="s">
        <v>25</v>
      </c>
      <c r="I17" s="27"/>
      <c r="J17" s="28" t="s">
        <v>51</v>
      </c>
      <c r="K17" s="22" t="n">
        <v>0.0461600018</v>
      </c>
      <c r="L17" s="22" t="n">
        <v>0.0454299998</v>
      </c>
      <c r="M17" s="23" t="n">
        <v>-7.30002</v>
      </c>
    </row>
    <row r="18" customFormat="false" ht="12.75" hidden="false" customHeight="false" outlineLevel="0" collapsed="false">
      <c r="B18" s="16" t="s">
        <v>52</v>
      </c>
      <c r="C18" s="17" t="s">
        <v>53</v>
      </c>
      <c r="D18" s="18" t="n">
        <v>22.5</v>
      </c>
      <c r="E18" s="18" t="n">
        <v>21.83</v>
      </c>
      <c r="F18" s="31" t="n">
        <v>-0.0297777777777779</v>
      </c>
      <c r="G18" s="14"/>
      <c r="H18" s="20" t="s">
        <v>29</v>
      </c>
      <c r="I18" s="17"/>
      <c r="J18" s="28" t="s">
        <v>54</v>
      </c>
      <c r="K18" s="22" t="n">
        <v>0.0537200022</v>
      </c>
      <c r="L18" s="22" t="n">
        <v>0.05296</v>
      </c>
      <c r="M18" s="23" t="n">
        <v>-7.60002199999998</v>
      </c>
      <c r="W18" s="1" t="n">
        <v>0.25</v>
      </c>
    </row>
    <row r="19" customFormat="false" ht="12.75" hidden="false" customHeight="false" outlineLevel="0" collapsed="false">
      <c r="B19" s="16" t="s">
        <v>55</v>
      </c>
      <c r="C19" s="17" t="s">
        <v>56</v>
      </c>
      <c r="D19" s="18" t="n">
        <v>21.73</v>
      </c>
      <c r="E19" s="18" t="n">
        <v>21.35</v>
      </c>
      <c r="F19" s="31" t="n">
        <v>-0.0174873446847676</v>
      </c>
      <c r="G19" s="14"/>
      <c r="H19" s="20" t="s">
        <v>33</v>
      </c>
      <c r="I19" s="17"/>
      <c r="J19" s="28" t="s">
        <v>57</v>
      </c>
      <c r="K19" s="22" t="n">
        <v>0.0593900013</v>
      </c>
      <c r="L19" s="22" t="n">
        <v>0.0587799978</v>
      </c>
      <c r="M19" s="23" t="n">
        <v>-6.10003500000005</v>
      </c>
      <c r="W19" s="1" t="n">
        <v>0.5</v>
      </c>
    </row>
    <row r="20" customFormat="false" ht="12.75" hidden="false" customHeight="false" outlineLevel="0" collapsed="false">
      <c r="B20" s="16" t="s">
        <v>58</v>
      </c>
      <c r="C20" s="17" t="s">
        <v>59</v>
      </c>
      <c r="D20" s="18" t="n">
        <v>60.1</v>
      </c>
      <c r="E20" s="18" t="n">
        <v>59.52</v>
      </c>
      <c r="F20" s="31" t="n">
        <v>-0.00965058236272876</v>
      </c>
      <c r="G20" s="14"/>
      <c r="M20" s="32"/>
      <c r="W20" s="1" t="n">
        <v>0.75</v>
      </c>
    </row>
    <row r="21" customFormat="false" ht="12.75" hidden="false" customHeight="false" outlineLevel="0" collapsed="false">
      <c r="B21" s="16" t="s">
        <v>60</v>
      </c>
      <c r="C21" s="17" t="s">
        <v>61</v>
      </c>
      <c r="D21" s="18" t="n">
        <v>63.84</v>
      </c>
      <c r="E21" s="18" t="n">
        <v>62.63</v>
      </c>
      <c r="F21" s="31" t="n">
        <v>-0.018953634085213</v>
      </c>
      <c r="G21" s="14"/>
      <c r="H21" s="10" t="s">
        <v>62</v>
      </c>
      <c r="I21" s="33"/>
      <c r="J21" s="33"/>
      <c r="K21" s="33"/>
      <c r="L21" s="33"/>
      <c r="M21" s="32"/>
      <c r="W21" s="1" t="n">
        <v>1</v>
      </c>
    </row>
    <row r="22" customFormat="false" ht="12.75" hidden="false" customHeight="false" outlineLevel="0" collapsed="false">
      <c r="B22" s="16" t="s">
        <v>63</v>
      </c>
      <c r="C22" s="34" t="s">
        <v>64</v>
      </c>
      <c r="D22" s="18" t="n">
        <v>2.43</v>
      </c>
      <c r="E22" s="18" t="n">
        <v>2.681</v>
      </c>
      <c r="F22" s="31" t="n">
        <v>0.103292181069959</v>
      </c>
      <c r="G22" s="14"/>
      <c r="H22" s="20" t="s">
        <v>9</v>
      </c>
      <c r="I22" s="17"/>
      <c r="J22" s="22" t="s">
        <v>65</v>
      </c>
      <c r="K22" s="22" t="s">
        <v>66</v>
      </c>
      <c r="L22" s="22" t="n">
        <v>0</v>
      </c>
      <c r="M22" s="23" t="s">
        <v>67</v>
      </c>
    </row>
    <row r="23" customFormat="false" ht="12.75" hidden="false" customHeight="false" outlineLevel="0" collapsed="false">
      <c r="B23" s="16" t="s">
        <v>68</v>
      </c>
      <c r="C23" s="21" t="s">
        <v>69</v>
      </c>
      <c r="D23" s="18" t="n">
        <v>36</v>
      </c>
      <c r="E23" s="18" t="n">
        <v>35</v>
      </c>
      <c r="F23" s="31" t="n">
        <v>-0.0277777777777778</v>
      </c>
      <c r="G23" s="14"/>
      <c r="H23" s="20" t="s">
        <v>13</v>
      </c>
      <c r="I23" s="17"/>
      <c r="J23" s="22" t="s">
        <v>70</v>
      </c>
      <c r="K23" s="22" t="n">
        <v>9E-005</v>
      </c>
      <c r="L23" s="22" t="n">
        <v>9E-005</v>
      </c>
      <c r="M23" s="23" t="n">
        <v>0</v>
      </c>
      <c r="N23" s="35" t="n">
        <v>0.25</v>
      </c>
      <c r="W23" s="1" t="s">
        <v>71</v>
      </c>
    </row>
    <row r="24" customFormat="false" ht="12.75" hidden="false" customHeight="false" outlineLevel="0" collapsed="false">
      <c r="B24" s="16" t="s">
        <v>72</v>
      </c>
      <c r="C24" s="36" t="s">
        <v>73</v>
      </c>
      <c r="D24" s="18" t="n">
        <v>8.5</v>
      </c>
      <c r="E24" s="18" t="n">
        <v>8.13</v>
      </c>
      <c r="F24" s="31" t="n">
        <v>-0.0435294117647058</v>
      </c>
      <c r="G24" s="14"/>
      <c r="H24" s="20" t="s">
        <v>17</v>
      </c>
      <c r="I24" s="17"/>
      <c r="J24" s="22" t="s">
        <v>74</v>
      </c>
      <c r="K24" s="22" t="n">
        <v>0.00045</v>
      </c>
      <c r="L24" s="22" t="n">
        <v>0.00044</v>
      </c>
      <c r="M24" s="23" t="n">
        <v>-0.1</v>
      </c>
      <c r="N24" s="35" t="n">
        <v>0.5</v>
      </c>
    </row>
    <row r="25" customFormat="false" ht="12.75" hidden="false" customHeight="false" outlineLevel="0" collapsed="false">
      <c r="B25" s="16" t="s">
        <v>75</v>
      </c>
      <c r="C25" s="36" t="s">
        <v>76</v>
      </c>
      <c r="D25" s="18" t="n">
        <v>7</v>
      </c>
      <c r="E25" s="18" t="n">
        <v>6.63</v>
      </c>
      <c r="F25" s="31" t="n">
        <v>-0.0528571428571429</v>
      </c>
      <c r="G25" s="14"/>
      <c r="H25" s="20" t="s">
        <v>21</v>
      </c>
      <c r="I25" s="17"/>
      <c r="J25" s="22" t="s">
        <v>77</v>
      </c>
      <c r="K25" s="22" t="n">
        <v>0.00115</v>
      </c>
      <c r="L25" s="22" t="n">
        <v>0.00119</v>
      </c>
      <c r="M25" s="23" t="n">
        <v>0.399999999999999</v>
      </c>
      <c r="N25" s="35" t="n">
        <v>1</v>
      </c>
      <c r="W25" s="37" t="n">
        <v>37179</v>
      </c>
      <c r="X25" s="38" t="n">
        <v>33.17</v>
      </c>
    </row>
    <row r="26" customFormat="false" ht="12.75" hidden="false" customHeight="false" outlineLevel="0" collapsed="false">
      <c r="B26" s="16" t="s">
        <v>78</v>
      </c>
      <c r="C26" s="17" t="s">
        <v>79</v>
      </c>
      <c r="D26" s="18" t="n">
        <v>206.25</v>
      </c>
      <c r="E26" s="18" t="n">
        <v>199</v>
      </c>
      <c r="F26" s="39" t="n">
        <v>-0.0351515151515152</v>
      </c>
      <c r="G26" s="14"/>
      <c r="H26" s="20" t="s">
        <v>25</v>
      </c>
      <c r="I26" s="17"/>
      <c r="J26" s="22" t="s">
        <v>80</v>
      </c>
      <c r="K26" s="22" t="n">
        <v>0.00489</v>
      </c>
      <c r="L26" s="22" t="n">
        <v>0.00474</v>
      </c>
      <c r="M26" s="23" t="n">
        <v>-1.5</v>
      </c>
      <c r="N26" s="35" t="n">
        <v>2</v>
      </c>
      <c r="W26" s="37" t="n">
        <v>37180</v>
      </c>
      <c r="X26" s="38" t="n">
        <v>33.84</v>
      </c>
    </row>
    <row r="27" customFormat="false" ht="12.75" hidden="false" customHeight="false" outlineLevel="0" collapsed="false">
      <c r="B27" s="16" t="s">
        <v>81</v>
      </c>
      <c r="C27" s="17" t="s">
        <v>82</v>
      </c>
      <c r="D27" s="18" t="n">
        <v>917</v>
      </c>
      <c r="E27" s="18" t="n">
        <v>900</v>
      </c>
      <c r="F27" s="39" t="n">
        <v>-0.0185387131952017</v>
      </c>
      <c r="G27" s="14"/>
      <c r="H27" s="20" t="s">
        <v>29</v>
      </c>
      <c r="I27" s="17"/>
      <c r="J27" s="22" t="s">
        <v>83</v>
      </c>
      <c r="K27" s="22" t="n">
        <v>0.01384</v>
      </c>
      <c r="L27" s="22" t="n">
        <v>0.01364</v>
      </c>
      <c r="M27" s="23" t="n">
        <v>-1.99999999999999</v>
      </c>
      <c r="N27" s="35" t="n">
        <v>5</v>
      </c>
      <c r="W27" s="37" t="n">
        <v>37181</v>
      </c>
      <c r="X27" s="38" t="n">
        <v>32.2</v>
      </c>
    </row>
    <row r="28" customFormat="false" ht="12.75" hidden="false" customHeight="false" outlineLevel="0" collapsed="false">
      <c r="B28" s="16" t="s">
        <v>84</v>
      </c>
      <c r="C28" s="17" t="s">
        <v>85</v>
      </c>
      <c r="D28" s="18" t="n">
        <v>7147</v>
      </c>
      <c r="E28" s="18" t="n">
        <v>7107</v>
      </c>
      <c r="F28" s="39" t="n">
        <v>-0.00559675388274801</v>
      </c>
      <c r="G28" s="14"/>
      <c r="H28" s="20" t="s">
        <v>33</v>
      </c>
      <c r="I28" s="17"/>
      <c r="J28" s="22" t="s">
        <v>86</v>
      </c>
      <c r="K28" s="22" t="n">
        <v>0.02532</v>
      </c>
      <c r="L28" s="22" t="n">
        <v>0.02538</v>
      </c>
      <c r="M28" s="23" t="n">
        <v>0.599999999999976</v>
      </c>
      <c r="N28" s="35" t="n">
        <v>10</v>
      </c>
      <c r="W28" s="37" t="n">
        <v>37182</v>
      </c>
      <c r="X28" s="38" t="n">
        <v>29</v>
      </c>
    </row>
    <row r="29" customFormat="false" ht="12.75" hidden="false" customHeight="false" outlineLevel="0" collapsed="false">
      <c r="B29" s="16" t="s">
        <v>87</v>
      </c>
      <c r="C29" s="17" t="s">
        <v>88</v>
      </c>
      <c r="D29" s="18" t="n">
        <v>888</v>
      </c>
      <c r="E29" s="18" t="n">
        <v>888</v>
      </c>
      <c r="F29" s="39" t="n">
        <v>0</v>
      </c>
      <c r="G29" s="14"/>
      <c r="H29" s="40" t="s">
        <v>89</v>
      </c>
      <c r="I29" s="33"/>
      <c r="J29" s="33"/>
      <c r="K29" s="33"/>
      <c r="L29" s="33"/>
      <c r="M29" s="32"/>
      <c r="N29" s="35" t="n">
        <v>30</v>
      </c>
      <c r="W29" s="37" t="n">
        <v>37183</v>
      </c>
      <c r="X29" s="38" t="n">
        <v>26.05</v>
      </c>
    </row>
    <row r="30" customFormat="false" ht="12.75" hidden="false" customHeight="false" outlineLevel="0" collapsed="false">
      <c r="A30" s="41"/>
      <c r="B30" s="16" t="s">
        <v>90</v>
      </c>
      <c r="C30" s="17" t="s">
        <v>91</v>
      </c>
      <c r="D30" s="18" t="n">
        <v>981</v>
      </c>
      <c r="E30" s="18" t="n">
        <v>1040</v>
      </c>
      <c r="F30" s="39" t="n">
        <v>0.0601427115188583</v>
      </c>
      <c r="G30" s="14"/>
      <c r="H30" s="20" t="s">
        <v>9</v>
      </c>
      <c r="I30" s="17"/>
      <c r="J30" s="22" t="s">
        <v>92</v>
      </c>
      <c r="K30" s="22" t="n">
        <v>0.0008154</v>
      </c>
      <c r="L30" s="22" t="n">
        <v>0.0008154</v>
      </c>
      <c r="M30" s="23" t="n">
        <v>0</v>
      </c>
      <c r="O30" s="37"/>
    </row>
    <row r="31" customFormat="false" ht="12.75" hidden="false" customHeight="false" outlineLevel="0" collapsed="false">
      <c r="A31" s="41"/>
      <c r="B31" s="16" t="s">
        <v>93</v>
      </c>
      <c r="C31" s="17" t="s">
        <v>94</v>
      </c>
      <c r="D31" s="18" t="n">
        <v>284.9</v>
      </c>
      <c r="E31" s="18" t="n">
        <v>280.1</v>
      </c>
      <c r="F31" s="39" t="n">
        <v>-0.0168480168480167</v>
      </c>
      <c r="G31" s="14"/>
      <c r="H31" s="20" t="s">
        <v>13</v>
      </c>
      <c r="I31" s="17"/>
      <c r="J31" s="22" t="s">
        <v>95</v>
      </c>
      <c r="K31" s="22" t="n">
        <v>0.0009308</v>
      </c>
      <c r="L31" s="22" t="n">
        <v>0.0009231</v>
      </c>
      <c r="M31" s="23" t="n">
        <v>-0.0769999999999992</v>
      </c>
      <c r="O31" s="37"/>
      <c r="P31" s="42"/>
    </row>
    <row r="32" customFormat="false" ht="12.75" hidden="false" customHeight="false" outlineLevel="0" collapsed="false">
      <c r="A32" s="41"/>
      <c r="B32" s="16" t="s">
        <v>96</v>
      </c>
      <c r="C32" s="17" t="s">
        <v>97</v>
      </c>
      <c r="D32" s="18" t="n">
        <v>450</v>
      </c>
      <c r="E32" s="18" t="n">
        <v>437</v>
      </c>
      <c r="F32" s="39" t="n">
        <v>-0.0288888888888889</v>
      </c>
      <c r="G32" s="14"/>
      <c r="H32" s="20" t="s">
        <v>17</v>
      </c>
      <c r="I32" s="17"/>
      <c r="J32" s="22" t="s">
        <v>98</v>
      </c>
      <c r="K32" s="22" t="n">
        <v>0.0009692</v>
      </c>
      <c r="L32" s="22" t="n">
        <v>0.0009615</v>
      </c>
      <c r="M32" s="23" t="n">
        <v>-0.0770000000000003</v>
      </c>
      <c r="O32" s="37"/>
      <c r="P32" s="42"/>
    </row>
    <row r="33" customFormat="false" ht="12.75" hidden="false" customHeight="false" outlineLevel="0" collapsed="false">
      <c r="A33" s="41"/>
      <c r="B33" s="16" t="s">
        <v>99</v>
      </c>
      <c r="C33" s="17" t="s">
        <v>100</v>
      </c>
      <c r="D33" s="18" t="n">
        <v>1305.5</v>
      </c>
      <c r="E33" s="18" t="n">
        <v>1284.5</v>
      </c>
      <c r="F33" s="39" t="n">
        <v>-0.0160857908847185</v>
      </c>
      <c r="G33" s="14"/>
      <c r="H33" s="43"/>
      <c r="I33" s="43"/>
      <c r="J33" s="33"/>
      <c r="K33" s="33"/>
      <c r="L33" s="33"/>
      <c r="M33" s="32"/>
      <c r="O33" s="37"/>
      <c r="P33" s="42"/>
    </row>
    <row r="34" customFormat="false" ht="12.75" hidden="false" customHeight="false" outlineLevel="0" collapsed="false">
      <c r="A34" s="41"/>
      <c r="B34" s="16" t="s">
        <v>101</v>
      </c>
      <c r="C34" s="17" t="s">
        <v>102</v>
      </c>
      <c r="D34" s="18" t="n">
        <v>485</v>
      </c>
      <c r="E34" s="18" t="n">
        <v>467</v>
      </c>
      <c r="F34" s="39" t="n">
        <v>-0.0371134020618557</v>
      </c>
      <c r="G34" s="14"/>
      <c r="H34" s="21" t="s">
        <v>103</v>
      </c>
      <c r="I34" s="21"/>
      <c r="J34" s="21" t="s">
        <v>104</v>
      </c>
      <c r="K34" s="22" t="n">
        <v>0.055</v>
      </c>
      <c r="L34" s="22" t="n">
        <v>0.055</v>
      </c>
      <c r="M34" s="23" t="n">
        <v>0</v>
      </c>
      <c r="O34" s="37"/>
      <c r="P34" s="42"/>
    </row>
    <row r="35" customFormat="false" ht="12.75" hidden="false" customHeight="false" outlineLevel="0" collapsed="false">
      <c r="A35" s="41"/>
      <c r="B35" s="16" t="s">
        <v>105</v>
      </c>
      <c r="C35" s="17" t="s">
        <v>106</v>
      </c>
      <c r="D35" s="18" t="n">
        <v>5420</v>
      </c>
      <c r="E35" s="18" t="n">
        <v>4590</v>
      </c>
      <c r="F35" s="39" t="n">
        <v>-0.153136531365314</v>
      </c>
      <c r="G35" s="14"/>
      <c r="M35" s="32"/>
      <c r="O35" s="37"/>
      <c r="P35" s="42"/>
    </row>
    <row r="36" customFormat="false" ht="12.75" hidden="false" customHeight="false" outlineLevel="0" collapsed="false">
      <c r="A36" s="41"/>
      <c r="B36" s="16" t="s">
        <v>107</v>
      </c>
      <c r="C36" s="17" t="s">
        <v>108</v>
      </c>
      <c r="D36" s="18" t="n">
        <v>225.3</v>
      </c>
      <c r="E36" s="18" t="n">
        <v>219.6</v>
      </c>
      <c r="F36" s="39" t="n">
        <v>-0.0252996005326232</v>
      </c>
      <c r="G36" s="14"/>
      <c r="H36" s="44" t="s">
        <v>109</v>
      </c>
      <c r="I36" s="45"/>
      <c r="J36" s="45"/>
      <c r="K36" s="45"/>
      <c r="L36" s="45"/>
      <c r="M36" s="32"/>
      <c r="O36" s="37"/>
      <c r="P36" s="42"/>
    </row>
    <row r="37" customFormat="false" ht="12.75" hidden="false" customHeight="false" outlineLevel="0" collapsed="false">
      <c r="A37" s="41"/>
      <c r="B37" s="16" t="s">
        <v>110</v>
      </c>
      <c r="C37" s="17" t="s">
        <v>111</v>
      </c>
      <c r="D37" s="18" t="n">
        <v>215</v>
      </c>
      <c r="E37" s="18" t="n">
        <v>215</v>
      </c>
      <c r="F37" s="39" t="n">
        <v>0</v>
      </c>
      <c r="G37" s="14"/>
      <c r="H37" s="21" t="s">
        <v>112</v>
      </c>
      <c r="I37" s="21"/>
      <c r="J37" s="21" t="s">
        <v>113</v>
      </c>
      <c r="K37" s="18" t="n">
        <v>35.81</v>
      </c>
      <c r="L37" s="18" t="n">
        <v>26.05</v>
      </c>
      <c r="M37" s="46" t="n">
        <v>-0.272549567160011</v>
      </c>
      <c r="O37" s="37"/>
      <c r="P37" s="42"/>
    </row>
    <row r="38" customFormat="false" ht="12.75" hidden="false" customHeight="false" outlineLevel="0" collapsed="false">
      <c r="A38" s="41"/>
      <c r="B38" s="16" t="s">
        <v>114</v>
      </c>
      <c r="C38" s="17" t="s">
        <v>115</v>
      </c>
      <c r="D38" s="18" t="n">
        <v>280</v>
      </c>
      <c r="E38" s="18" t="n">
        <v>280</v>
      </c>
      <c r="F38" s="39" t="n">
        <v>0</v>
      </c>
      <c r="G38" s="14"/>
      <c r="H38" s="21" t="s">
        <v>116</v>
      </c>
      <c r="I38" s="21"/>
      <c r="J38" s="21" t="s">
        <v>117</v>
      </c>
      <c r="K38" s="18" t="n">
        <v>34.01</v>
      </c>
      <c r="L38" s="18" t="n">
        <v>34</v>
      </c>
      <c r="M38" s="46" t="n">
        <v>-0.000294031167303676</v>
      </c>
      <c r="O38" s="37"/>
      <c r="P38" s="42"/>
    </row>
    <row r="39" customFormat="false" ht="12.75" hidden="false" customHeight="false" outlineLevel="0" collapsed="false">
      <c r="A39" s="41"/>
      <c r="B39" s="47" t="s">
        <v>118</v>
      </c>
      <c r="C39" s="43"/>
      <c r="D39" s="43"/>
      <c r="E39" s="43"/>
      <c r="F39" s="43"/>
      <c r="G39" s="14"/>
      <c r="H39" s="21" t="s">
        <v>119</v>
      </c>
      <c r="I39" s="21"/>
      <c r="J39" s="21" t="s">
        <v>120</v>
      </c>
      <c r="K39" s="18" t="n">
        <v>1.9</v>
      </c>
      <c r="L39" s="18" t="n">
        <v>1.25</v>
      </c>
      <c r="M39" s="46" t="n">
        <v>-0.342105263157895</v>
      </c>
    </row>
    <row r="40" customFormat="false" ht="12.75" hidden="false" customHeight="false" outlineLevel="0" collapsed="false">
      <c r="A40" s="41"/>
      <c r="B40" s="16" t="s">
        <v>121</v>
      </c>
      <c r="C40" s="48" t="s">
        <v>122</v>
      </c>
      <c r="D40" s="18" t="n">
        <v>0.88525003</v>
      </c>
      <c r="E40" s="18" t="n">
        <v>0.89785</v>
      </c>
      <c r="F40" s="39" t="n">
        <v>0.0142332330674985</v>
      </c>
      <c r="G40" s="49"/>
      <c r="H40" s="21" t="s">
        <v>123</v>
      </c>
      <c r="I40" s="21"/>
      <c r="J40" s="21" t="s">
        <v>124</v>
      </c>
      <c r="K40" s="18" t="n">
        <v>40.09</v>
      </c>
      <c r="L40" s="18" t="n">
        <v>41.01</v>
      </c>
      <c r="M40" s="46" t="n">
        <v>0.0229483661761036</v>
      </c>
    </row>
    <row r="41" customFormat="false" ht="12.75" hidden="false" customHeight="false" outlineLevel="0" collapsed="false">
      <c r="A41" s="41"/>
      <c r="B41" s="16" t="s">
        <v>125</v>
      </c>
      <c r="C41" s="48" t="s">
        <v>126</v>
      </c>
      <c r="D41" s="18" t="n">
        <v>1.5867623</v>
      </c>
      <c r="E41" s="18" t="n">
        <v>1.57536226</v>
      </c>
      <c r="F41" s="39" t="n">
        <v>-0.00718446612955202</v>
      </c>
      <c r="G41" s="33"/>
      <c r="H41" s="21" t="s">
        <v>127</v>
      </c>
      <c r="I41" s="21"/>
      <c r="J41" s="21" t="s">
        <v>128</v>
      </c>
      <c r="K41" s="18" t="n">
        <v>21.05</v>
      </c>
      <c r="L41" s="18" t="n">
        <v>21.35</v>
      </c>
      <c r="M41" s="46" t="n">
        <v>0.0142517814726841</v>
      </c>
    </row>
    <row r="42" customFormat="false" ht="12.75" hidden="false" customHeight="false" outlineLevel="0" collapsed="false">
      <c r="A42" s="41"/>
      <c r="B42" s="16" t="s">
        <v>129</v>
      </c>
      <c r="C42" s="48" t="s">
        <v>130</v>
      </c>
      <c r="D42" s="18" t="n">
        <v>121.03756788</v>
      </c>
      <c r="E42" s="18" t="n">
        <v>120.93256452</v>
      </c>
      <c r="F42" s="39" t="n">
        <v>-0.000867527015282569</v>
      </c>
      <c r="G42" s="33"/>
      <c r="H42" s="50"/>
      <c r="I42" s="50"/>
      <c r="J42" s="50"/>
      <c r="K42" s="50"/>
      <c r="L42" s="50"/>
      <c r="M42" s="51"/>
    </row>
    <row r="43" customFormat="false" ht="12.75" hidden="false" customHeight="false" outlineLevel="0" collapsed="false">
      <c r="A43" s="41"/>
      <c r="B43" s="16" t="s">
        <v>131</v>
      </c>
      <c r="C43" s="48" t="s">
        <v>132</v>
      </c>
      <c r="D43" s="18" t="n">
        <v>1.40895495</v>
      </c>
      <c r="E43" s="18" t="n">
        <v>1.429705</v>
      </c>
      <c r="F43" s="39" t="n">
        <v>0.014727262926327</v>
      </c>
      <c r="G43" s="43"/>
      <c r="H43" s="33"/>
      <c r="I43" s="33"/>
      <c r="J43" s="33"/>
      <c r="K43" s="33"/>
      <c r="L43" s="33"/>
      <c r="M43" s="32"/>
      <c r="N43" s="0"/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0"/>
      <c r="AC43" s="0"/>
      <c r="AD43" s="0"/>
      <c r="AE43" s="0"/>
      <c r="AF43" s="0"/>
      <c r="AG43" s="0"/>
      <c r="AH43" s="0"/>
      <c r="AI43" s="0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0"/>
      <c r="BC43" s="0"/>
      <c r="BD43" s="0"/>
      <c r="BE43" s="0"/>
      <c r="BF43" s="0"/>
      <c r="BG43" s="0"/>
      <c r="BH43" s="0"/>
      <c r="BI43" s="0"/>
      <c r="BJ43" s="0"/>
      <c r="BK43" s="0"/>
      <c r="BL43" s="0"/>
      <c r="BM43" s="0"/>
      <c r="BN43" s="0"/>
      <c r="BO43" s="0"/>
      <c r="BP43" s="0"/>
      <c r="BQ43" s="0"/>
      <c r="BR43" s="0"/>
      <c r="BS43" s="0"/>
      <c r="BT43" s="0"/>
      <c r="BU43" s="0"/>
      <c r="BV43" s="0"/>
      <c r="BW43" s="0"/>
      <c r="BX43" s="0"/>
      <c r="BY43" s="0"/>
      <c r="BZ43" s="0"/>
      <c r="CA43" s="0"/>
      <c r="CB43" s="0"/>
      <c r="CC43" s="0"/>
      <c r="CD43" s="0"/>
      <c r="CE43" s="0"/>
      <c r="CF43" s="0"/>
      <c r="CG43" s="0"/>
      <c r="CH43" s="0"/>
      <c r="CI43" s="0"/>
      <c r="CJ43" s="0"/>
      <c r="CK43" s="0"/>
      <c r="CL43" s="0"/>
      <c r="CM43" s="0"/>
      <c r="CN43" s="0"/>
      <c r="CO43" s="0"/>
      <c r="CP43" s="0"/>
      <c r="CQ43" s="0"/>
      <c r="CR43" s="0"/>
      <c r="CS43" s="0"/>
      <c r="CT43" s="0"/>
      <c r="CU43" s="0"/>
      <c r="CV43" s="0"/>
      <c r="CW43" s="0"/>
      <c r="CX43" s="0"/>
      <c r="CY43" s="0"/>
      <c r="CZ43" s="0"/>
      <c r="DA43" s="0"/>
      <c r="DB43" s="0"/>
      <c r="DC43" s="0"/>
      <c r="DD43" s="0"/>
      <c r="DE43" s="0"/>
      <c r="DF43" s="0"/>
      <c r="DG43" s="0"/>
      <c r="DH43" s="0"/>
      <c r="DI43" s="0"/>
      <c r="DJ43" s="0"/>
      <c r="DK43" s="0"/>
      <c r="DL43" s="0"/>
      <c r="DM43" s="0"/>
      <c r="DN43" s="0"/>
      <c r="DO43" s="0"/>
      <c r="DP43" s="0"/>
      <c r="DQ43" s="0"/>
      <c r="DR43" s="0"/>
      <c r="DS43" s="0"/>
      <c r="DT43" s="0"/>
      <c r="DU43" s="0"/>
      <c r="DV43" s="0"/>
      <c r="DW43" s="0"/>
      <c r="DX43" s="0"/>
      <c r="DY43" s="0"/>
      <c r="DZ43" s="0"/>
      <c r="EA43" s="0"/>
      <c r="EB43" s="0"/>
      <c r="EC43" s="0"/>
      <c r="ED43" s="0"/>
      <c r="EE43" s="0"/>
      <c r="EF43" s="0"/>
      <c r="EG43" s="0"/>
      <c r="EH43" s="0"/>
      <c r="EI43" s="0"/>
      <c r="EJ43" s="0"/>
      <c r="EK43" s="0"/>
      <c r="EL43" s="0"/>
      <c r="EM43" s="0"/>
      <c r="EN43" s="0"/>
      <c r="EO43" s="0"/>
      <c r="EP43" s="0"/>
      <c r="EQ43" s="0"/>
      <c r="ER43" s="0"/>
      <c r="ES43" s="0"/>
      <c r="ET43" s="0"/>
      <c r="EU43" s="0"/>
      <c r="EV43" s="0"/>
      <c r="EW43" s="0"/>
      <c r="EX43" s="0"/>
      <c r="EY43" s="0"/>
      <c r="EZ43" s="0"/>
      <c r="FA43" s="0"/>
      <c r="FB43" s="0"/>
      <c r="FC43" s="0"/>
      <c r="FD43" s="0"/>
      <c r="FE43" s="0"/>
      <c r="FF43" s="0"/>
      <c r="FG43" s="0"/>
      <c r="FH43" s="0"/>
      <c r="FI43" s="0"/>
      <c r="FJ43" s="0"/>
      <c r="FK43" s="0"/>
      <c r="FL43" s="0"/>
      <c r="FM43" s="0"/>
      <c r="FN43" s="0"/>
      <c r="FO43" s="0"/>
      <c r="FP43" s="0"/>
      <c r="FQ43" s="0"/>
      <c r="FR43" s="0"/>
      <c r="FS43" s="0"/>
      <c r="FT43" s="0"/>
      <c r="FU43" s="0"/>
      <c r="FV43" s="0"/>
      <c r="FW43" s="0"/>
      <c r="FX43" s="0"/>
      <c r="FY43" s="0"/>
      <c r="FZ43" s="0"/>
      <c r="GA43" s="0"/>
      <c r="GB43" s="0"/>
      <c r="GC43" s="0"/>
      <c r="GD43" s="0"/>
      <c r="GE43" s="0"/>
      <c r="GF43" s="0"/>
      <c r="GG43" s="0"/>
      <c r="GH43" s="0"/>
      <c r="GI43" s="0"/>
      <c r="GJ43" s="0"/>
      <c r="GK43" s="0"/>
      <c r="GL43" s="0"/>
      <c r="GM43" s="0"/>
      <c r="GN43" s="0"/>
      <c r="GO43" s="0"/>
      <c r="GP43" s="0"/>
      <c r="GQ43" s="0"/>
      <c r="GR43" s="0"/>
      <c r="GS43" s="0"/>
      <c r="GT43" s="0"/>
      <c r="GU43" s="0"/>
      <c r="GV43" s="0"/>
      <c r="GW43" s="0"/>
      <c r="GX43" s="0"/>
      <c r="GY43" s="0"/>
      <c r="GZ43" s="0"/>
      <c r="HA43" s="0"/>
      <c r="HB43" s="0"/>
      <c r="HC43" s="0"/>
      <c r="HD43" s="0"/>
      <c r="HE43" s="0"/>
      <c r="HF43" s="0"/>
      <c r="HG43" s="0"/>
      <c r="HH43" s="0"/>
      <c r="HI43" s="0"/>
      <c r="HJ43" s="0"/>
      <c r="HK43" s="0"/>
      <c r="HL43" s="0"/>
      <c r="HM43" s="0"/>
      <c r="HN43" s="0"/>
      <c r="HO43" s="0"/>
      <c r="HP43" s="0"/>
      <c r="HQ43" s="0"/>
      <c r="HR43" s="0"/>
      <c r="HS43" s="0"/>
      <c r="HT43" s="0"/>
      <c r="HU43" s="0"/>
      <c r="HV43" s="0"/>
      <c r="HW43" s="0"/>
      <c r="HX43" s="0"/>
      <c r="HY43" s="0"/>
      <c r="HZ43" s="0"/>
      <c r="IA43" s="0"/>
      <c r="IB43" s="0"/>
      <c r="IC43" s="0"/>
      <c r="ID43" s="0"/>
      <c r="IE43" s="0"/>
      <c r="IF43" s="0"/>
      <c r="IG43" s="0"/>
      <c r="IH43" s="0"/>
      <c r="II43" s="0"/>
      <c r="IJ43" s="0"/>
      <c r="IK43" s="0"/>
      <c r="IL43" s="0"/>
      <c r="IM43" s="0"/>
      <c r="IN43" s="0"/>
      <c r="IO43" s="0"/>
      <c r="IP43" s="0"/>
      <c r="IQ43" s="0"/>
      <c r="IR43" s="0"/>
      <c r="IS43" s="0"/>
      <c r="IT43" s="0"/>
      <c r="IU43" s="0"/>
      <c r="IV43" s="0"/>
      <c r="IW43" s="0"/>
    </row>
    <row r="44" customFormat="false" ht="12.75" hidden="false" customHeight="false" outlineLevel="0" collapsed="false">
      <c r="A44" s="41"/>
      <c r="B44" s="16" t="s">
        <v>133</v>
      </c>
      <c r="C44" s="48" t="s">
        <v>134</v>
      </c>
      <c r="D44" s="18" t="n">
        <v>2.2078761</v>
      </c>
      <c r="E44" s="18" t="n">
        <v>2.17827</v>
      </c>
      <c r="F44" s="39" t="n">
        <v>-0.0134093122345045</v>
      </c>
      <c r="H44" s="43"/>
      <c r="I44" s="43"/>
      <c r="J44" s="43"/>
      <c r="K44" s="43"/>
      <c r="L44" s="43"/>
      <c r="M44" s="52"/>
      <c r="N44" s="0"/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0"/>
      <c r="AC44" s="0"/>
      <c r="AD44" s="0"/>
      <c r="AE44" s="0"/>
      <c r="AF44" s="0"/>
      <c r="AG44" s="0"/>
      <c r="AH44" s="0"/>
      <c r="AI44" s="0"/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0"/>
      <c r="BC44" s="0"/>
      <c r="BD44" s="0"/>
      <c r="BE44" s="0"/>
      <c r="BF44" s="0"/>
      <c r="BG44" s="0"/>
      <c r="BH44" s="0"/>
      <c r="BI44" s="0"/>
      <c r="BJ44" s="0"/>
      <c r="BK44" s="0"/>
      <c r="BL44" s="0"/>
      <c r="BM44" s="0"/>
      <c r="BN44" s="0"/>
      <c r="BO44" s="0"/>
      <c r="BP44" s="0"/>
      <c r="BQ44" s="0"/>
      <c r="BR44" s="0"/>
      <c r="BS44" s="0"/>
      <c r="BT44" s="0"/>
      <c r="BU44" s="0"/>
      <c r="BV44" s="0"/>
      <c r="BW44" s="0"/>
      <c r="BX44" s="0"/>
      <c r="BY44" s="0"/>
      <c r="BZ44" s="0"/>
      <c r="CA44" s="0"/>
      <c r="CB44" s="0"/>
      <c r="CC44" s="0"/>
      <c r="CD44" s="0"/>
      <c r="CE44" s="0"/>
      <c r="CF44" s="0"/>
      <c r="CG44" s="0"/>
      <c r="CH44" s="0"/>
      <c r="CI44" s="0"/>
      <c r="CJ44" s="0"/>
      <c r="CK44" s="0"/>
      <c r="CL44" s="0"/>
      <c r="CM44" s="0"/>
      <c r="CN44" s="0"/>
      <c r="CO44" s="0"/>
      <c r="CP44" s="0"/>
      <c r="CQ44" s="0"/>
      <c r="CR44" s="0"/>
      <c r="CS44" s="0"/>
      <c r="CT44" s="0"/>
      <c r="CU44" s="0"/>
      <c r="CV44" s="0"/>
      <c r="CW44" s="0"/>
      <c r="CX44" s="0"/>
      <c r="CY44" s="0"/>
      <c r="CZ44" s="0"/>
      <c r="DA44" s="0"/>
      <c r="DB44" s="0"/>
      <c r="DC44" s="0"/>
      <c r="DD44" s="0"/>
      <c r="DE44" s="0"/>
      <c r="DF44" s="0"/>
      <c r="DG44" s="0"/>
      <c r="DH44" s="0"/>
      <c r="DI44" s="0"/>
      <c r="DJ44" s="0"/>
      <c r="DK44" s="0"/>
      <c r="DL44" s="0"/>
      <c r="DM44" s="0"/>
      <c r="DN44" s="0"/>
      <c r="DO44" s="0"/>
      <c r="DP44" s="0"/>
      <c r="DQ44" s="0"/>
      <c r="DR44" s="0"/>
      <c r="DS44" s="0"/>
      <c r="DT44" s="0"/>
      <c r="DU44" s="0"/>
      <c r="DV44" s="0"/>
      <c r="DW44" s="0"/>
      <c r="DX44" s="0"/>
      <c r="DY44" s="0"/>
      <c r="DZ44" s="0"/>
      <c r="EA44" s="0"/>
      <c r="EB44" s="0"/>
      <c r="EC44" s="0"/>
      <c r="ED44" s="0"/>
      <c r="EE44" s="0"/>
      <c r="EF44" s="0"/>
      <c r="EG44" s="0"/>
      <c r="EH44" s="0"/>
      <c r="EI44" s="0"/>
      <c r="EJ44" s="0"/>
      <c r="EK44" s="0"/>
      <c r="EL44" s="0"/>
      <c r="EM44" s="0"/>
      <c r="EN44" s="0"/>
      <c r="EO44" s="0"/>
      <c r="EP44" s="0"/>
      <c r="EQ44" s="0"/>
      <c r="ER44" s="0"/>
      <c r="ES44" s="0"/>
      <c r="ET44" s="0"/>
      <c r="EU44" s="0"/>
      <c r="EV44" s="0"/>
      <c r="EW44" s="0"/>
      <c r="EX44" s="0"/>
      <c r="EY44" s="0"/>
      <c r="EZ44" s="0"/>
      <c r="FA44" s="0"/>
      <c r="FB44" s="0"/>
      <c r="FC44" s="0"/>
      <c r="FD44" s="0"/>
      <c r="FE44" s="0"/>
      <c r="FF44" s="0"/>
      <c r="FG44" s="0"/>
      <c r="FH44" s="0"/>
      <c r="FI44" s="0"/>
      <c r="FJ44" s="0"/>
      <c r="FK44" s="0"/>
      <c r="FL44" s="0"/>
      <c r="FM44" s="0"/>
      <c r="FN44" s="0"/>
      <c r="FO44" s="0"/>
      <c r="FP44" s="0"/>
      <c r="FQ44" s="0"/>
      <c r="FR44" s="0"/>
      <c r="FS44" s="0"/>
      <c r="FT44" s="0"/>
      <c r="FU44" s="0"/>
      <c r="FV44" s="0"/>
      <c r="FW44" s="0"/>
      <c r="FX44" s="0"/>
      <c r="FY44" s="0"/>
      <c r="FZ44" s="0"/>
      <c r="GA44" s="0"/>
      <c r="GB44" s="0"/>
      <c r="GC44" s="0"/>
      <c r="GD44" s="0"/>
      <c r="GE44" s="0"/>
      <c r="GF44" s="0"/>
      <c r="GG44" s="0"/>
      <c r="GH44" s="0"/>
      <c r="GI44" s="0"/>
      <c r="GJ44" s="0"/>
      <c r="GK44" s="0"/>
      <c r="GL44" s="0"/>
      <c r="GM44" s="0"/>
      <c r="GN44" s="0"/>
      <c r="GO44" s="0"/>
      <c r="GP44" s="0"/>
      <c r="GQ44" s="0"/>
      <c r="GR44" s="0"/>
      <c r="GS44" s="0"/>
      <c r="GT44" s="0"/>
      <c r="GU44" s="0"/>
      <c r="GV44" s="0"/>
      <c r="GW44" s="0"/>
      <c r="GX44" s="0"/>
      <c r="GY44" s="0"/>
      <c r="GZ44" s="0"/>
      <c r="HA44" s="0"/>
      <c r="HB44" s="0"/>
      <c r="HC44" s="0"/>
      <c r="HD44" s="0"/>
      <c r="HE44" s="0"/>
      <c r="HF44" s="0"/>
      <c r="HG44" s="0"/>
      <c r="HH44" s="0"/>
      <c r="HI44" s="0"/>
      <c r="HJ44" s="0"/>
      <c r="HK44" s="0"/>
      <c r="HL44" s="0"/>
      <c r="HM44" s="0"/>
      <c r="HN44" s="0"/>
      <c r="HO44" s="0"/>
      <c r="HP44" s="0"/>
      <c r="HQ44" s="0"/>
      <c r="HR44" s="0"/>
      <c r="HS44" s="0"/>
      <c r="HT44" s="0"/>
      <c r="HU44" s="0"/>
      <c r="HV44" s="0"/>
      <c r="HW44" s="0"/>
      <c r="HX44" s="0"/>
      <c r="HY44" s="0"/>
      <c r="HZ44" s="0"/>
      <c r="IA44" s="0"/>
      <c r="IB44" s="0"/>
      <c r="IC44" s="0"/>
      <c r="ID44" s="0"/>
      <c r="IE44" s="0"/>
      <c r="IF44" s="0"/>
      <c r="IG44" s="0"/>
      <c r="IH44" s="0"/>
      <c r="II44" s="0"/>
      <c r="IJ44" s="0"/>
      <c r="IK44" s="0"/>
      <c r="IL44" s="0"/>
      <c r="IM44" s="0"/>
      <c r="IN44" s="0"/>
      <c r="IO44" s="0"/>
      <c r="IP44" s="0"/>
      <c r="IQ44" s="0"/>
      <c r="IR44" s="0"/>
      <c r="IS44" s="0"/>
      <c r="IT44" s="0"/>
      <c r="IU44" s="0"/>
      <c r="IV44" s="0"/>
      <c r="IW44" s="0"/>
    </row>
    <row r="45" customFormat="false" ht="12.75" hidden="false" customHeight="false" outlineLevel="0" collapsed="false">
      <c r="B45" s="16" t="s">
        <v>135</v>
      </c>
      <c r="C45" s="48" t="s">
        <v>136</v>
      </c>
      <c r="D45" s="18" t="n">
        <v>1.65900999</v>
      </c>
      <c r="E45" s="18" t="n">
        <v>1.64221</v>
      </c>
      <c r="F45" s="39" t="n">
        <v>-0.0101265152719183</v>
      </c>
      <c r="H45" s="53" t="s">
        <v>137</v>
      </c>
      <c r="I45" s="54"/>
      <c r="J45" s="54"/>
      <c r="K45" s="55" t="n">
        <v>37169</v>
      </c>
      <c r="L45" s="55" t="n">
        <v>37176</v>
      </c>
      <c r="M45" s="56" t="s">
        <v>4</v>
      </c>
      <c r="N45" s="33"/>
      <c r="O45" s="33"/>
      <c r="P45" s="33"/>
      <c r="Q45" s="33"/>
      <c r="R45" s="33"/>
      <c r="S45" s="33"/>
      <c r="T45" s="33"/>
      <c r="U45" s="33"/>
    </row>
    <row r="46" customFormat="false" ht="12.75" hidden="false" customHeight="false" outlineLevel="0" collapsed="false">
      <c r="B46" s="16" t="s">
        <v>138</v>
      </c>
      <c r="C46" s="48" t="s">
        <v>139</v>
      </c>
      <c r="D46" s="18" t="n">
        <v>7.40489395</v>
      </c>
      <c r="E46" s="18" t="n">
        <v>7.3056</v>
      </c>
      <c r="F46" s="39" t="n">
        <v>-0.0134092332274387</v>
      </c>
      <c r="G46" s="57"/>
      <c r="H46" s="58" t="s">
        <v>140</v>
      </c>
      <c r="I46" s="36"/>
      <c r="J46" s="59"/>
      <c r="K46" s="60" t="n">
        <v>537</v>
      </c>
      <c r="L46" s="60" t="n">
        <v>510</v>
      </c>
      <c r="M46" s="61" t="n">
        <v>-27</v>
      </c>
      <c r="N46" s="33"/>
      <c r="O46" s="33"/>
      <c r="P46" s="33"/>
      <c r="Q46" s="33"/>
      <c r="R46" s="33"/>
      <c r="S46" s="33"/>
      <c r="T46" s="33"/>
      <c r="U46" s="33"/>
    </row>
    <row r="47" customFormat="false" ht="13.5" hidden="false" customHeight="false" outlineLevel="0" collapsed="false">
      <c r="B47" s="62" t="s">
        <v>141</v>
      </c>
      <c r="C47" s="63" t="s">
        <v>142</v>
      </c>
      <c r="D47" s="64" t="n">
        <v>0.51110001</v>
      </c>
      <c r="E47" s="64" t="n">
        <v>0.508</v>
      </c>
      <c r="F47" s="65" t="n">
        <v>-0.00606536869369273</v>
      </c>
      <c r="G47" s="66"/>
      <c r="H47" s="67" t="s">
        <v>143</v>
      </c>
      <c r="I47" s="68"/>
      <c r="J47" s="69"/>
      <c r="K47" s="70" t="n">
        <v>902</v>
      </c>
      <c r="L47" s="70" t="n">
        <v>862</v>
      </c>
      <c r="M47" s="71" t="n">
        <v>-40</v>
      </c>
    </row>
    <row r="48" customFormat="false" ht="13.5" hidden="false" customHeight="false" outlineLevel="0" collapsed="false"/>
    <row r="49" customFormat="false" ht="15.75" hidden="false" customHeight="false" outlineLevel="0" collapsed="false">
      <c r="B49" s="72" t="s">
        <v>144</v>
      </c>
      <c r="C49" s="73"/>
      <c r="D49" s="74"/>
    </row>
    <row r="50" customFormat="false" ht="15.75" hidden="false" customHeight="false" outlineLevel="0" collapsed="false">
      <c r="B50" s="75" t="s">
        <v>145</v>
      </c>
      <c r="C50" s="76"/>
      <c r="D50" s="77"/>
      <c r="E50" s="78"/>
      <c r="F50" s="78"/>
      <c r="G50" s="79" t="s">
        <v>146</v>
      </c>
      <c r="H50" s="80"/>
      <c r="I50" s="78"/>
      <c r="J50" s="78"/>
      <c r="K50" s="78"/>
      <c r="L50" s="78"/>
      <c r="M50" s="78"/>
      <c r="N50" s="79" t="s">
        <v>147</v>
      </c>
      <c r="O50" s="78"/>
      <c r="P50" s="78"/>
      <c r="Q50" s="78"/>
      <c r="R50" s="78"/>
      <c r="S50" s="81"/>
    </row>
    <row r="51" customFormat="false" ht="12.75" hidden="false" customHeight="false" outlineLevel="0" collapsed="false">
      <c r="B51" s="47" t="s">
        <v>148</v>
      </c>
      <c r="C51" s="40"/>
      <c r="D51" s="33"/>
      <c r="E51" s="33"/>
      <c r="F51" s="33"/>
      <c r="G51" s="82" t="s">
        <v>149</v>
      </c>
      <c r="H51" s="40"/>
      <c r="I51" s="33"/>
      <c r="J51" s="33"/>
      <c r="K51" s="33"/>
      <c r="L51" s="33"/>
      <c r="M51" s="33"/>
      <c r="N51" s="82" t="s">
        <v>149</v>
      </c>
      <c r="O51" s="33"/>
      <c r="P51" s="33"/>
      <c r="Q51" s="33"/>
      <c r="R51" s="33"/>
      <c r="S51" s="32"/>
    </row>
    <row r="52" customFormat="false" ht="12.75" hidden="false" customHeight="false" outlineLevel="0" collapsed="false">
      <c r="B52" s="83" t="s">
        <v>150</v>
      </c>
      <c r="C52" s="41"/>
      <c r="D52" s="33"/>
      <c r="E52" s="33"/>
      <c r="F52" s="33"/>
      <c r="G52" s="84" t="s">
        <v>151</v>
      </c>
      <c r="H52" s="33"/>
      <c r="I52" s="33"/>
      <c r="J52" s="33"/>
      <c r="K52" s="33"/>
      <c r="L52" s="33"/>
      <c r="M52" s="33"/>
      <c r="N52" s="84" t="s">
        <v>152</v>
      </c>
      <c r="O52" s="33"/>
      <c r="P52" s="33"/>
      <c r="Q52" s="33"/>
      <c r="R52" s="33"/>
      <c r="S52" s="32"/>
    </row>
    <row r="53" customFormat="false" ht="12.75" hidden="false" customHeight="false" outlineLevel="0" collapsed="false">
      <c r="B53" s="85" t="s">
        <v>153</v>
      </c>
      <c r="C53" s="41"/>
      <c r="D53" s="33"/>
      <c r="E53" s="33"/>
      <c r="F53" s="33"/>
      <c r="G53" s="84" t="s">
        <v>154</v>
      </c>
      <c r="H53" s="33"/>
      <c r="I53" s="33"/>
      <c r="J53" s="33"/>
      <c r="K53" s="33"/>
      <c r="L53" s="33"/>
      <c r="M53" s="33"/>
      <c r="N53" s="84" t="s">
        <v>155</v>
      </c>
      <c r="O53" s="33"/>
      <c r="P53" s="33"/>
      <c r="Q53" s="33"/>
      <c r="R53" s="33"/>
      <c r="S53" s="32"/>
    </row>
    <row r="54" customFormat="false" ht="12.75" hidden="false" customHeight="false" outlineLevel="0" collapsed="false">
      <c r="B54" s="83" t="s">
        <v>156</v>
      </c>
      <c r="C54" s="41"/>
      <c r="D54" s="33"/>
      <c r="E54" s="33"/>
      <c r="F54" s="33"/>
      <c r="G54" s="84" t="s">
        <v>157</v>
      </c>
      <c r="H54" s="33"/>
      <c r="I54" s="33"/>
      <c r="J54" s="33"/>
      <c r="K54" s="33"/>
      <c r="L54" s="33"/>
      <c r="M54" s="86"/>
      <c r="N54" s="84" t="s">
        <v>158</v>
      </c>
      <c r="O54" s="33"/>
      <c r="P54" s="33"/>
      <c r="Q54" s="33"/>
      <c r="R54" s="33"/>
      <c r="S54" s="32"/>
    </row>
    <row r="55" customFormat="false" ht="15.75" hidden="false" customHeight="false" outlineLevel="0" collapsed="false">
      <c r="B55" s="47" t="s">
        <v>149</v>
      </c>
      <c r="C55" s="40"/>
      <c r="D55" s="33"/>
      <c r="E55" s="33"/>
      <c r="F55" s="33"/>
      <c r="G55" s="87" t="s">
        <v>159</v>
      </c>
      <c r="H55" s="88"/>
      <c r="I55" s="33"/>
      <c r="J55" s="33"/>
      <c r="K55" s="33"/>
      <c r="L55" s="33"/>
      <c r="M55" s="86"/>
      <c r="N55" s="88" t="s">
        <v>160</v>
      </c>
      <c r="O55" s="33"/>
      <c r="P55" s="33"/>
      <c r="Q55" s="33"/>
      <c r="R55" s="33"/>
      <c r="S55" s="32"/>
    </row>
    <row r="56" customFormat="false" ht="12.75" hidden="false" customHeight="false" outlineLevel="0" collapsed="false">
      <c r="B56" s="83" t="s">
        <v>161</v>
      </c>
      <c r="C56" s="33"/>
      <c r="D56" s="33"/>
      <c r="E56" s="33"/>
      <c r="F56" s="33"/>
      <c r="G56" s="82" t="s">
        <v>149</v>
      </c>
      <c r="H56" s="40"/>
      <c r="I56" s="33"/>
      <c r="J56" s="33"/>
      <c r="K56" s="33"/>
      <c r="L56" s="33"/>
      <c r="M56" s="86"/>
      <c r="N56" s="82" t="s">
        <v>149</v>
      </c>
      <c r="O56" s="33"/>
      <c r="P56" s="33"/>
      <c r="Q56" s="33"/>
      <c r="R56" s="33"/>
      <c r="S56" s="32"/>
    </row>
    <row r="57" customFormat="false" ht="12.75" hidden="false" customHeight="false" outlineLevel="0" collapsed="false">
      <c r="B57" s="83" t="s">
        <v>162</v>
      </c>
      <c r="C57" s="33"/>
      <c r="D57" s="33"/>
      <c r="E57" s="33"/>
      <c r="F57" s="33"/>
      <c r="G57" s="84" t="s">
        <v>163</v>
      </c>
      <c r="H57" s="33"/>
      <c r="I57" s="33"/>
      <c r="J57" s="33"/>
      <c r="K57" s="33"/>
      <c r="L57" s="33"/>
      <c r="M57" s="86"/>
      <c r="N57" s="89" t="s">
        <v>164</v>
      </c>
      <c r="O57" s="33"/>
      <c r="P57" s="33"/>
      <c r="Q57" s="33"/>
      <c r="R57" s="33"/>
      <c r="S57" s="32"/>
    </row>
    <row r="58" customFormat="false" ht="13.5" hidden="false" customHeight="false" outlineLevel="0" collapsed="false">
      <c r="B58" s="90" t="s">
        <v>165</v>
      </c>
      <c r="C58" s="91"/>
      <c r="D58" s="91"/>
      <c r="E58" s="91"/>
      <c r="F58" s="91"/>
      <c r="G58" s="92" t="s">
        <v>166</v>
      </c>
      <c r="H58" s="91"/>
      <c r="I58" s="91"/>
      <c r="J58" s="91"/>
      <c r="K58" s="91"/>
      <c r="L58" s="91"/>
      <c r="M58" s="93"/>
      <c r="N58" s="91"/>
      <c r="O58" s="91"/>
      <c r="P58" s="91"/>
      <c r="Q58" s="91"/>
      <c r="R58" s="91"/>
      <c r="S58" s="94"/>
    </row>
    <row r="59" customFormat="false" ht="15.75" hidden="false" customHeight="false" outlineLevel="0" collapsed="false">
      <c r="B59" s="95" t="s">
        <v>167</v>
      </c>
      <c r="C59" s="96"/>
      <c r="D59" s="97"/>
      <c r="G59" s="91"/>
      <c r="H59" s="33"/>
      <c r="L59" s="33"/>
      <c r="M59" s="91"/>
      <c r="N59" s="33"/>
      <c r="O59" s="33"/>
      <c r="P59" s="33"/>
      <c r="Q59" s="33"/>
      <c r="R59" s="33"/>
      <c r="S59" s="33"/>
    </row>
    <row r="60" customFormat="false" ht="15.75" hidden="false" customHeight="false" outlineLevel="0" collapsed="false">
      <c r="B60" s="75" t="s">
        <v>145</v>
      </c>
      <c r="C60" s="76"/>
      <c r="D60" s="77"/>
      <c r="E60" s="78"/>
      <c r="F60" s="78"/>
      <c r="G60" s="79" t="s">
        <v>146</v>
      </c>
      <c r="H60" s="80"/>
      <c r="I60" s="78"/>
      <c r="J60" s="78"/>
      <c r="K60" s="78"/>
      <c r="L60" s="78"/>
      <c r="M60" s="78"/>
      <c r="N60" s="79" t="s">
        <v>147</v>
      </c>
      <c r="O60" s="78"/>
      <c r="P60" s="78"/>
      <c r="Q60" s="78"/>
      <c r="R60" s="78"/>
      <c r="S60" s="81"/>
    </row>
    <row r="61" customFormat="false" ht="12.75" hidden="false" customHeight="false" outlineLevel="0" collapsed="false">
      <c r="B61" s="47" t="s">
        <v>148</v>
      </c>
      <c r="C61" s="40"/>
      <c r="D61" s="33"/>
      <c r="E61" s="33"/>
      <c r="F61" s="33"/>
      <c r="G61" s="82" t="s">
        <v>149</v>
      </c>
      <c r="H61" s="40"/>
      <c r="I61" s="33"/>
      <c r="J61" s="33"/>
      <c r="K61" s="33"/>
      <c r="L61" s="33"/>
      <c r="M61" s="33"/>
      <c r="N61" s="82" t="s">
        <v>149</v>
      </c>
      <c r="O61" s="33"/>
      <c r="P61" s="33"/>
      <c r="Q61" s="33"/>
      <c r="R61" s="33"/>
      <c r="S61" s="32"/>
    </row>
    <row r="62" customFormat="false" ht="12.75" hidden="false" customHeight="false" outlineLevel="0" collapsed="false">
      <c r="B62" s="83" t="s">
        <v>168</v>
      </c>
      <c r="C62" s="41"/>
      <c r="D62" s="33"/>
      <c r="E62" s="33"/>
      <c r="F62" s="33"/>
      <c r="G62" s="84" t="s">
        <v>169</v>
      </c>
      <c r="H62" s="33"/>
      <c r="I62" s="33"/>
      <c r="J62" s="33"/>
      <c r="K62" s="33"/>
      <c r="L62" s="33"/>
      <c r="M62" s="33"/>
      <c r="N62" s="84" t="s">
        <v>170</v>
      </c>
      <c r="O62" s="33"/>
      <c r="P62" s="33"/>
      <c r="Q62" s="33"/>
      <c r="R62" s="33"/>
      <c r="S62" s="32"/>
    </row>
    <row r="63" customFormat="false" ht="12.75" hidden="false" customHeight="false" outlineLevel="0" collapsed="false">
      <c r="B63" s="85" t="s">
        <v>171</v>
      </c>
      <c r="C63" s="41"/>
      <c r="D63" s="33"/>
      <c r="E63" s="33"/>
      <c r="F63" s="33"/>
      <c r="G63" s="84" t="s">
        <v>172</v>
      </c>
      <c r="H63" s="33"/>
      <c r="I63" s="33"/>
      <c r="J63" s="33"/>
      <c r="K63" s="33"/>
      <c r="L63" s="33"/>
      <c r="M63" s="33"/>
      <c r="N63" s="84" t="s">
        <v>173</v>
      </c>
      <c r="O63" s="33"/>
      <c r="P63" s="33"/>
      <c r="Q63" s="33"/>
      <c r="R63" s="33"/>
      <c r="S63" s="32"/>
    </row>
    <row r="64" customFormat="false" ht="12.75" hidden="false" customHeight="false" outlineLevel="0" collapsed="false">
      <c r="B64" s="83" t="s">
        <v>174</v>
      </c>
      <c r="C64" s="41"/>
      <c r="D64" s="33"/>
      <c r="E64" s="33"/>
      <c r="F64" s="33"/>
      <c r="G64" s="84" t="s">
        <v>175</v>
      </c>
      <c r="H64" s="33"/>
      <c r="I64" s="33"/>
      <c r="J64" s="33"/>
      <c r="K64" s="33"/>
      <c r="L64" s="33"/>
      <c r="M64" s="86"/>
      <c r="N64" s="84" t="s">
        <v>176</v>
      </c>
      <c r="O64" s="33"/>
      <c r="P64" s="33"/>
      <c r="Q64" s="33"/>
      <c r="R64" s="33"/>
      <c r="S64" s="32"/>
    </row>
    <row r="65" customFormat="false" ht="15.75" hidden="false" customHeight="false" outlineLevel="0" collapsed="false">
      <c r="B65" s="47" t="s">
        <v>149</v>
      </c>
      <c r="C65" s="40"/>
      <c r="D65" s="33"/>
      <c r="E65" s="33"/>
      <c r="F65" s="33"/>
      <c r="G65" s="87" t="s">
        <v>159</v>
      </c>
      <c r="H65" s="88"/>
      <c r="I65" s="33"/>
      <c r="J65" s="33"/>
      <c r="K65" s="33"/>
      <c r="L65" s="33"/>
      <c r="M65" s="86"/>
      <c r="N65" s="88" t="s">
        <v>160</v>
      </c>
      <c r="O65" s="33"/>
      <c r="P65" s="33"/>
      <c r="Q65" s="33"/>
      <c r="R65" s="33"/>
      <c r="S65" s="32"/>
    </row>
    <row r="66" customFormat="false" ht="12.75" hidden="false" customHeight="false" outlineLevel="0" collapsed="false">
      <c r="B66" s="83" t="s">
        <v>177</v>
      </c>
      <c r="C66" s="33"/>
      <c r="D66" s="33"/>
      <c r="E66" s="33"/>
      <c r="F66" s="33"/>
      <c r="G66" s="82" t="s">
        <v>149</v>
      </c>
      <c r="H66" s="40"/>
      <c r="I66" s="33"/>
      <c r="J66" s="33"/>
      <c r="K66" s="33"/>
      <c r="L66" s="33"/>
      <c r="M66" s="86"/>
      <c r="N66" s="82" t="s">
        <v>149</v>
      </c>
      <c r="O66" s="33"/>
      <c r="P66" s="33"/>
      <c r="Q66" s="33"/>
      <c r="R66" s="33"/>
      <c r="S66" s="32"/>
    </row>
    <row r="67" customFormat="false" ht="12.75" hidden="false" customHeight="false" outlineLevel="0" collapsed="false">
      <c r="B67" s="83" t="s">
        <v>178</v>
      </c>
      <c r="C67" s="33"/>
      <c r="D67" s="33"/>
      <c r="E67" s="33"/>
      <c r="F67" s="33"/>
      <c r="G67" s="84" t="s">
        <v>179</v>
      </c>
      <c r="H67" s="33"/>
      <c r="I67" s="33"/>
      <c r="J67" s="33"/>
      <c r="K67" s="33"/>
      <c r="L67" s="33"/>
      <c r="M67" s="86"/>
      <c r="N67" s="89" t="s">
        <v>180</v>
      </c>
      <c r="O67" s="33"/>
      <c r="P67" s="33"/>
      <c r="Q67" s="33"/>
      <c r="R67" s="33"/>
      <c r="S67" s="32"/>
    </row>
    <row r="68" customFormat="false" ht="13.5" hidden="false" customHeight="false" outlineLevel="0" collapsed="false">
      <c r="B68" s="90" t="s">
        <v>181</v>
      </c>
      <c r="C68" s="91"/>
      <c r="D68" s="91"/>
      <c r="E68" s="91"/>
      <c r="F68" s="91"/>
      <c r="G68" s="92" t="s">
        <v>182</v>
      </c>
      <c r="H68" s="91"/>
      <c r="I68" s="91"/>
      <c r="J68" s="91"/>
      <c r="K68" s="91"/>
      <c r="L68" s="91"/>
      <c r="M68" s="93"/>
      <c r="N68" s="91" t="s">
        <v>183</v>
      </c>
      <c r="O68" s="91"/>
      <c r="P68" s="91"/>
      <c r="Q68" s="91"/>
      <c r="R68" s="91"/>
      <c r="S68" s="94"/>
    </row>
  </sheetData>
  <conditionalFormatting sqref="F5:F15 F17:F25 M37:M41">
    <cfRule type="cellIs" priority="2" operator="greaterThan" aboveAverage="0" equalAverage="0" bottom="0" percent="0" rank="0" text="" dxfId="0">
      <formula>0.001</formula>
    </cfRule>
    <cfRule type="cellIs" priority="3" operator="lessThan" aboveAverage="0" equalAverage="0" bottom="0" percent="0" rank="0" text="" dxfId="1">
      <formula>-0.001</formula>
    </cfRule>
  </conditionalFormatting>
  <conditionalFormatting sqref="F16">
    <cfRule type="cellIs" priority="4" operator="greaterThan" aboveAverage="0" equalAverage="0" bottom="0" percent="0" rank="0" text="" dxfId="2">
      <formula>0</formula>
    </cfRule>
    <cfRule type="cellIs" priority="5" operator="lessThan" aboveAverage="0" equalAverage="0" bottom="0" percent="0" rank="0" text="" dxfId="3">
      <formula>0</formula>
    </cfRule>
  </conditionalFormatting>
  <conditionalFormatting sqref="F41:F48 F26:F39">
    <cfRule type="cellIs" priority="6" operator="greaterThan" aboveAverage="0" equalAverage="0" bottom="0" percent="0" rank="0" text="" dxfId="4">
      <formula>0</formula>
    </cfRule>
    <cfRule type="cellIs" priority="7" operator="lessThan" aboveAverage="0" equalAverage="0" bottom="0" percent="0" rank="0" text="" dxfId="5">
      <formula>0</formula>
    </cfRule>
  </conditionalFormatting>
  <conditionalFormatting sqref="M34 M12">
    <cfRule type="cellIs" priority="8" operator="greaterThan" aboveAverage="0" equalAverage="0" bottom="0" percent="0" rank="0" text="" dxfId="6">
      <formula>0</formula>
    </cfRule>
  </conditionalFormatting>
  <conditionalFormatting sqref="M5:M11 M13:M19 M22:M28 M30:M32">
    <cfRule type="cellIs" priority="9" operator="lessThan" aboveAverage="0" equalAverage="0" bottom="0" percent="0" rank="0" text="" dxfId="7">
      <formula>0</formula>
    </cfRule>
  </conditionalFormatting>
  <printOptions headings="false" gridLines="false" gridLinesSet="true" horizontalCentered="false" verticalCentered="false"/>
  <pageMargins left="0" right="0" top="0.5" bottom="0.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&amp;L&amp;F&amp;R&amp;D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68"/>
  <sheetViews>
    <sheetView showFormulas="false" showGridLines="false" showRowColHeaders="true" showZeros="true" rightToLeft="false" tabSelected="false" showOutlineSymbols="true" defaultGridColor="true" view="pageBreakPreview" topLeftCell="I1" colorId="64" zoomScale="100" zoomScaleNormal="85" zoomScalePageLayoutView="100" workbookViewId="0">
      <selection pane="topLeft" activeCell="B54" activeCellId="0" sqref="B54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2.7"/>
    <col collapsed="false" customWidth="true" hidden="false" outlineLevel="0" max="2" min="2" style="1" width="36.99"/>
    <col collapsed="false" customWidth="true" hidden="false" outlineLevel="0" max="3" min="3" style="1" width="33.56"/>
    <col collapsed="false" customWidth="true" hidden="false" outlineLevel="0" max="5" min="4" style="1" width="15.13"/>
    <col collapsed="false" customWidth="true" hidden="false" outlineLevel="0" max="6" min="6" style="1" width="10.99"/>
    <col collapsed="false" customWidth="true" hidden="false" outlineLevel="0" max="7" min="7" style="1" width="2.28"/>
    <col collapsed="false" customWidth="true" hidden="false" outlineLevel="0" max="8" min="8" style="1" width="9.85"/>
    <col collapsed="false" customWidth="true" hidden="false" outlineLevel="0" max="9" min="9" style="1" width="20.41"/>
    <col collapsed="false" customWidth="true" hidden="false" outlineLevel="0" max="10" min="10" style="1" width="17.14"/>
    <col collapsed="false" customWidth="true" hidden="false" outlineLevel="0" max="12" min="11" style="1" width="15.28"/>
    <col collapsed="false" customWidth="true" hidden="false" outlineLevel="0" max="13" min="13" style="1" width="13.28"/>
    <col collapsed="false" customWidth="true" hidden="false" outlineLevel="0" max="14" min="14" style="1" width="9.56"/>
    <col collapsed="false" customWidth="true" hidden="false" outlineLevel="0" max="15" min="15" style="1" width="10.41"/>
    <col collapsed="false" customWidth="true" hidden="false" outlineLevel="0" max="16" min="16" style="1" width="9.28"/>
    <col collapsed="false" customWidth="false" hidden="false" outlineLevel="0" max="18" min="17" style="1" width="9.14"/>
    <col collapsed="false" customWidth="true" hidden="false" outlineLevel="0" max="19" min="19" style="1" width="15.85"/>
    <col collapsed="false" customWidth="false" hidden="false" outlineLevel="0" max="20" min="20" style="1" width="9.14"/>
    <col collapsed="false" customWidth="true" hidden="false" outlineLevel="0" max="21" min="21" style="1" width="12.7"/>
    <col collapsed="false" customWidth="false" hidden="false" outlineLevel="0" max="22" min="22" style="1" width="9.14"/>
    <col collapsed="false" customWidth="true" hidden="false" outlineLevel="0" max="23" min="23" style="1" width="10.71"/>
    <col collapsed="false" customWidth="true" hidden="false" outlineLevel="0" max="24" min="24" style="1" width="10.13"/>
    <col collapsed="false" customWidth="false" hidden="false" outlineLevel="0" max="257" min="25" style="1" width="9.14"/>
  </cols>
  <sheetData>
    <row r="1" customFormat="false" ht="26.25" hidden="false" customHeight="false" outlineLevel="0" collapsed="false">
      <c r="B1" s="2" t="s">
        <v>0</v>
      </c>
      <c r="C1" s="3"/>
      <c r="F1" s="0"/>
      <c r="G1" s="0"/>
      <c r="H1" s="0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</row>
    <row r="2" customFormat="false" ht="13.5" hidden="false" customHeight="false" outlineLevel="0" collapsed="false"/>
    <row r="3" customFormat="false" ht="15" hidden="false" customHeight="false" outlineLevel="0" collapsed="false">
      <c r="B3" s="4" t="s">
        <v>1</v>
      </c>
      <c r="C3" s="5"/>
      <c r="D3" s="6" t="n">
        <f aca="false">E3-7</f>
        <v>45919</v>
      </c>
      <c r="E3" s="6" t="n">
        <f aca="true">TODAY()</f>
        <v>45926</v>
      </c>
      <c r="F3" s="6" t="s">
        <v>2</v>
      </c>
      <c r="G3" s="7"/>
      <c r="H3" s="5" t="s">
        <v>3</v>
      </c>
      <c r="I3" s="7"/>
      <c r="J3" s="7"/>
      <c r="K3" s="6" t="n">
        <f aca="false">D3</f>
        <v>45919</v>
      </c>
      <c r="L3" s="6" t="n">
        <f aca="false">E3</f>
        <v>45926</v>
      </c>
      <c r="M3" s="8" t="s">
        <v>4</v>
      </c>
    </row>
    <row r="4" customFormat="false" ht="12.75" hidden="false" customHeight="false" outlineLevel="0" collapsed="false">
      <c r="B4" s="9" t="s">
        <v>5</v>
      </c>
      <c r="C4" s="10"/>
      <c r="D4" s="11"/>
      <c r="E4" s="11"/>
      <c r="F4" s="11"/>
      <c r="G4" s="12"/>
      <c r="H4" s="13" t="s">
        <v>6</v>
      </c>
      <c r="I4" s="14"/>
      <c r="J4" s="14"/>
      <c r="K4" s="14"/>
      <c r="L4" s="14"/>
      <c r="M4" s="15"/>
    </row>
    <row r="5" customFormat="false" ht="12.75" hidden="false" customHeight="false" outlineLevel="0" collapsed="false">
      <c r="B5" s="16" t="s">
        <v>7</v>
      </c>
      <c r="C5" s="17" t="s">
        <v>8</v>
      </c>
      <c r="D5" s="18" t="n">
        <f aca="false">DDE("BLP","M","INDU Index,[PX_close_5d]")</f>
        <v>9344.16</v>
      </c>
      <c r="E5" s="18" t="n">
        <f aca="false">DDE("BLP","M","INDU Index,[PX_last]")</f>
        <v>9204.11</v>
      </c>
      <c r="F5" s="19" t="n">
        <f aca="false">(E5-D5)/D5</f>
        <v>-0.0149879710963853</v>
      </c>
      <c r="G5" s="14"/>
      <c r="H5" s="20" t="s">
        <v>9</v>
      </c>
      <c r="I5" s="17"/>
      <c r="J5" s="21" t="s">
        <v>10</v>
      </c>
      <c r="K5" s="22" t="n">
        <v>0.02249</v>
      </c>
      <c r="L5" s="22" t="n">
        <f aca="false">(1/100)*DDE("BLP","M","'CB03 Govt,&lt;CUSIP&gt;[YLD_YTM_MID]'")</f>
        <v>0.02196</v>
      </c>
      <c r="M5" s="23" t="n">
        <f aca="false">(L5-K5)*10000</f>
        <v>-5.29999999999999</v>
      </c>
    </row>
    <row r="6" customFormat="false" ht="12.75" hidden="false" customHeight="false" outlineLevel="0" collapsed="false">
      <c r="B6" s="16" t="s">
        <v>11</v>
      </c>
      <c r="C6" s="17" t="s">
        <v>12</v>
      </c>
      <c r="D6" s="18" t="n">
        <f aca="false">DDE("BLP","M","ccmp Index,[PX_close_5d]")</f>
        <v>1703.4</v>
      </c>
      <c r="E6" s="18" t="n">
        <f aca="false">DDE("BLP","M","ccmp Index,[PX_last]")</f>
        <v>1671.31</v>
      </c>
      <c r="F6" s="19" t="n">
        <f aca="false">(E6-D6)/D6</f>
        <v>-0.0188387930022309</v>
      </c>
      <c r="G6" s="14"/>
      <c r="H6" s="20" t="s">
        <v>13</v>
      </c>
      <c r="I6" s="17"/>
      <c r="J6" s="21" t="s">
        <v>14</v>
      </c>
      <c r="K6" s="22" t="n">
        <v>0.02226</v>
      </c>
      <c r="L6" s="22" t="n">
        <f aca="false">(1/100)*DDE("BLP","M","'CB06 Govt,&lt;CUSIP&gt;[YLD_YTM_MID]'")</f>
        <v>0.02157</v>
      </c>
      <c r="M6" s="23" t="n">
        <f aca="false">(L6-K6)*10000</f>
        <v>-6.89999999999996</v>
      </c>
      <c r="W6" s="24"/>
    </row>
    <row r="7" customFormat="false" ht="12.75" hidden="false" customHeight="false" outlineLevel="0" collapsed="false">
      <c r="B7" s="16" t="s">
        <v>15</v>
      </c>
      <c r="C7" s="17" t="s">
        <v>16</v>
      </c>
      <c r="D7" s="18" t="n">
        <f aca="false">DDE("BLP","M","ndq Index,[PX_close_5d]")</f>
        <v>1393.84</v>
      </c>
      <c r="E7" s="18" t="n">
        <f aca="false">DDE("BLP","M","ndq Index,[PX_last]")</f>
        <v>1347.59</v>
      </c>
      <c r="F7" s="19" t="n">
        <f aca="false">(E7-D7)/D7</f>
        <v>-0.0331817138265511</v>
      </c>
      <c r="G7" s="14"/>
      <c r="H7" s="20" t="s">
        <v>17</v>
      </c>
      <c r="I7" s="17"/>
      <c r="J7" s="21" t="s">
        <v>18</v>
      </c>
      <c r="K7" s="22" t="n">
        <v>0.0231</v>
      </c>
      <c r="L7" s="22" t="n">
        <f aca="false">(1/100)*DDE("BLP","M","'CB12 Govt,&lt;CUSIP&gt;[YLD_YTM_MID]'")</f>
        <v>0.02326</v>
      </c>
      <c r="M7" s="23" t="n">
        <f aca="false">(L7-K7)*10000</f>
        <v>1.59999999999997</v>
      </c>
    </row>
    <row r="8" customFormat="false" ht="12.75" hidden="false" customHeight="false" outlineLevel="0" collapsed="false">
      <c r="B8" s="16" t="s">
        <v>19</v>
      </c>
      <c r="C8" s="17" t="s">
        <v>20</v>
      </c>
      <c r="D8" s="18" t="n">
        <f aca="false">DDE("BLP","M","spx Index,[PX_close_5d]")</f>
        <v>1091.65</v>
      </c>
      <c r="E8" s="18" t="n">
        <f aca="false">DDE("BLP","M","spx Index,[PX_last]")</f>
        <v>1073.48</v>
      </c>
      <c r="F8" s="19" t="n">
        <f aca="false">(E8-D8)/D8</f>
        <v>-0.0166445289241058</v>
      </c>
      <c r="G8" s="14"/>
      <c r="H8" s="20" t="s">
        <v>21</v>
      </c>
      <c r="I8" s="17"/>
      <c r="J8" s="21" t="s">
        <v>22</v>
      </c>
      <c r="K8" s="22" t="n">
        <v>0.02795</v>
      </c>
      <c r="L8" s="22" t="n">
        <f aca="false">(1/100)*DDE("BLP","M","'CT02 Govt,&lt;CUSIP&gt;[YLD_YTM_MID]'")</f>
        <v>0.02754</v>
      </c>
      <c r="M8" s="23" t="n">
        <f aca="false">(L8-K8)*10000</f>
        <v>-4.09999999999997</v>
      </c>
    </row>
    <row r="9" customFormat="false" ht="12.75" hidden="false" customHeight="false" outlineLevel="0" collapsed="false">
      <c r="B9" s="16" t="s">
        <v>23</v>
      </c>
      <c r="C9" s="17" t="s">
        <v>24</v>
      </c>
      <c r="D9" s="18" t="n">
        <f aca="false">DDE("BLP","M","rty Index,[PX_close_5d]")</f>
        <v>428.59</v>
      </c>
      <c r="E9" s="18" t="n">
        <f aca="false">DDE("BLP","M","rty Index,[PX_last]")</f>
        <v>425.7</v>
      </c>
      <c r="F9" s="19" t="n">
        <f aca="false">(E9-D9)/D9</f>
        <v>-0.00674304113488412</v>
      </c>
      <c r="G9" s="14"/>
      <c r="H9" s="20" t="s">
        <v>25</v>
      </c>
      <c r="I9" s="17"/>
      <c r="J9" s="21" t="s">
        <v>26</v>
      </c>
      <c r="K9" s="22" t="n">
        <v>0.03864</v>
      </c>
      <c r="L9" s="22" t="n">
        <f aca="false">(1/100)*DDE("BLP","M","'CT05 Govt,&lt;CUSIP&gt;[YLD_YTM_MID]'")</f>
        <v>0.03817</v>
      </c>
      <c r="M9" s="23" t="n">
        <f aca="false">(L9-K9)*10000</f>
        <v>-4.69999999999998</v>
      </c>
    </row>
    <row r="10" customFormat="false" ht="12.75" hidden="false" customHeight="false" outlineLevel="0" collapsed="false">
      <c r="B10" s="16" t="s">
        <v>27</v>
      </c>
      <c r="C10" s="17" t="s">
        <v>28</v>
      </c>
      <c r="D10" s="18" t="n">
        <f aca="false">DDE("BLP","M","tmw Index,[PX_close_5d]")</f>
        <v>10049.12</v>
      </c>
      <c r="E10" s="18" t="n">
        <f aca="false">DDE("BLP","M","tmw Index,[PX_last]")</f>
        <v>9894.9</v>
      </c>
      <c r="F10" s="19" t="n">
        <f aca="false">(E10-D10)/D10</f>
        <v>-0.0153466174152564</v>
      </c>
      <c r="G10" s="14"/>
      <c r="H10" s="20" t="s">
        <v>29</v>
      </c>
      <c r="I10" s="17"/>
      <c r="J10" s="21" t="s">
        <v>30</v>
      </c>
      <c r="K10" s="22" t="n">
        <v>0.04663</v>
      </c>
      <c r="L10" s="22" t="n">
        <f aca="false">(1/100)*DDE("BLP","M","'CT10 Govt,&lt;CUSIP&gt;[YLD_YTM_MID]'")</f>
        <v>0.04621</v>
      </c>
      <c r="M10" s="23" t="n">
        <f aca="false">(L10-K10)*10000</f>
        <v>-4.19999999999997</v>
      </c>
    </row>
    <row r="11" customFormat="false" ht="12.75" hidden="false" customHeight="false" outlineLevel="0" collapsed="false">
      <c r="B11" s="16" t="s">
        <v>31</v>
      </c>
      <c r="C11" s="17" t="s">
        <v>32</v>
      </c>
      <c r="D11" s="18" t="n">
        <f aca="false">DDE("BLP","M","ts300 Index,[PX_close_5d]")</f>
        <v>7031.03</v>
      </c>
      <c r="E11" s="18" t="n">
        <f aca="false">DDE("BLP","M","ts300 Index,[PX_last]")</f>
        <v>6910.96</v>
      </c>
      <c r="F11" s="19" t="n">
        <f aca="false">(E11-D11)/D11</f>
        <v>-0.0170771565474759</v>
      </c>
      <c r="G11" s="14"/>
      <c r="H11" s="20" t="s">
        <v>33</v>
      </c>
      <c r="I11" s="17"/>
      <c r="J11" s="21" t="s">
        <v>34</v>
      </c>
      <c r="K11" s="22" t="n">
        <v>0.05425</v>
      </c>
      <c r="L11" s="22" t="n">
        <f aca="false">(1/100)*DDE("BLP","M","'CT30 Govt,&lt;CUSIP&gt;[YLD_YTM_MID]'")</f>
        <v>0.05358</v>
      </c>
      <c r="M11" s="23" t="n">
        <f aca="false">(L11-K11)*10000</f>
        <v>-6.70000000000004</v>
      </c>
    </row>
    <row r="12" customFormat="false" ht="12.75" hidden="false" customHeight="false" outlineLevel="0" collapsed="false">
      <c r="B12" s="16" t="s">
        <v>35</v>
      </c>
      <c r="C12" s="17" t="s">
        <v>36</v>
      </c>
      <c r="D12" s="18" t="n">
        <f aca="false">DDE("BLP","M","ukx Index,[PX_close_5d]")</f>
        <v>5145.5</v>
      </c>
      <c r="E12" s="18" t="n">
        <f aca="false">DDE("BLP","M","ukx Index,[PX_last]")</f>
        <v>5017.7</v>
      </c>
      <c r="F12" s="19" t="n">
        <f aca="false">(E12-D12)/D12</f>
        <v>-0.024837236420173</v>
      </c>
      <c r="G12" s="14"/>
      <c r="H12" s="13" t="s">
        <v>37</v>
      </c>
      <c r="I12" s="14"/>
      <c r="J12" s="14"/>
      <c r="K12" s="25"/>
      <c r="L12" s="25"/>
      <c r="M12" s="26"/>
    </row>
    <row r="13" customFormat="false" ht="12.75" hidden="false" customHeight="false" outlineLevel="0" collapsed="false">
      <c r="B13" s="16" t="s">
        <v>38</v>
      </c>
      <c r="C13" s="17" t="s">
        <v>39</v>
      </c>
      <c r="D13" s="18" t="n">
        <f aca="false">DDE("BLP","M","nky Index,[PX_close_5d]")</f>
        <v>10632.35</v>
      </c>
      <c r="E13" s="18" t="n">
        <f aca="false">DDE("BLP","M","nky Index,[PX_last]")</f>
        <v>10538.79</v>
      </c>
      <c r="F13" s="19" t="n">
        <f aca="false">(E13-D13)/D13</f>
        <v>-0.00879955983390309</v>
      </c>
      <c r="G13" s="14"/>
      <c r="H13" s="20" t="s">
        <v>9</v>
      </c>
      <c r="I13" s="27"/>
      <c r="J13" s="28" t="s">
        <v>40</v>
      </c>
      <c r="K13" s="22" t="n">
        <f aca="false">(1/100)*DDE("BLP","M","'US0003M Index,[PX_CLOSE_5D]'")</f>
        <v>0.0245625</v>
      </c>
      <c r="L13" s="22" t="n">
        <f aca="false">(1/100)*DDE("BLP","M","'US0003M Index,[PX_LAST]'")</f>
        <v>0.0236625</v>
      </c>
      <c r="M13" s="23" t="n">
        <f aca="false">(L13-K13)*10000</f>
        <v>-8.99999999999998</v>
      </c>
    </row>
    <row r="14" customFormat="false" ht="12.75" hidden="false" customHeight="false" outlineLevel="0" collapsed="false">
      <c r="B14" s="16" t="s">
        <v>41</v>
      </c>
      <c r="C14" s="17" t="s">
        <v>42</v>
      </c>
      <c r="D14" s="18" t="n">
        <f aca="false">DDE("BLP","M","dax Index,[PX_close_5d]")</f>
        <v>4625.13</v>
      </c>
      <c r="E14" s="18" t="n">
        <f aca="false">DDE("BLP","M","dax Index,[PX_last]")</f>
        <v>4513.53</v>
      </c>
      <c r="F14" s="19" t="n">
        <f aca="false">(E14-D14)/D14</f>
        <v>-0.0241290515077415</v>
      </c>
      <c r="G14" s="14"/>
      <c r="H14" s="20" t="s">
        <v>13</v>
      </c>
      <c r="I14" s="27"/>
      <c r="J14" s="28" t="s">
        <v>43</v>
      </c>
      <c r="K14" s="22" t="n">
        <f aca="false">(1/100)*DDE("BLP","M","'US0006M Index,[PX_CLOSE_5D]'")</f>
        <v>0.024225</v>
      </c>
      <c r="L14" s="22" t="n">
        <f aca="false">(1/100)*DDE("BLP","M","'US0006M Index,[PX_LAST]'")</f>
        <v>0.0232125</v>
      </c>
      <c r="M14" s="23" t="n">
        <f aca="false">(L14-K14)*10000</f>
        <v>-10.125</v>
      </c>
    </row>
    <row r="15" customFormat="false" ht="12.75" hidden="false" customHeight="false" outlineLevel="0" collapsed="false">
      <c r="B15" s="16" t="s">
        <v>44</v>
      </c>
      <c r="C15" s="17" t="s">
        <v>45</v>
      </c>
      <c r="D15" s="18" t="n">
        <f aca="false">DDE("BLP","M","cac Index,[PX_close_5d]")</f>
        <v>4336.88</v>
      </c>
      <c r="E15" s="18" t="n">
        <f aca="false">DDE("BLP","M","cac Index,[PX_last]")</f>
        <v>4264.89</v>
      </c>
      <c r="F15" s="19" t="n">
        <f aca="false">(E15-D15)/D15</f>
        <v>-0.016599490878235</v>
      </c>
      <c r="G15" s="14"/>
      <c r="H15" s="20" t="s">
        <v>17</v>
      </c>
      <c r="I15" s="27"/>
      <c r="J15" s="28" t="s">
        <v>46</v>
      </c>
      <c r="K15" s="22" t="n">
        <f aca="false">(1/100)*DDE("BLP","M","'US0012M Index,[PX_CLOSE_5D]'")</f>
        <v>0.0262375</v>
      </c>
      <c r="L15" s="22" t="n">
        <f aca="false">(1/100)*DDE("BLP","M","'US0012M Index,[PX_LAST]'")</f>
        <v>0.025025</v>
      </c>
      <c r="M15" s="23" t="n">
        <f aca="false">(L15-K15)*10000</f>
        <v>-12.125</v>
      </c>
    </row>
    <row r="16" customFormat="false" ht="12.75" hidden="false" customHeight="false" outlineLevel="0" collapsed="false">
      <c r="B16" s="29" t="s">
        <v>47</v>
      </c>
      <c r="C16" s="13"/>
      <c r="D16" s="14"/>
      <c r="E16" s="14"/>
      <c r="F16" s="30"/>
      <c r="G16" s="14"/>
      <c r="H16" s="20" t="s">
        <v>21</v>
      </c>
      <c r="I16" s="27"/>
      <c r="J16" s="28" t="s">
        <v>48</v>
      </c>
      <c r="K16" s="22" t="n">
        <f aca="false">(1/100)*DDE("BLP","M","'USSW2 Index,[PX_CLOSE_5D]'")</f>
        <v>0.033499999</v>
      </c>
      <c r="L16" s="22" t="n">
        <f aca="false">(1/100)*DDE("BLP","M","'USSW2 Index,[PX_LAST]'")</f>
        <v>0.0322000003</v>
      </c>
      <c r="M16" s="23" t="n">
        <f aca="false">(L16-K16)*10000</f>
        <v>-12.9999869999999</v>
      </c>
    </row>
    <row r="17" customFormat="false" ht="12.75" hidden="false" customHeight="false" outlineLevel="0" collapsed="false">
      <c r="B17" s="16" t="s">
        <v>49</v>
      </c>
      <c r="C17" s="17" t="s">
        <v>50</v>
      </c>
      <c r="D17" s="18" t="n">
        <f aca="false">DDE("BLP","M","OW1 Comdty,[PX_Close_5d]")</f>
        <v>31.5</v>
      </c>
      <c r="E17" s="18" t="n">
        <f aca="false">DDE("BLP","M","OW1 Comdty,[PX_SETTLE]")</f>
        <v>29</v>
      </c>
      <c r="F17" s="31" t="n">
        <f aca="false">(E17-D17)/D17</f>
        <v>-0.0793650793650794</v>
      </c>
      <c r="G17" s="14"/>
      <c r="H17" s="20" t="s">
        <v>25</v>
      </c>
      <c r="I17" s="27"/>
      <c r="J17" s="28" t="s">
        <v>51</v>
      </c>
      <c r="K17" s="22" t="n">
        <f aca="false">(1/100)*DDE("BLP","M","'USSW5 Index,[PX_CLOSE_5D]'")</f>
        <v>0.0461600018</v>
      </c>
      <c r="L17" s="22" t="n">
        <f aca="false">(1/100)*DDE("BLP","M","'USSW5 Index,[PX_LAST]'")</f>
        <v>0.0454299998</v>
      </c>
      <c r="M17" s="23" t="n">
        <f aca="false">(L17-K17)*10000</f>
        <v>-7.30002</v>
      </c>
    </row>
    <row r="18" customFormat="false" ht="12.75" hidden="false" customHeight="false" outlineLevel="0" collapsed="false">
      <c r="B18" s="16" t="s">
        <v>52</v>
      </c>
      <c r="C18" s="17" t="s">
        <v>53</v>
      </c>
      <c r="D18" s="18" t="n">
        <f aca="false">DDE("BLP","M","CL1 Comdty,[PX_close_5d]")</f>
        <v>22.5</v>
      </c>
      <c r="E18" s="18" t="n">
        <f aca="false">DDE("BLP","M","CL1 Comdty,[PX_SETTLE]")</f>
        <v>21.83</v>
      </c>
      <c r="F18" s="31" t="n">
        <f aca="false">(E18-D18)/D18</f>
        <v>-0.0297777777777779</v>
      </c>
      <c r="G18" s="14"/>
      <c r="H18" s="20" t="s">
        <v>29</v>
      </c>
      <c r="I18" s="17"/>
      <c r="J18" s="28" t="s">
        <v>54</v>
      </c>
      <c r="K18" s="22" t="n">
        <f aca="false">(1/100)*DDE("BLP","M","'USSW10 Index,[PX_CLOSE_5D]'")</f>
        <v>0.0537200022</v>
      </c>
      <c r="L18" s="22" t="n">
        <f aca="false">(1/100)*DDE("BLP","M","'USSW10 Index,[PX_LAST]'")</f>
        <v>0.05296</v>
      </c>
      <c r="M18" s="23" t="n">
        <f aca="false">(L18-K18)*10000</f>
        <v>-7.60002199999998</v>
      </c>
      <c r="W18" s="1" t="n">
        <v>0.25</v>
      </c>
    </row>
    <row r="19" customFormat="false" ht="12.75" hidden="false" customHeight="false" outlineLevel="0" collapsed="false">
      <c r="B19" s="16" t="s">
        <v>55</v>
      </c>
      <c r="C19" s="17" t="s">
        <v>56</v>
      </c>
      <c r="D19" s="18" t="n">
        <f aca="false">DDE("BLP","M","CO1 Comdty,[PX_close_5d]")</f>
        <v>21.73</v>
      </c>
      <c r="E19" s="18" t="n">
        <f aca="false">DDE("BLP","M","CO1 Comdty,[PX_SETTLE]")</f>
        <v>21.35</v>
      </c>
      <c r="F19" s="31" t="n">
        <f aca="false">(E19-D19)/D19</f>
        <v>-0.0174873446847676</v>
      </c>
      <c r="G19" s="14"/>
      <c r="H19" s="20" t="s">
        <v>33</v>
      </c>
      <c r="I19" s="17"/>
      <c r="J19" s="28" t="s">
        <v>57</v>
      </c>
      <c r="K19" s="22" t="n">
        <f aca="false">(1/100)*DDE("BLP","M","'USSW30 Index,[PX_CLOSE_5D]'")</f>
        <v>0.0593900013</v>
      </c>
      <c r="L19" s="22" t="n">
        <f aca="false">(1/100)*DDE("BLP","M","'USSW30 Index,[PX_LAST]'")</f>
        <v>0.0587799978</v>
      </c>
      <c r="M19" s="23" t="n">
        <f aca="false">(L19-K19)*10000</f>
        <v>-6.10003500000005</v>
      </c>
      <c r="W19" s="1" t="n">
        <v>0.5</v>
      </c>
    </row>
    <row r="20" customFormat="false" ht="12.75" hidden="false" customHeight="false" outlineLevel="0" collapsed="false">
      <c r="B20" s="16" t="s">
        <v>58</v>
      </c>
      <c r="C20" s="17" t="s">
        <v>59</v>
      </c>
      <c r="D20" s="18" t="n">
        <f aca="false">DDE("BLP","M","HU1 Comdty,[PX_close_5d]")</f>
        <v>60.1</v>
      </c>
      <c r="E20" s="18" t="n">
        <f aca="false">DDE("BLP","M","HU1 Comdty,[PX_SETTLE]")</f>
        <v>59.52</v>
      </c>
      <c r="F20" s="31" t="n">
        <f aca="false">(E20-D20)/D20</f>
        <v>-0.00965058236272876</v>
      </c>
      <c r="G20" s="14"/>
      <c r="M20" s="32"/>
      <c r="W20" s="1" t="n">
        <v>0.75</v>
      </c>
    </row>
    <row r="21" customFormat="false" ht="12.75" hidden="false" customHeight="false" outlineLevel="0" collapsed="false">
      <c r="B21" s="16" t="s">
        <v>60</v>
      </c>
      <c r="C21" s="17" t="s">
        <v>61</v>
      </c>
      <c r="D21" s="18" t="n">
        <f aca="false">DDE("BLP","M","HO1 Comdty,[PX_close_5d]")</f>
        <v>63.84</v>
      </c>
      <c r="E21" s="18" t="n">
        <f aca="false">DDE("BLP","M","HO1 Comdty,[PX_SETTLE]")</f>
        <v>62.63</v>
      </c>
      <c r="F21" s="31" t="n">
        <f aca="false">(E21-D21)/D21</f>
        <v>-0.018953634085213</v>
      </c>
      <c r="G21" s="14"/>
      <c r="H21" s="10" t="s">
        <v>62</v>
      </c>
      <c r="I21" s="33"/>
      <c r="J21" s="33"/>
      <c r="K21" s="33"/>
      <c r="L21" s="33"/>
      <c r="M21" s="32"/>
      <c r="W21" s="1" t="n">
        <v>1</v>
      </c>
    </row>
    <row r="22" customFormat="false" ht="12.75" hidden="false" customHeight="false" outlineLevel="0" collapsed="false">
      <c r="B22" s="16" t="s">
        <v>63</v>
      </c>
      <c r="C22" s="34" t="s">
        <v>64</v>
      </c>
      <c r="D22" s="18" t="n">
        <f aca="false">DDE("BLP","M","NG1 Comdty,[PX_close_5d]")</f>
        <v>2.43</v>
      </c>
      <c r="E22" s="18" t="n">
        <f aca="false">DDE("BLP","M","NG1 Comdty,[PX_SETTLE]")</f>
        <v>2.681</v>
      </c>
      <c r="F22" s="31" t="n">
        <f aca="false">(E22-D22)/D22</f>
        <v>0.103292181069959</v>
      </c>
      <c r="G22" s="14"/>
      <c r="H22" s="20" t="s">
        <v>9</v>
      </c>
      <c r="I22" s="17"/>
      <c r="J22" s="22" t="s">
        <v>65</v>
      </c>
      <c r="K22" s="22" t="s">
        <v>66</v>
      </c>
      <c r="L22" s="22" t="e">
        <f aca="false">1/100*([1]!BLP,J22,REF!B2,,,DDE("BLP","M","GJTB3MO Index,[PX_LAST]"))</f>
        <v>#NAME?</v>
      </c>
      <c r="M22" s="23" t="s">
        <v>67</v>
      </c>
    </row>
    <row r="23" customFormat="false" ht="12.75" hidden="false" customHeight="false" outlineLevel="0" collapsed="false">
      <c r="B23" s="16" t="s">
        <v>68</v>
      </c>
      <c r="C23" s="21" t="s">
        <v>69</v>
      </c>
      <c r="D23" s="18" t="e">
        <f aca="false" t="array" ref="D23:D23">([1]!BLP,C23,REF!$B$3,,,DDE("BLP","M","COALBGSD Index,[PX_CLOSE_5D]"))</f>
        <v>#NAME?</v>
      </c>
      <c r="E23" s="18" t="e">
        <f aca="false" t="array" ref="E23:E23">([1]!BLP,C23,REF!$B$2,,,DDE("BLP","M","COALBGSD Index,[PX_LAST]"))</f>
        <v>#NAME?</v>
      </c>
      <c r="F23" s="31" t="e">
        <f aca="false">(E23-D23)/D23</f>
        <v>#NAME?</v>
      </c>
      <c r="G23" s="14"/>
      <c r="H23" s="20" t="s">
        <v>13</v>
      </c>
      <c r="I23" s="17"/>
      <c r="J23" s="22" t="s">
        <v>70</v>
      </c>
      <c r="K23" s="22" t="e">
        <f aca="false" t="array" ref="K23:K23">1/100*([1]!BLP,J23,REF!$B$3,,,DDE("BLP","M","GJTB6MO Index,[PX_CLOSE_5D]"))</f>
        <v>#NAME?</v>
      </c>
      <c r="L23" s="22" t="e">
        <f aca="false" t="array" ref="L23:L23">1/100*([1]!BLP,J23,REF!$B$2,,,DDE("BLP","M","GJTB6MO Index,[PX_LAST]"))</f>
        <v>#NAME?</v>
      </c>
      <c r="M23" s="23" t="e">
        <f aca="false">(L23-K23)*10000</f>
        <v>#NAME?</v>
      </c>
      <c r="N23" s="35" t="n">
        <v>0.25</v>
      </c>
      <c r="W23" s="1" t="s">
        <v>71</v>
      </c>
    </row>
    <row r="24" customFormat="false" ht="12.75" hidden="false" customHeight="false" outlineLevel="0" collapsed="false">
      <c r="B24" s="16" t="s">
        <v>72</v>
      </c>
      <c r="C24" s="36" t="s">
        <v>73</v>
      </c>
      <c r="D24" s="18" t="e">
        <f aca="false" t="array" ref="D24:D24">([1]!BLP,C24,REF!$B$3,,,DDE("BLP","M","COALPWDR Index,[PX_CLOSE_5D]"))</f>
        <v>#NAME?</v>
      </c>
      <c r="E24" s="18" t="e">
        <f aca="false">([1]!BLP,C24,REF!$B$2,,,DDE("BLP","M","COALPWDR Index,[PX_LAST]"))</f>
        <v>#NAME?</v>
      </c>
      <c r="F24" s="31" t="e">
        <f aca="false">(E24-D24)/D24</f>
        <v>#NAME?</v>
      </c>
      <c r="G24" s="14"/>
      <c r="H24" s="20" t="s">
        <v>17</v>
      </c>
      <c r="I24" s="17"/>
      <c r="J24" s="22" t="s">
        <v>74</v>
      </c>
      <c r="K24" s="22" t="e">
        <f aca="false" t="array" ref="K24:K24">1/100*([1]!BLP,J24,REF!$B$3,,,DDE("BLP","M","GJGB1 Index,[PX_CLOSE_5D]"))</f>
        <v>#NAME?</v>
      </c>
      <c r="L24" s="22" t="e">
        <f aca="false" t="array" ref="L24:L24">1/100*([1]!BLP,J24,REF!$B$2,,,DDE("BLP","M","GJGB1 Index,[PX_LAST]"))</f>
        <v>#NAME?</v>
      </c>
      <c r="M24" s="23" t="e">
        <f aca="false">(L24-K24)*10000</f>
        <v>#NAME?</v>
      </c>
      <c r="N24" s="35" t="n">
        <v>0.5</v>
      </c>
    </row>
    <row r="25" customFormat="false" ht="12.75" hidden="false" customHeight="false" outlineLevel="0" collapsed="false">
      <c r="B25" s="16" t="s">
        <v>75</v>
      </c>
      <c r="C25" s="36" t="s">
        <v>76</v>
      </c>
      <c r="D25" s="18" t="e">
        <f aca="false" t="array" ref="D25:D25">([1]!BLP,C25,REF!$B$3,,,DDE("BLP","M","COALPR84 Index,[PX_CLOSE_5D]"))</f>
        <v>#NAME?</v>
      </c>
      <c r="E25" s="18" t="e">
        <f aca="false" t="array" ref="E25:E25">([1]!BLP,C25,REF!$B$2,,,DDE("BLP","M","COALPR84 Index,[PX_LAST]"))</f>
        <v>#NAME?</v>
      </c>
      <c r="F25" s="31" t="e">
        <f aca="false">(E25-D25)/D25</f>
        <v>#NAME?</v>
      </c>
      <c r="G25" s="14"/>
      <c r="H25" s="20" t="s">
        <v>21</v>
      </c>
      <c r="I25" s="17"/>
      <c r="J25" s="22" t="s">
        <v>77</v>
      </c>
      <c r="K25" s="22" t="e">
        <f aca="false" t="array" ref="K25:K25">1/100*([1]!BLP,J25,REF!$B$3,,,DDE("BLP","M","GJGB2 Index,[PX_CLOSE_5D]"))</f>
        <v>#NAME?</v>
      </c>
      <c r="L25" s="22" t="e">
        <f aca="false" t="array" ref="L25:L25">1/100*([1]!BLP,J25,REF!$B$2,,,DDE("BLP","M","GJGB2 Index,[PX_LAST]"))</f>
        <v>#NAME?</v>
      </c>
      <c r="M25" s="23" t="e">
        <f aca="false">(L25-K25)*10000</f>
        <v>#NAME?</v>
      </c>
      <c r="N25" s="35" t="n">
        <v>1</v>
      </c>
      <c r="W25" s="37" t="n">
        <f aca="false">W26-1</f>
        <v>45922</v>
      </c>
      <c r="X25" s="38" t="e">
        <f aca="false" t="array" ref="X25:X25">([2]!blpsh,$W$23,REF!$B$2,LNK!W25,,,DDE("BLP","H","ENE Equity,[PX_LAST],ST=20011015 END=20011015 PD=D"))</f>
        <v>#VALUE!</v>
      </c>
    </row>
    <row r="26" customFormat="false" ht="12.75" hidden="false" customHeight="false" outlineLevel="0" collapsed="false">
      <c r="B26" s="16" t="s">
        <v>78</v>
      </c>
      <c r="C26" s="17" t="s">
        <v>79</v>
      </c>
      <c r="D26" s="18" t="n">
        <f aca="false">DDE("BLP","M","ELEASO21 Index,[PX_CLOSE_5D]")</f>
        <v>206.25</v>
      </c>
      <c r="E26" s="18" t="n">
        <f aca="false">DDE("BLP","M","ELEASO21 Index,[PX_LAST]")</f>
        <v>199</v>
      </c>
      <c r="F26" s="39" t="n">
        <f aca="false">(E26-D26)/D26</f>
        <v>-0.0351515151515152</v>
      </c>
      <c r="G26" s="14"/>
      <c r="H26" s="20" t="s">
        <v>25</v>
      </c>
      <c r="I26" s="17"/>
      <c r="J26" s="22" t="s">
        <v>80</v>
      </c>
      <c r="K26" s="22" t="e">
        <f aca="false" t="array" ref="K26:K26">1/100*([1]!BLP,J26,REF!$B$3,,,DDE("BLP","M","GJGB5 Index,[PX_CLOSE_5D]"))</f>
        <v>#NAME?</v>
      </c>
      <c r="L26" s="22" t="e">
        <f aca="false" t="array" ref="L26:L26">1/100*([1]!BLP,J26,REF!$B$2,,,DDE("BLP","M","GJGB5 Index,[PX_LAST]"))</f>
        <v>#NAME?</v>
      </c>
      <c r="M26" s="23" t="e">
        <f aca="false">(L26-K26)*10000</f>
        <v>#NAME?</v>
      </c>
      <c r="N26" s="35" t="n">
        <v>2</v>
      </c>
      <c r="W26" s="37" t="n">
        <f aca="false">W27-1</f>
        <v>45923</v>
      </c>
      <c r="X26" s="38" t="e">
        <f aca="false" t="array" ref="X26:X26">([2]!blpsh,$W$23,REF!$B$2,LNK!W26,,,DDE("BLP","H","ENE Equity,[PX_LAST],ST=20011016 END=20011016 PD=D"))</f>
        <v>#VALUE!</v>
      </c>
    </row>
    <row r="27" customFormat="false" ht="12.75" hidden="false" customHeight="false" outlineLevel="0" collapsed="false">
      <c r="B27" s="16" t="s">
        <v>81</v>
      </c>
      <c r="C27" s="17" t="s">
        <v>82</v>
      </c>
      <c r="D27" s="18" t="n">
        <f aca="false">DDE("BLP","M","ELEANOX4 Index,[PX_CLOSE_5D]")</f>
        <v>917</v>
      </c>
      <c r="E27" s="18" t="n">
        <f aca="false">DDE("BLP","M","ELEANOX4 Index,[PX_LAST]")</f>
        <v>900</v>
      </c>
      <c r="F27" s="39" t="n">
        <f aca="false">(E27-D27)/D27</f>
        <v>-0.0185387131952017</v>
      </c>
      <c r="G27" s="14"/>
      <c r="H27" s="20" t="s">
        <v>29</v>
      </c>
      <c r="I27" s="17"/>
      <c r="J27" s="22" t="s">
        <v>83</v>
      </c>
      <c r="K27" s="22" t="e">
        <f aca="false" t="array" ref="K27:K27">1/100*([1]!BLP,J27,REF!$B$3,,,DDE("BLP","M","GJGB10 Index,[PX_CLOSE_5D]"))</f>
        <v>#NAME?</v>
      </c>
      <c r="L27" s="22" t="e">
        <f aca="false" t="array" ref="L27:L27">1/100*([1]!BLP,J27,REF!$B$2,,,DDE("BLP","M","GJGB10 Index,[PX_LAST]"))</f>
        <v>#NAME?</v>
      </c>
      <c r="M27" s="23" t="e">
        <f aca="false">(L27-K27)*10000</f>
        <v>#NAME?</v>
      </c>
      <c r="N27" s="35" t="n">
        <v>5</v>
      </c>
      <c r="W27" s="37" t="n">
        <f aca="false">W28-1</f>
        <v>45924</v>
      </c>
      <c r="X27" s="38" t="e">
        <f aca="false" t="array" ref="X27:X27">([2]!blpsh,$W$23,REF!$B$2,LNK!W27,,,DDE("BLP","H","ENE Equity,[PX_LAST],ST=20011017 END=20011017 PD=D"))</f>
        <v>#VALUE!</v>
      </c>
    </row>
    <row r="28" customFormat="false" ht="12.75" hidden="false" customHeight="false" outlineLevel="0" collapsed="false">
      <c r="B28" s="16" t="s">
        <v>84</v>
      </c>
      <c r="C28" s="17" t="s">
        <v>85</v>
      </c>
      <c r="D28" s="18" t="e">
        <f aca="false" t="array" ref="D28:D28">([1]!BLP,C28,REF!$B$3,,,DDE("BLP","M","BMIY Index,[PX_CLOSE_5D]"))</f>
        <v>#NAME?</v>
      </c>
      <c r="E28" s="18" t="e">
        <f aca="false">([1]!BLP,C28,REF!$B$2,,,DDE("BLP","M","BMIY Index,[PX_LAST]"))</f>
        <v>#NAME?</v>
      </c>
      <c r="F28" s="39" t="e">
        <f aca="false">(E28-D28)/D28</f>
        <v>#NAME?</v>
      </c>
      <c r="G28" s="14"/>
      <c r="H28" s="20" t="s">
        <v>33</v>
      </c>
      <c r="I28" s="17"/>
      <c r="J28" s="22" t="s">
        <v>86</v>
      </c>
      <c r="K28" s="22" t="e">
        <f aca="false" t="array" ref="K28:K28">1/100*([1]!BLP,J28,REF!$B$3,,,DDE("BLP","M","GJGB30 Index,[PX_CLOSE_5D]"))</f>
        <v>#NAME?</v>
      </c>
      <c r="L28" s="22" t="e">
        <f aca="false" t="array" ref="L28:L28">1/100*([1]!BLP,J28,REF!$B$2,,,DDE("BLP","M","GJGB30 Index,[PX_LAST]"))</f>
        <v>#NAME?</v>
      </c>
      <c r="M28" s="23" t="e">
        <f aca="false">(L28-K28)*10000</f>
        <v>#NAME?</v>
      </c>
      <c r="N28" s="35" t="n">
        <v>10</v>
      </c>
      <c r="W28" s="37" t="n">
        <f aca="false">W29-1</f>
        <v>45925</v>
      </c>
      <c r="X28" s="38" t="e">
        <f aca="false" t="array" ref="X28:X28">([2]!blpsh,$W$23,REF!$B$2,LNK!W28,,,DDE("BLP","H","ENE Equity,[PX_LAST],ST=20011018 END=20011018 PD=D"))</f>
        <v>#VALUE!</v>
      </c>
    </row>
    <row r="29" customFormat="false" ht="12.75" hidden="false" customHeight="false" outlineLevel="0" collapsed="false">
      <c r="B29" s="16" t="s">
        <v>87</v>
      </c>
      <c r="C29" s="17" t="s">
        <v>88</v>
      </c>
      <c r="D29" s="18" t="e">
        <f aca="false">([1]!BLP,C29,REF!$B$3,,,DDE("BLP","M","BPIY Index,[PX_CLOSE_5D]"))</f>
        <v>#NAME?</v>
      </c>
      <c r="E29" s="18" t="e">
        <f aca="false">([1]!BLP,C29,REF!B2,,,DDE("BLP","M","BPIY Index,[PX_LAST]"))</f>
        <v>#NAME?</v>
      </c>
      <c r="F29" s="39" t="e">
        <f aca="false">(E29-D29)/D29</f>
        <v>#NAME?</v>
      </c>
      <c r="G29" s="14"/>
      <c r="H29" s="40" t="s">
        <v>89</v>
      </c>
      <c r="I29" s="33"/>
      <c r="J29" s="33"/>
      <c r="K29" s="33"/>
      <c r="L29" s="33"/>
      <c r="M29" s="32"/>
      <c r="N29" s="35" t="n">
        <v>30</v>
      </c>
      <c r="W29" s="37" t="n">
        <f aca="false">L3</f>
        <v>45926</v>
      </c>
      <c r="X29" s="38" t="e">
        <f aca="false" t="array" ref="X29:X29">([2]!blpsh,$W$23,REF!$B$2,LNK!W29,,,DDE("BLP","H","ENE Equity,[PX_LAST],ST=20011019 END=20011019 PD=D"))</f>
        <v>#VALUE!</v>
      </c>
    </row>
    <row r="30" customFormat="false" ht="12.75" hidden="false" customHeight="false" outlineLevel="0" collapsed="false">
      <c r="A30" s="41"/>
      <c r="B30" s="16" t="s">
        <v>90</v>
      </c>
      <c r="C30" s="17" t="s">
        <v>91</v>
      </c>
      <c r="D30" s="18" t="e">
        <f aca="false">([1]!BLP,C30,REF!$B$3,,,DDE("BLP","M","BCIY Index,[PX_CLOSE_5D]"))</f>
        <v>#NAME?</v>
      </c>
      <c r="E30" s="18" t="e">
        <f aca="false">([1]!BLP,C30,REF!$B$2,,,DDE("BLP","M","BCIY Index,[PX_LAST]"))</f>
        <v>#NAME?</v>
      </c>
      <c r="F30" s="39" t="e">
        <f aca="false">(E30-D30)/D30</f>
        <v>#NAME?</v>
      </c>
      <c r="G30" s="14"/>
      <c r="H30" s="20" t="s">
        <v>9</v>
      </c>
      <c r="I30" s="17"/>
      <c r="J30" s="22" t="s">
        <v>92</v>
      </c>
      <c r="K30" s="22" t="e">
        <f aca="false" t="array" ref="K30:K30">1/100*([1]!BLP,LNK!J30,REF!$B$3,,,DDE("BLP","M","TI0003M Index,[PX_CLOSE_5D]"))</f>
        <v>#NAME?</v>
      </c>
      <c r="L30" s="22" t="e">
        <f aca="false" t="array" ref="L30:L30">1/100*([1]!BLP,J30,REF!$B$2,,,DDE("BLP","M","TI0003M Index,[PX_LAST]"))</f>
        <v>#NAME?</v>
      </c>
      <c r="M30" s="23" t="e">
        <f aca="false">(L30-K30)*10000</f>
        <v>#NAME?</v>
      </c>
      <c r="O30" s="37"/>
    </row>
    <row r="31" customFormat="false" ht="12.75" hidden="false" customHeight="false" outlineLevel="0" collapsed="false">
      <c r="A31" s="41"/>
      <c r="B31" s="16" t="s">
        <v>93</v>
      </c>
      <c r="C31" s="17" t="s">
        <v>94</v>
      </c>
      <c r="D31" s="18" t="n">
        <f aca="false">DDE("BLP","M","GC1 Comdty,[PX_CLOSE_5D]")</f>
        <v>284.9</v>
      </c>
      <c r="E31" s="18" t="n">
        <f aca="false">DDE("BLP","M","GC1 Comdty,[PX_SETTLE]")</f>
        <v>280.1</v>
      </c>
      <c r="F31" s="39" t="n">
        <f aca="false">(E31-D31)/D31</f>
        <v>-0.0168480168480167</v>
      </c>
      <c r="G31" s="14"/>
      <c r="H31" s="20" t="s">
        <v>13</v>
      </c>
      <c r="I31" s="17"/>
      <c r="J31" s="22" t="s">
        <v>95</v>
      </c>
      <c r="K31" s="22" t="e">
        <f aca="false" t="array" ref="K31:K31">1/100*([1]!BLP,LNK!J31,REF!$B$3,,,DDE("BLP","M","TI0006M Index,[PX_CLOSE_5D]"))</f>
        <v>#NAME?</v>
      </c>
      <c r="L31" s="22" t="e">
        <f aca="false" t="array" ref="L31:L31">1/100*([1]!BLP,J31,REF!$B$2,,,DDE("BLP","M","TI0006M Index,[PX_LAST]"))</f>
        <v>#NAME?</v>
      </c>
      <c r="M31" s="23" t="e">
        <f aca="false">(L31-K31)*10000</f>
        <v>#NAME?</v>
      </c>
      <c r="O31" s="37"/>
      <c r="P31" s="42"/>
    </row>
    <row r="32" customFormat="false" ht="12.75" hidden="false" customHeight="false" outlineLevel="0" collapsed="false">
      <c r="A32" s="41"/>
      <c r="B32" s="16" t="s">
        <v>96</v>
      </c>
      <c r="C32" s="17" t="s">
        <v>97</v>
      </c>
      <c r="D32" s="18" t="n">
        <f aca="false">DDE("BLP","M","PL1 Comdty,[PX_CLOSE_5D]")</f>
        <v>450</v>
      </c>
      <c r="E32" s="18" t="n">
        <f aca="false">DDE("BLP","M","PL1 Comdty,[PX_SETTLE]")</f>
        <v>437</v>
      </c>
      <c r="F32" s="39" t="n">
        <f aca="false">(E32-D32)/D32</f>
        <v>-0.0288888888888889</v>
      </c>
      <c r="G32" s="14"/>
      <c r="H32" s="20" t="s">
        <v>17</v>
      </c>
      <c r="I32" s="17"/>
      <c r="J32" s="22" t="s">
        <v>98</v>
      </c>
      <c r="K32" s="22" t="e">
        <f aca="false" t="array" ref="K32:K32">1/100*([1]!BLP,LNK!J32,REF!$B$3,,,DDE("BLP","M","TI0012M Index,[PX_CLOSE_5D]"))</f>
        <v>#NAME?</v>
      </c>
      <c r="L32" s="22" t="e">
        <f aca="false" t="array" ref="L32:L32">1/100*([1]!BLP,J32,REF!$B$2,,,DDE("BLP","M","TI0012M Index,[PX_LAST]"))</f>
        <v>#NAME?</v>
      </c>
      <c r="M32" s="23" t="e">
        <f aca="false">(L32-K32)*10000</f>
        <v>#NAME?</v>
      </c>
      <c r="O32" s="37"/>
      <c r="P32" s="42"/>
    </row>
    <row r="33" customFormat="false" ht="12.75" hidden="false" customHeight="false" outlineLevel="0" collapsed="false">
      <c r="A33" s="41"/>
      <c r="B33" s="16" t="s">
        <v>99</v>
      </c>
      <c r="C33" s="17" t="s">
        <v>100</v>
      </c>
      <c r="D33" s="18" t="e">
        <f aca="false" t="array" ref="D33:D33">([1]!BLP,C33,REF!$B$3,,,DDE("BLP","M","LMAHDS03 Comdty,[PX_CLOSE_5D]"))</f>
        <v>#NAME?</v>
      </c>
      <c r="E33" s="18" t="e">
        <f aca="false" t="array" ref="E33:E33">([1]!BLP,C33,REF!$B$2,,,DDE("BLP","M","LMAHDS03 Comdty,[PX_LAST]"))</f>
        <v>#NAME?</v>
      </c>
      <c r="F33" s="39" t="e">
        <f aca="false">(E33-D33)/D33</f>
        <v>#NAME?</v>
      </c>
      <c r="G33" s="14"/>
      <c r="H33" s="43"/>
      <c r="I33" s="43"/>
      <c r="J33" s="33"/>
      <c r="K33" s="33"/>
      <c r="L33" s="33"/>
      <c r="M33" s="32"/>
      <c r="O33" s="37"/>
      <c r="P33" s="42"/>
    </row>
    <row r="34" customFormat="false" ht="12.75" hidden="false" customHeight="false" outlineLevel="0" collapsed="false">
      <c r="A34" s="41"/>
      <c r="B34" s="16" t="s">
        <v>101</v>
      </c>
      <c r="C34" s="17" t="s">
        <v>102</v>
      </c>
      <c r="D34" s="18" t="e">
        <f aca="false" t="array" ref="D34:D34">([1]!BLP,C34,REF!$B$3,,,DDE("BLP","M","LMPBDS03 Comdty,[PX_CLOSE_5D]"))</f>
        <v>#NAME?</v>
      </c>
      <c r="E34" s="18" t="e">
        <f aca="false" t="array" ref="E34:E34">([1]!BLP,C34,REF!$B$2,,,DDE("BLP","M","LMPBDS03 Comdty,[PX_LAST]"))</f>
        <v>#NAME?</v>
      </c>
      <c r="F34" s="39" t="e">
        <f aca="false">(E34-D34)/D34</f>
        <v>#NAME?</v>
      </c>
      <c r="G34" s="14"/>
      <c r="H34" s="21" t="s">
        <v>103</v>
      </c>
      <c r="I34" s="21"/>
      <c r="J34" s="21" t="s">
        <v>104</v>
      </c>
      <c r="K34" s="22" t="n">
        <f aca="false">(1/100)*DDE("BLP","M","'PRIME Index,[PX_CLOSE_5D]'")</f>
        <v>0.055</v>
      </c>
      <c r="L34" s="22" t="n">
        <f aca="false">(1/100)*DDE("BLP","M","'PRIME Index,[PX_LAST]'")</f>
        <v>0.055</v>
      </c>
      <c r="M34" s="23" t="n">
        <f aca="false">(L34-K34)*10000</f>
        <v>0</v>
      </c>
      <c r="O34" s="37"/>
      <c r="P34" s="42"/>
    </row>
    <row r="35" customFormat="false" ht="12.75" hidden="false" customHeight="false" outlineLevel="0" collapsed="false">
      <c r="A35" s="41"/>
      <c r="B35" s="16" t="s">
        <v>105</v>
      </c>
      <c r="C35" s="17" t="s">
        <v>106</v>
      </c>
      <c r="D35" s="18" t="e">
        <f aca="false" t="array" ref="D35:D35">([1]!BLP,C35,REF!$B$3,,,DDE("BLP","M","LMNIDS03 Comdty,[PX_CLOSE_5D]"))</f>
        <v>#NAME?</v>
      </c>
      <c r="E35" s="18" t="e">
        <f aca="false" t="array" ref="E35:E35">([1]!BLP,C35,REF!$B$2,,,DDE("BLP","M","LMNIDS03 Comdty,[PX_LAST]"))</f>
        <v>#NAME?</v>
      </c>
      <c r="F35" s="39" t="e">
        <f aca="false">(E35-D35)/D35</f>
        <v>#NAME?</v>
      </c>
      <c r="G35" s="14"/>
      <c r="M35" s="32"/>
      <c r="O35" s="37"/>
      <c r="P35" s="42"/>
    </row>
    <row r="36" customFormat="false" ht="12.75" hidden="false" customHeight="false" outlineLevel="0" collapsed="false">
      <c r="A36" s="41"/>
      <c r="B36" s="16" t="s">
        <v>107</v>
      </c>
      <c r="C36" s="17" t="s">
        <v>108</v>
      </c>
      <c r="D36" s="18" t="n">
        <f aca="false">DDE("BLP","M","LB1 Comdty,[PX_CLOSE_5D]")</f>
        <v>225.3</v>
      </c>
      <c r="E36" s="18" t="n">
        <f aca="false">DDE("BLP","M","LB1 Comdty,[PX_SETTLE]")</f>
        <v>219.6</v>
      </c>
      <c r="F36" s="39" t="n">
        <f aca="false">(E36-D36)/D36</f>
        <v>-0.0252996005326232</v>
      </c>
      <c r="G36" s="14"/>
      <c r="H36" s="44" t="s">
        <v>109</v>
      </c>
      <c r="I36" s="45"/>
      <c r="J36" s="45"/>
      <c r="K36" s="45"/>
      <c r="L36" s="45"/>
      <c r="M36" s="32"/>
      <c r="O36" s="37"/>
      <c r="P36" s="42"/>
    </row>
    <row r="37" customFormat="false" ht="12.75" hidden="false" customHeight="false" outlineLevel="0" collapsed="false">
      <c r="A37" s="41"/>
      <c r="B37" s="16" t="s">
        <v>110</v>
      </c>
      <c r="C37" s="17" t="s">
        <v>111</v>
      </c>
      <c r="D37" s="18" t="e">
        <f aca="false" t="array" ref="D37:D37">([1]!BLP,C37,REF!$B$3,,,DDE("BLP","M","MBSTUSHR Index,[PX_CLOSE_5D]"))</f>
        <v>#NAME?</v>
      </c>
      <c r="E37" s="18" t="e">
        <f aca="false" t="array" ref="E37:E37">([1]!BLP,C37,REF!$B$2,,,DDE("BLP","M","MBSTUSHR Index,[PX_LAST]"))</f>
        <v>#NAME?</v>
      </c>
      <c r="F37" s="39" t="e">
        <f aca="false">(E37-D37)/D37</f>
        <v>#NAME?</v>
      </c>
      <c r="G37" s="14"/>
      <c r="H37" s="21" t="s">
        <v>112</v>
      </c>
      <c r="I37" s="21"/>
      <c r="J37" s="21" t="s">
        <v>113</v>
      </c>
      <c r="K37" s="18" t="n">
        <f aca="false">DDE("BLP","M","'ENE US Equity,[PX_CLOSE_5D]'")</f>
        <v>35.81</v>
      </c>
      <c r="L37" s="18" t="n">
        <f aca="false">DDE("BLP","M","'ENE US Equity,[PX_LAST]'")</f>
        <v>26.05</v>
      </c>
      <c r="M37" s="46" t="n">
        <f aca="false">(L37-K37)/K37</f>
        <v>-0.272549567160011</v>
      </c>
      <c r="O37" s="37"/>
      <c r="P37" s="42"/>
    </row>
    <row r="38" customFormat="false" ht="12.75" hidden="false" customHeight="false" outlineLevel="0" collapsed="false">
      <c r="A38" s="41"/>
      <c r="B38" s="16" t="s">
        <v>114</v>
      </c>
      <c r="C38" s="17" t="s">
        <v>115</v>
      </c>
      <c r="D38" s="18" t="e">
        <f aca="false" t="array" ref="D38:D38">([1]!BLP,C38,REF!$B$3,,,DDE("BLP","M","MBSTUSCR Index,[PX_CLOSE_5D]"))</f>
        <v>#NAME?</v>
      </c>
      <c r="E38" s="18" t="e">
        <f aca="false" t="array" ref="E38:E38">([1]!BLP,C38,REF!$B$2,,,DDE("BLP","M","MBSTUSCR Index,[PX_LAST]"))</f>
        <v>#NAME?</v>
      </c>
      <c r="F38" s="39" t="e">
        <f aca="false">(E38-D38)/D38</f>
        <v>#NAME?</v>
      </c>
      <c r="G38" s="14"/>
      <c r="H38" s="21" t="s">
        <v>116</v>
      </c>
      <c r="I38" s="21"/>
      <c r="J38" s="21" t="s">
        <v>117</v>
      </c>
      <c r="K38" s="18" t="n">
        <f aca="false">DDE("BLP","M","'EOG US Equity,[PX_CLOSE_5D]'")</f>
        <v>34.01</v>
      </c>
      <c r="L38" s="18" t="n">
        <f aca="false">DDE("BLP","M","'EOG US Equity,[PX_LAST]'")</f>
        <v>34</v>
      </c>
      <c r="M38" s="46" t="n">
        <f aca="false">(L38-K38)/K38</f>
        <v>-0.000294031167303676</v>
      </c>
      <c r="O38" s="37"/>
      <c r="P38" s="42"/>
    </row>
    <row r="39" customFormat="false" ht="12.75" hidden="false" customHeight="false" outlineLevel="0" collapsed="false">
      <c r="A39" s="41"/>
      <c r="B39" s="47" t="s">
        <v>118</v>
      </c>
      <c r="C39" s="43"/>
      <c r="D39" s="43"/>
      <c r="E39" s="43"/>
      <c r="F39" s="43"/>
      <c r="G39" s="14"/>
      <c r="H39" s="21" t="s">
        <v>119</v>
      </c>
      <c r="I39" s="21"/>
      <c r="J39" s="21" t="s">
        <v>120</v>
      </c>
      <c r="K39" s="18" t="n">
        <f aca="false">DDE("BLP","M","'NPW US Equity,[PX_CLOSE_5D]'")</f>
        <v>1.9</v>
      </c>
      <c r="L39" s="18" t="n">
        <f aca="false">DDE("BLP","M","'NPW US Equity,[PX_LAST]'")</f>
        <v>1.25</v>
      </c>
      <c r="M39" s="46" t="n">
        <f aca="false">(L39-K39)/K39</f>
        <v>-0.342105263157895</v>
      </c>
    </row>
    <row r="40" customFormat="false" ht="12.75" hidden="false" customHeight="false" outlineLevel="0" collapsed="false">
      <c r="A40" s="41"/>
      <c r="B40" s="16" t="s">
        <v>121</v>
      </c>
      <c r="C40" s="48" t="s">
        <v>122</v>
      </c>
      <c r="D40" s="18" t="n">
        <f aca="false">E40+DDE("BLP","M","'EUR Curncy,[CHG_NET_5D]'")</f>
        <v>0.88525003</v>
      </c>
      <c r="E40" s="18" t="n">
        <f aca="false">DDE("BLP","M","'EUR Curncy,[FWD_RT_1MO]'")</f>
        <v>0.89785</v>
      </c>
      <c r="F40" s="39" t="n">
        <f aca="false">(E40-D40)/D40</f>
        <v>0.0142332330674985</v>
      </c>
      <c r="G40" s="49"/>
      <c r="H40" s="21" t="s">
        <v>123</v>
      </c>
      <c r="I40" s="21"/>
      <c r="J40" s="21" t="s">
        <v>124</v>
      </c>
      <c r="K40" s="18" t="n">
        <f aca="false">DDE("BLP","M","'NBP US Equity,[PX_CLOSE_5D]'")</f>
        <v>40.09</v>
      </c>
      <c r="L40" s="18" t="n">
        <f aca="false">DDE("BLP","M","'NBP US Equity,[PX_LAST]'")</f>
        <v>41.01</v>
      </c>
      <c r="M40" s="46" t="n">
        <f aca="false">(L40-K40)/K40</f>
        <v>0.0229483661761036</v>
      </c>
    </row>
    <row r="41" customFormat="false" ht="12.75" hidden="false" customHeight="false" outlineLevel="0" collapsed="false">
      <c r="A41" s="41"/>
      <c r="B41" s="16" t="s">
        <v>125</v>
      </c>
      <c r="C41" s="48" t="s">
        <v>126</v>
      </c>
      <c r="D41" s="18" t="n">
        <f aca="false">E41+DDE("BLP","M","'CAD Curncy,[CHG_NET_5D]'")</f>
        <v>1.5867623</v>
      </c>
      <c r="E41" s="18" t="n">
        <f aca="false">DDE("BLP","M","'CAD Curncy,[FWD_RT_1MO]'")</f>
        <v>1.57536226</v>
      </c>
      <c r="F41" s="39" t="n">
        <f aca="false">(E41-D41)/D41</f>
        <v>-0.00718446612955202</v>
      </c>
      <c r="G41" s="33"/>
      <c r="H41" s="21" t="s">
        <v>127</v>
      </c>
      <c r="I41" s="21"/>
      <c r="J41" s="21" t="s">
        <v>128</v>
      </c>
      <c r="K41" s="18" t="e">
        <f aca="false" t="array" ref="K41:K41">([1]!BLP,J41,REF!$B$3,,,DDE("BLP","M","EOT US Equity,[PX_CLOSE_5D]"))</f>
        <v>#NAME?</v>
      </c>
      <c r="L41" s="18" t="e">
        <f aca="false" t="array" ref="L41:L41">([1]!BLP,J41,REF!$B$2,,,DDE("BLP","M","EOT US Equity,[PX_LAST]"))</f>
        <v>#NAME?</v>
      </c>
      <c r="M41" s="46" t="e">
        <f aca="false">(L41-K41)/K41</f>
        <v>#NAME?</v>
      </c>
    </row>
    <row r="42" customFormat="false" ht="12.75" hidden="false" customHeight="false" outlineLevel="0" collapsed="false">
      <c r="A42" s="41"/>
      <c r="B42" s="16" t="s">
        <v>129</v>
      </c>
      <c r="C42" s="48" t="s">
        <v>130</v>
      </c>
      <c r="D42" s="18" t="n">
        <f aca="false">E42+DDE("BLP","M","'JPY Curncy,[CHG_NET_5D]'")</f>
        <v>121.03756788</v>
      </c>
      <c r="E42" s="18" t="n">
        <f aca="false">DDE("BLP","M","'JPY Curncy,[FWD_RT_1MO]'")</f>
        <v>120.93256452</v>
      </c>
      <c r="F42" s="39" t="n">
        <f aca="false">(E42-D42)/D42</f>
        <v>-0.000867527015282569</v>
      </c>
      <c r="G42" s="33"/>
      <c r="H42" s="50"/>
      <c r="I42" s="50"/>
      <c r="J42" s="50"/>
      <c r="K42" s="50"/>
      <c r="L42" s="50"/>
      <c r="M42" s="51"/>
    </row>
    <row r="43" customFormat="false" ht="12.75" hidden="false" customHeight="false" outlineLevel="0" collapsed="false">
      <c r="A43" s="41"/>
      <c r="B43" s="16" t="s">
        <v>131</v>
      </c>
      <c r="C43" s="48" t="s">
        <v>132</v>
      </c>
      <c r="D43" s="18" t="n">
        <f aca="false">E43+DDE("BLP","M","'GBP Curncy,[CHG_NET_5D]'")</f>
        <v>1.40895495</v>
      </c>
      <c r="E43" s="18" t="n">
        <f aca="false">DDE("BLP","M","'GBP Curncy,[FWD_RT_1MO]'")</f>
        <v>1.429705</v>
      </c>
      <c r="F43" s="39" t="n">
        <f aca="false">(E43-D43)/D43</f>
        <v>0.014727262926327</v>
      </c>
      <c r="G43" s="43"/>
      <c r="H43" s="33"/>
      <c r="I43" s="33"/>
      <c r="J43" s="33"/>
      <c r="K43" s="33"/>
      <c r="L43" s="33"/>
      <c r="M43" s="32"/>
      <c r="N43" s="0"/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0"/>
      <c r="AC43" s="0"/>
      <c r="AD43" s="0"/>
      <c r="AE43" s="0"/>
      <c r="AF43" s="0"/>
      <c r="AG43" s="0"/>
      <c r="AH43" s="0"/>
      <c r="AI43" s="0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0"/>
      <c r="BC43" s="0"/>
      <c r="BD43" s="0"/>
      <c r="BE43" s="0"/>
      <c r="BF43" s="0"/>
      <c r="BG43" s="0"/>
      <c r="BH43" s="0"/>
      <c r="BI43" s="0"/>
      <c r="BJ43" s="0"/>
      <c r="BK43" s="0"/>
      <c r="BL43" s="0"/>
      <c r="BM43" s="0"/>
      <c r="BN43" s="0"/>
      <c r="BO43" s="0"/>
      <c r="BP43" s="0"/>
      <c r="BQ43" s="0"/>
      <c r="BR43" s="0"/>
      <c r="BS43" s="0"/>
      <c r="BT43" s="0"/>
      <c r="BU43" s="0"/>
      <c r="BV43" s="0"/>
      <c r="BW43" s="0"/>
      <c r="BX43" s="0"/>
      <c r="BY43" s="0"/>
      <c r="BZ43" s="0"/>
      <c r="CA43" s="0"/>
      <c r="CB43" s="0"/>
      <c r="CC43" s="0"/>
      <c r="CD43" s="0"/>
      <c r="CE43" s="0"/>
      <c r="CF43" s="0"/>
      <c r="CG43" s="0"/>
      <c r="CH43" s="0"/>
      <c r="CI43" s="0"/>
      <c r="CJ43" s="0"/>
      <c r="CK43" s="0"/>
      <c r="CL43" s="0"/>
      <c r="CM43" s="0"/>
      <c r="CN43" s="0"/>
      <c r="CO43" s="0"/>
      <c r="CP43" s="0"/>
      <c r="CQ43" s="0"/>
      <c r="CR43" s="0"/>
      <c r="CS43" s="0"/>
      <c r="CT43" s="0"/>
      <c r="CU43" s="0"/>
      <c r="CV43" s="0"/>
      <c r="CW43" s="0"/>
      <c r="CX43" s="0"/>
      <c r="CY43" s="0"/>
      <c r="CZ43" s="0"/>
      <c r="DA43" s="0"/>
      <c r="DB43" s="0"/>
      <c r="DC43" s="0"/>
      <c r="DD43" s="0"/>
      <c r="DE43" s="0"/>
      <c r="DF43" s="0"/>
      <c r="DG43" s="0"/>
      <c r="DH43" s="0"/>
      <c r="DI43" s="0"/>
      <c r="DJ43" s="0"/>
      <c r="DK43" s="0"/>
      <c r="DL43" s="0"/>
      <c r="DM43" s="0"/>
      <c r="DN43" s="0"/>
      <c r="DO43" s="0"/>
      <c r="DP43" s="0"/>
      <c r="DQ43" s="0"/>
      <c r="DR43" s="0"/>
      <c r="DS43" s="0"/>
      <c r="DT43" s="0"/>
      <c r="DU43" s="0"/>
      <c r="DV43" s="0"/>
      <c r="DW43" s="0"/>
      <c r="DX43" s="0"/>
      <c r="DY43" s="0"/>
      <c r="DZ43" s="0"/>
      <c r="EA43" s="0"/>
      <c r="EB43" s="0"/>
      <c r="EC43" s="0"/>
      <c r="ED43" s="0"/>
      <c r="EE43" s="0"/>
      <c r="EF43" s="0"/>
      <c r="EG43" s="0"/>
      <c r="EH43" s="0"/>
      <c r="EI43" s="0"/>
      <c r="EJ43" s="0"/>
      <c r="EK43" s="0"/>
      <c r="EL43" s="0"/>
      <c r="EM43" s="0"/>
      <c r="EN43" s="0"/>
      <c r="EO43" s="0"/>
      <c r="EP43" s="0"/>
      <c r="EQ43" s="0"/>
      <c r="ER43" s="0"/>
      <c r="ES43" s="0"/>
      <c r="ET43" s="0"/>
      <c r="EU43" s="0"/>
      <c r="EV43" s="0"/>
      <c r="EW43" s="0"/>
      <c r="EX43" s="0"/>
      <c r="EY43" s="0"/>
      <c r="EZ43" s="0"/>
      <c r="FA43" s="0"/>
      <c r="FB43" s="0"/>
      <c r="FC43" s="0"/>
      <c r="FD43" s="0"/>
      <c r="FE43" s="0"/>
      <c r="FF43" s="0"/>
      <c r="FG43" s="0"/>
      <c r="FH43" s="0"/>
      <c r="FI43" s="0"/>
      <c r="FJ43" s="0"/>
      <c r="FK43" s="0"/>
      <c r="FL43" s="0"/>
      <c r="FM43" s="0"/>
      <c r="FN43" s="0"/>
      <c r="FO43" s="0"/>
      <c r="FP43" s="0"/>
      <c r="FQ43" s="0"/>
      <c r="FR43" s="0"/>
      <c r="FS43" s="0"/>
      <c r="FT43" s="0"/>
      <c r="FU43" s="0"/>
      <c r="FV43" s="0"/>
      <c r="FW43" s="0"/>
      <c r="FX43" s="0"/>
      <c r="FY43" s="0"/>
      <c r="FZ43" s="0"/>
      <c r="GA43" s="0"/>
      <c r="GB43" s="0"/>
      <c r="GC43" s="0"/>
      <c r="GD43" s="0"/>
      <c r="GE43" s="0"/>
      <c r="GF43" s="0"/>
      <c r="GG43" s="0"/>
      <c r="GH43" s="0"/>
      <c r="GI43" s="0"/>
      <c r="GJ43" s="0"/>
      <c r="GK43" s="0"/>
      <c r="GL43" s="0"/>
      <c r="GM43" s="0"/>
      <c r="GN43" s="0"/>
      <c r="GO43" s="0"/>
      <c r="GP43" s="0"/>
      <c r="GQ43" s="0"/>
      <c r="GR43" s="0"/>
      <c r="GS43" s="0"/>
      <c r="GT43" s="0"/>
      <c r="GU43" s="0"/>
      <c r="GV43" s="0"/>
      <c r="GW43" s="0"/>
      <c r="GX43" s="0"/>
      <c r="GY43" s="0"/>
      <c r="GZ43" s="0"/>
      <c r="HA43" s="0"/>
      <c r="HB43" s="0"/>
      <c r="HC43" s="0"/>
      <c r="HD43" s="0"/>
      <c r="HE43" s="0"/>
      <c r="HF43" s="0"/>
      <c r="HG43" s="0"/>
      <c r="HH43" s="0"/>
      <c r="HI43" s="0"/>
      <c r="HJ43" s="0"/>
      <c r="HK43" s="0"/>
      <c r="HL43" s="0"/>
      <c r="HM43" s="0"/>
      <c r="HN43" s="0"/>
      <c r="HO43" s="0"/>
      <c r="HP43" s="0"/>
      <c r="HQ43" s="0"/>
      <c r="HR43" s="0"/>
      <c r="HS43" s="0"/>
      <c r="HT43" s="0"/>
      <c r="HU43" s="0"/>
      <c r="HV43" s="0"/>
      <c r="HW43" s="0"/>
      <c r="HX43" s="0"/>
      <c r="HY43" s="0"/>
      <c r="HZ43" s="0"/>
      <c r="IA43" s="0"/>
      <c r="IB43" s="0"/>
      <c r="IC43" s="0"/>
      <c r="ID43" s="0"/>
      <c r="IE43" s="0"/>
      <c r="IF43" s="0"/>
      <c r="IG43" s="0"/>
      <c r="IH43" s="0"/>
      <c r="II43" s="0"/>
      <c r="IJ43" s="0"/>
      <c r="IK43" s="0"/>
      <c r="IL43" s="0"/>
      <c r="IM43" s="0"/>
      <c r="IN43" s="0"/>
      <c r="IO43" s="0"/>
      <c r="IP43" s="0"/>
      <c r="IQ43" s="0"/>
      <c r="IR43" s="0"/>
      <c r="IS43" s="0"/>
      <c r="IT43" s="0"/>
      <c r="IU43" s="0"/>
      <c r="IV43" s="0"/>
      <c r="IW43" s="0"/>
    </row>
    <row r="44" customFormat="false" ht="12.75" hidden="false" customHeight="false" outlineLevel="0" collapsed="false">
      <c r="A44" s="41"/>
      <c r="B44" s="16" t="s">
        <v>133</v>
      </c>
      <c r="C44" s="48" t="s">
        <v>134</v>
      </c>
      <c r="D44" s="18" t="n">
        <f aca="false">E44+DDE("BLP","M","'DEM Curncy,[CHG_NET_5D]'")</f>
        <v>2.2078761</v>
      </c>
      <c r="E44" s="18" t="n">
        <f aca="false">DDE("BLP","M","'DEM Curncy,[FWD_RT_1MO]'")</f>
        <v>2.17827</v>
      </c>
      <c r="F44" s="39" t="n">
        <f aca="false">(E44-D44)/D44</f>
        <v>-0.0134093122345045</v>
      </c>
      <c r="H44" s="43"/>
      <c r="I44" s="43"/>
      <c r="J44" s="43"/>
      <c r="K44" s="43"/>
      <c r="L44" s="43"/>
      <c r="M44" s="52"/>
      <c r="N44" s="0"/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0"/>
      <c r="AC44" s="0"/>
      <c r="AD44" s="0"/>
      <c r="AE44" s="0"/>
      <c r="AF44" s="0"/>
      <c r="AG44" s="0"/>
      <c r="AH44" s="0"/>
      <c r="AI44" s="0"/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0"/>
      <c r="BC44" s="0"/>
      <c r="BD44" s="0"/>
      <c r="BE44" s="0"/>
      <c r="BF44" s="0"/>
      <c r="BG44" s="0"/>
      <c r="BH44" s="0"/>
      <c r="BI44" s="0"/>
      <c r="BJ44" s="0"/>
      <c r="BK44" s="0"/>
      <c r="BL44" s="0"/>
      <c r="BM44" s="0"/>
      <c r="BN44" s="0"/>
      <c r="BO44" s="0"/>
      <c r="BP44" s="0"/>
      <c r="BQ44" s="0"/>
      <c r="BR44" s="0"/>
      <c r="BS44" s="0"/>
      <c r="BT44" s="0"/>
      <c r="BU44" s="0"/>
      <c r="BV44" s="0"/>
      <c r="BW44" s="0"/>
      <c r="BX44" s="0"/>
      <c r="BY44" s="0"/>
      <c r="BZ44" s="0"/>
      <c r="CA44" s="0"/>
      <c r="CB44" s="0"/>
      <c r="CC44" s="0"/>
      <c r="CD44" s="0"/>
      <c r="CE44" s="0"/>
      <c r="CF44" s="0"/>
      <c r="CG44" s="0"/>
      <c r="CH44" s="0"/>
      <c r="CI44" s="0"/>
      <c r="CJ44" s="0"/>
      <c r="CK44" s="0"/>
      <c r="CL44" s="0"/>
      <c r="CM44" s="0"/>
      <c r="CN44" s="0"/>
      <c r="CO44" s="0"/>
      <c r="CP44" s="0"/>
      <c r="CQ44" s="0"/>
      <c r="CR44" s="0"/>
      <c r="CS44" s="0"/>
      <c r="CT44" s="0"/>
      <c r="CU44" s="0"/>
      <c r="CV44" s="0"/>
      <c r="CW44" s="0"/>
      <c r="CX44" s="0"/>
      <c r="CY44" s="0"/>
      <c r="CZ44" s="0"/>
      <c r="DA44" s="0"/>
      <c r="DB44" s="0"/>
      <c r="DC44" s="0"/>
      <c r="DD44" s="0"/>
      <c r="DE44" s="0"/>
      <c r="DF44" s="0"/>
      <c r="DG44" s="0"/>
      <c r="DH44" s="0"/>
      <c r="DI44" s="0"/>
      <c r="DJ44" s="0"/>
      <c r="DK44" s="0"/>
      <c r="DL44" s="0"/>
      <c r="DM44" s="0"/>
      <c r="DN44" s="0"/>
      <c r="DO44" s="0"/>
      <c r="DP44" s="0"/>
      <c r="DQ44" s="0"/>
      <c r="DR44" s="0"/>
      <c r="DS44" s="0"/>
      <c r="DT44" s="0"/>
      <c r="DU44" s="0"/>
      <c r="DV44" s="0"/>
      <c r="DW44" s="0"/>
      <c r="DX44" s="0"/>
      <c r="DY44" s="0"/>
      <c r="DZ44" s="0"/>
      <c r="EA44" s="0"/>
      <c r="EB44" s="0"/>
      <c r="EC44" s="0"/>
      <c r="ED44" s="0"/>
      <c r="EE44" s="0"/>
      <c r="EF44" s="0"/>
      <c r="EG44" s="0"/>
      <c r="EH44" s="0"/>
      <c r="EI44" s="0"/>
      <c r="EJ44" s="0"/>
      <c r="EK44" s="0"/>
      <c r="EL44" s="0"/>
      <c r="EM44" s="0"/>
      <c r="EN44" s="0"/>
      <c r="EO44" s="0"/>
      <c r="EP44" s="0"/>
      <c r="EQ44" s="0"/>
      <c r="ER44" s="0"/>
      <c r="ES44" s="0"/>
      <c r="ET44" s="0"/>
      <c r="EU44" s="0"/>
      <c r="EV44" s="0"/>
      <c r="EW44" s="0"/>
      <c r="EX44" s="0"/>
      <c r="EY44" s="0"/>
      <c r="EZ44" s="0"/>
      <c r="FA44" s="0"/>
      <c r="FB44" s="0"/>
      <c r="FC44" s="0"/>
      <c r="FD44" s="0"/>
      <c r="FE44" s="0"/>
      <c r="FF44" s="0"/>
      <c r="FG44" s="0"/>
      <c r="FH44" s="0"/>
      <c r="FI44" s="0"/>
      <c r="FJ44" s="0"/>
      <c r="FK44" s="0"/>
      <c r="FL44" s="0"/>
      <c r="FM44" s="0"/>
      <c r="FN44" s="0"/>
      <c r="FO44" s="0"/>
      <c r="FP44" s="0"/>
      <c r="FQ44" s="0"/>
      <c r="FR44" s="0"/>
      <c r="FS44" s="0"/>
      <c r="FT44" s="0"/>
      <c r="FU44" s="0"/>
      <c r="FV44" s="0"/>
      <c r="FW44" s="0"/>
      <c r="FX44" s="0"/>
      <c r="FY44" s="0"/>
      <c r="FZ44" s="0"/>
      <c r="GA44" s="0"/>
      <c r="GB44" s="0"/>
      <c r="GC44" s="0"/>
      <c r="GD44" s="0"/>
      <c r="GE44" s="0"/>
      <c r="GF44" s="0"/>
      <c r="GG44" s="0"/>
      <c r="GH44" s="0"/>
      <c r="GI44" s="0"/>
      <c r="GJ44" s="0"/>
      <c r="GK44" s="0"/>
      <c r="GL44" s="0"/>
      <c r="GM44" s="0"/>
      <c r="GN44" s="0"/>
      <c r="GO44" s="0"/>
      <c r="GP44" s="0"/>
      <c r="GQ44" s="0"/>
      <c r="GR44" s="0"/>
      <c r="GS44" s="0"/>
      <c r="GT44" s="0"/>
      <c r="GU44" s="0"/>
      <c r="GV44" s="0"/>
      <c r="GW44" s="0"/>
      <c r="GX44" s="0"/>
      <c r="GY44" s="0"/>
      <c r="GZ44" s="0"/>
      <c r="HA44" s="0"/>
      <c r="HB44" s="0"/>
      <c r="HC44" s="0"/>
      <c r="HD44" s="0"/>
      <c r="HE44" s="0"/>
      <c r="HF44" s="0"/>
      <c r="HG44" s="0"/>
      <c r="HH44" s="0"/>
      <c r="HI44" s="0"/>
      <c r="HJ44" s="0"/>
      <c r="HK44" s="0"/>
      <c r="HL44" s="0"/>
      <c r="HM44" s="0"/>
      <c r="HN44" s="0"/>
      <c r="HO44" s="0"/>
      <c r="HP44" s="0"/>
      <c r="HQ44" s="0"/>
      <c r="HR44" s="0"/>
      <c r="HS44" s="0"/>
      <c r="HT44" s="0"/>
      <c r="HU44" s="0"/>
      <c r="HV44" s="0"/>
      <c r="HW44" s="0"/>
      <c r="HX44" s="0"/>
      <c r="HY44" s="0"/>
      <c r="HZ44" s="0"/>
      <c r="IA44" s="0"/>
      <c r="IB44" s="0"/>
      <c r="IC44" s="0"/>
      <c r="ID44" s="0"/>
      <c r="IE44" s="0"/>
      <c r="IF44" s="0"/>
      <c r="IG44" s="0"/>
      <c r="IH44" s="0"/>
      <c r="II44" s="0"/>
      <c r="IJ44" s="0"/>
      <c r="IK44" s="0"/>
      <c r="IL44" s="0"/>
      <c r="IM44" s="0"/>
      <c r="IN44" s="0"/>
      <c r="IO44" s="0"/>
      <c r="IP44" s="0"/>
      <c r="IQ44" s="0"/>
      <c r="IR44" s="0"/>
      <c r="IS44" s="0"/>
      <c r="IT44" s="0"/>
      <c r="IU44" s="0"/>
      <c r="IV44" s="0"/>
      <c r="IW44" s="0"/>
    </row>
    <row r="45" customFormat="false" ht="12.75" hidden="false" customHeight="false" outlineLevel="0" collapsed="false">
      <c r="B45" s="16" t="s">
        <v>135</v>
      </c>
      <c r="C45" s="48" t="s">
        <v>136</v>
      </c>
      <c r="D45" s="18" t="n">
        <f aca="false">E45+DDE("BLP","M","'CHF Curncy,[CHG_NET_5D]'")</f>
        <v>1.65900999</v>
      </c>
      <c r="E45" s="18" t="n">
        <f aca="false">DDE("BLP","M","'CHF Curncy,[FWD_RT_1MO]'")</f>
        <v>1.64221</v>
      </c>
      <c r="F45" s="39" t="n">
        <f aca="false">(E45-D45)/D45</f>
        <v>-0.0101265152719183</v>
      </c>
      <c r="H45" s="53" t="s">
        <v>137</v>
      </c>
      <c r="I45" s="54"/>
      <c r="J45" s="54"/>
      <c r="K45" s="55" t="n">
        <v>37169</v>
      </c>
      <c r="L45" s="55" t="n">
        <v>37176</v>
      </c>
      <c r="M45" s="56" t="s">
        <v>4</v>
      </c>
      <c r="N45" s="33"/>
      <c r="O45" s="33"/>
      <c r="P45" s="33"/>
      <c r="Q45" s="33"/>
      <c r="R45" s="33"/>
      <c r="S45" s="33"/>
      <c r="T45" s="33"/>
      <c r="U45" s="33"/>
    </row>
    <row r="46" customFormat="false" ht="12.75" hidden="false" customHeight="false" outlineLevel="0" collapsed="false">
      <c r="B46" s="16" t="s">
        <v>138</v>
      </c>
      <c r="C46" s="48" t="s">
        <v>139</v>
      </c>
      <c r="D46" s="18" t="n">
        <f aca="false">E46+DDE("BLP","M","'FRF Curncy,[CHG_NET_5D]'")</f>
        <v>7.40489395</v>
      </c>
      <c r="E46" s="18" t="n">
        <f aca="false">DDE("BLP","M","'FRF Curncy,[FWD_RT_1MO]'")</f>
        <v>7.3056</v>
      </c>
      <c r="F46" s="39" t="n">
        <f aca="false">(E46-D46)/D46</f>
        <v>-0.0134092332274387</v>
      </c>
      <c r="G46" s="57"/>
      <c r="H46" s="58" t="s">
        <v>140</v>
      </c>
      <c r="I46" s="36"/>
      <c r="J46" s="59"/>
      <c r="K46" s="60" t="n">
        <v>537</v>
      </c>
      <c r="L46" s="60" t="n">
        <v>510</v>
      </c>
      <c r="M46" s="61" t="n">
        <f aca="false">L46-K46</f>
        <v>-27</v>
      </c>
      <c r="N46" s="33"/>
      <c r="O46" s="33"/>
      <c r="P46" s="33"/>
      <c r="Q46" s="33"/>
      <c r="R46" s="33"/>
      <c r="S46" s="33"/>
      <c r="T46" s="33"/>
      <c r="U46" s="33"/>
    </row>
    <row r="47" customFormat="false" ht="13.5" hidden="false" customHeight="false" outlineLevel="0" collapsed="false">
      <c r="B47" s="62" t="s">
        <v>141</v>
      </c>
      <c r="C47" s="63" t="s">
        <v>142</v>
      </c>
      <c r="D47" s="64" t="e">
        <f aca="false" t="array" ref="D47:D47">E47+([1]!BLP,C47,REF!$B$6,,,DDE("BLP","M","AUD Curncy,[CHG_NET_5D]"))</f>
        <v>#NAME?</v>
      </c>
      <c r="E47" s="64" t="e">
        <f aca="false" t="array" ref="E47:E47">([1]!BLP,C47,REF!$B$5,,,DDE("BLP","M","AUD Curncy,[FWD_RT_1MO]"))</f>
        <v>#NAME?</v>
      </c>
      <c r="F47" s="65" t="e">
        <f aca="false">(E47-D47)/D47</f>
        <v>#NAME?</v>
      </c>
      <c r="G47" s="66"/>
      <c r="H47" s="67" t="s">
        <v>143</v>
      </c>
      <c r="I47" s="68"/>
      <c r="J47" s="69"/>
      <c r="K47" s="70" t="n">
        <v>902</v>
      </c>
      <c r="L47" s="70" t="n">
        <v>862</v>
      </c>
      <c r="M47" s="71" t="n">
        <f aca="false">L47-K47</f>
        <v>-40</v>
      </c>
    </row>
    <row r="48" customFormat="false" ht="13.5" hidden="false" customHeight="false" outlineLevel="0" collapsed="false"/>
    <row r="49" customFormat="false" ht="15.75" hidden="false" customHeight="false" outlineLevel="0" collapsed="false">
      <c r="B49" s="72" t="s">
        <v>144</v>
      </c>
      <c r="C49" s="73"/>
      <c r="D49" s="74"/>
    </row>
    <row r="50" customFormat="false" ht="15.75" hidden="false" customHeight="false" outlineLevel="0" collapsed="false">
      <c r="B50" s="75" t="s">
        <v>145</v>
      </c>
      <c r="C50" s="76"/>
      <c r="D50" s="77"/>
      <c r="E50" s="78"/>
      <c r="F50" s="78"/>
      <c r="G50" s="79" t="s">
        <v>146</v>
      </c>
      <c r="H50" s="80"/>
      <c r="I50" s="78"/>
      <c r="J50" s="78"/>
      <c r="K50" s="78"/>
      <c r="L50" s="78"/>
      <c r="M50" s="78"/>
      <c r="N50" s="79" t="s">
        <v>147</v>
      </c>
      <c r="O50" s="78"/>
      <c r="P50" s="78"/>
      <c r="Q50" s="78"/>
      <c r="R50" s="78"/>
      <c r="S50" s="81"/>
    </row>
    <row r="51" customFormat="false" ht="12.75" hidden="false" customHeight="false" outlineLevel="0" collapsed="false">
      <c r="B51" s="47" t="s">
        <v>148</v>
      </c>
      <c r="C51" s="40"/>
      <c r="D51" s="33"/>
      <c r="E51" s="33"/>
      <c r="F51" s="33"/>
      <c r="G51" s="82" t="s">
        <v>149</v>
      </c>
      <c r="H51" s="40"/>
      <c r="I51" s="33"/>
      <c r="J51" s="33"/>
      <c r="K51" s="33"/>
      <c r="L51" s="33"/>
      <c r="M51" s="33"/>
      <c r="N51" s="82" t="s">
        <v>149</v>
      </c>
      <c r="O51" s="33"/>
      <c r="P51" s="33"/>
      <c r="Q51" s="33"/>
      <c r="R51" s="33"/>
      <c r="S51" s="32"/>
    </row>
    <row r="52" customFormat="false" ht="12.75" hidden="false" customHeight="false" outlineLevel="0" collapsed="false">
      <c r="B52" s="83" t="s">
        <v>150</v>
      </c>
      <c r="C52" s="41"/>
      <c r="D52" s="33"/>
      <c r="E52" s="33"/>
      <c r="F52" s="33"/>
      <c r="G52" s="84" t="s">
        <v>151</v>
      </c>
      <c r="H52" s="33"/>
      <c r="I52" s="33"/>
      <c r="J52" s="33"/>
      <c r="K52" s="33"/>
      <c r="L52" s="33"/>
      <c r="M52" s="33"/>
      <c r="N52" s="84" t="s">
        <v>152</v>
      </c>
      <c r="O52" s="33"/>
      <c r="P52" s="33"/>
      <c r="Q52" s="33"/>
      <c r="R52" s="33"/>
      <c r="S52" s="32"/>
    </row>
    <row r="53" customFormat="false" ht="12.75" hidden="false" customHeight="false" outlineLevel="0" collapsed="false">
      <c r="B53" s="85" t="s">
        <v>153</v>
      </c>
      <c r="C53" s="41"/>
      <c r="D53" s="33"/>
      <c r="E53" s="33"/>
      <c r="F53" s="33"/>
      <c r="G53" s="84" t="s">
        <v>154</v>
      </c>
      <c r="H53" s="33"/>
      <c r="I53" s="33"/>
      <c r="J53" s="33"/>
      <c r="K53" s="33"/>
      <c r="L53" s="33"/>
      <c r="M53" s="33"/>
      <c r="N53" s="84" t="s">
        <v>155</v>
      </c>
      <c r="O53" s="33"/>
      <c r="P53" s="33"/>
      <c r="Q53" s="33"/>
      <c r="R53" s="33"/>
      <c r="S53" s="32"/>
    </row>
    <row r="54" customFormat="false" ht="12.75" hidden="false" customHeight="false" outlineLevel="0" collapsed="false">
      <c r="B54" s="83" t="s">
        <v>156</v>
      </c>
      <c r="C54" s="41"/>
      <c r="D54" s="33"/>
      <c r="E54" s="33"/>
      <c r="F54" s="33"/>
      <c r="G54" s="84" t="s">
        <v>157</v>
      </c>
      <c r="H54" s="33"/>
      <c r="I54" s="33"/>
      <c r="J54" s="33"/>
      <c r="K54" s="33"/>
      <c r="L54" s="33"/>
      <c r="M54" s="86"/>
      <c r="N54" s="84" t="s">
        <v>158</v>
      </c>
      <c r="O54" s="33"/>
      <c r="P54" s="33"/>
      <c r="Q54" s="33"/>
      <c r="R54" s="33"/>
      <c r="S54" s="32"/>
    </row>
    <row r="55" customFormat="false" ht="15.75" hidden="false" customHeight="false" outlineLevel="0" collapsed="false">
      <c r="B55" s="47" t="s">
        <v>149</v>
      </c>
      <c r="C55" s="40"/>
      <c r="D55" s="33"/>
      <c r="E55" s="33"/>
      <c r="F55" s="33"/>
      <c r="G55" s="87" t="s">
        <v>159</v>
      </c>
      <c r="H55" s="88"/>
      <c r="I55" s="33"/>
      <c r="J55" s="33"/>
      <c r="K55" s="33"/>
      <c r="L55" s="33"/>
      <c r="M55" s="86"/>
      <c r="N55" s="88" t="s">
        <v>160</v>
      </c>
      <c r="O55" s="33"/>
      <c r="P55" s="33"/>
      <c r="Q55" s="33"/>
      <c r="R55" s="33"/>
      <c r="S55" s="32"/>
    </row>
    <row r="56" customFormat="false" ht="12.75" hidden="false" customHeight="false" outlineLevel="0" collapsed="false">
      <c r="B56" s="83" t="s">
        <v>161</v>
      </c>
      <c r="C56" s="33"/>
      <c r="D56" s="33"/>
      <c r="E56" s="33"/>
      <c r="F56" s="33"/>
      <c r="G56" s="82" t="str">
        <f aca="false">G51</f>
        <v>Economic Data</v>
      </c>
      <c r="H56" s="40"/>
      <c r="I56" s="33"/>
      <c r="J56" s="33"/>
      <c r="K56" s="33"/>
      <c r="L56" s="33"/>
      <c r="M56" s="86"/>
      <c r="N56" s="82" t="str">
        <f aca="false">G56</f>
        <v>Economic Data</v>
      </c>
      <c r="O56" s="33"/>
      <c r="P56" s="33"/>
      <c r="Q56" s="33"/>
      <c r="R56" s="33"/>
      <c r="S56" s="32"/>
    </row>
    <row r="57" customFormat="false" ht="12.75" hidden="false" customHeight="false" outlineLevel="0" collapsed="false">
      <c r="B57" s="83" t="s">
        <v>162</v>
      </c>
      <c r="C57" s="33"/>
      <c r="D57" s="33"/>
      <c r="E57" s="33"/>
      <c r="F57" s="33"/>
      <c r="G57" s="84" t="s">
        <v>163</v>
      </c>
      <c r="H57" s="33"/>
      <c r="I57" s="33"/>
      <c r="J57" s="33"/>
      <c r="K57" s="33"/>
      <c r="L57" s="33"/>
      <c r="M57" s="86"/>
      <c r="N57" s="89" t="s">
        <v>164</v>
      </c>
      <c r="O57" s="33"/>
      <c r="P57" s="33"/>
      <c r="Q57" s="33"/>
      <c r="R57" s="33"/>
      <c r="S57" s="32"/>
    </row>
    <row r="58" customFormat="false" ht="13.5" hidden="false" customHeight="false" outlineLevel="0" collapsed="false">
      <c r="B58" s="90" t="s">
        <v>165</v>
      </c>
      <c r="C58" s="91"/>
      <c r="D58" s="91"/>
      <c r="E58" s="91"/>
      <c r="F58" s="91"/>
      <c r="G58" s="92" t="s">
        <v>166</v>
      </c>
      <c r="H58" s="91"/>
      <c r="I58" s="91"/>
      <c r="J58" s="91"/>
      <c r="K58" s="91"/>
      <c r="L58" s="91"/>
      <c r="M58" s="93"/>
      <c r="N58" s="91"/>
      <c r="O58" s="91"/>
      <c r="P58" s="91"/>
      <c r="Q58" s="91"/>
      <c r="R58" s="91"/>
      <c r="S58" s="94"/>
    </row>
    <row r="59" customFormat="false" ht="15.75" hidden="false" customHeight="false" outlineLevel="0" collapsed="false">
      <c r="B59" s="95" t="s">
        <v>167</v>
      </c>
      <c r="C59" s="96"/>
      <c r="D59" s="97"/>
      <c r="G59" s="91"/>
      <c r="H59" s="33"/>
      <c r="L59" s="33"/>
      <c r="M59" s="91"/>
      <c r="N59" s="33"/>
      <c r="O59" s="33"/>
      <c r="P59" s="33"/>
      <c r="Q59" s="33"/>
      <c r="R59" s="33"/>
      <c r="S59" s="33"/>
    </row>
    <row r="60" customFormat="false" ht="15.75" hidden="false" customHeight="false" outlineLevel="0" collapsed="false">
      <c r="B60" s="75" t="s">
        <v>145</v>
      </c>
      <c r="C60" s="76"/>
      <c r="D60" s="77"/>
      <c r="E60" s="78"/>
      <c r="F60" s="78"/>
      <c r="G60" s="79" t="s">
        <v>146</v>
      </c>
      <c r="H60" s="80"/>
      <c r="I60" s="78"/>
      <c r="J60" s="78"/>
      <c r="K60" s="78"/>
      <c r="L60" s="78"/>
      <c r="M60" s="78"/>
      <c r="N60" s="79" t="s">
        <v>147</v>
      </c>
      <c r="O60" s="78"/>
      <c r="P60" s="78"/>
      <c r="Q60" s="78"/>
      <c r="R60" s="78"/>
      <c r="S60" s="81"/>
    </row>
    <row r="61" customFormat="false" ht="12.75" hidden="false" customHeight="false" outlineLevel="0" collapsed="false">
      <c r="B61" s="47" t="s">
        <v>148</v>
      </c>
      <c r="C61" s="40"/>
      <c r="D61" s="33"/>
      <c r="E61" s="33"/>
      <c r="F61" s="33"/>
      <c r="G61" s="82" t="s">
        <v>149</v>
      </c>
      <c r="H61" s="40"/>
      <c r="I61" s="33"/>
      <c r="J61" s="33"/>
      <c r="K61" s="33"/>
      <c r="L61" s="33"/>
      <c r="M61" s="33"/>
      <c r="N61" s="82" t="s">
        <v>149</v>
      </c>
      <c r="O61" s="33"/>
      <c r="P61" s="33"/>
      <c r="Q61" s="33"/>
      <c r="R61" s="33"/>
      <c r="S61" s="32"/>
    </row>
    <row r="62" customFormat="false" ht="12.75" hidden="false" customHeight="false" outlineLevel="0" collapsed="false">
      <c r="B62" s="83" t="s">
        <v>168</v>
      </c>
      <c r="C62" s="41"/>
      <c r="D62" s="33"/>
      <c r="E62" s="33"/>
      <c r="F62" s="33"/>
      <c r="G62" s="84" t="s">
        <v>169</v>
      </c>
      <c r="H62" s="33"/>
      <c r="I62" s="33"/>
      <c r="J62" s="33"/>
      <c r="K62" s="33"/>
      <c r="L62" s="33"/>
      <c r="M62" s="33"/>
      <c r="N62" s="84" t="s">
        <v>170</v>
      </c>
      <c r="O62" s="33"/>
      <c r="P62" s="33"/>
      <c r="Q62" s="33"/>
      <c r="R62" s="33"/>
      <c r="S62" s="32"/>
    </row>
    <row r="63" customFormat="false" ht="12.75" hidden="false" customHeight="false" outlineLevel="0" collapsed="false">
      <c r="B63" s="85" t="s">
        <v>171</v>
      </c>
      <c r="C63" s="41"/>
      <c r="D63" s="33"/>
      <c r="E63" s="33"/>
      <c r="F63" s="33"/>
      <c r="G63" s="84" t="s">
        <v>172</v>
      </c>
      <c r="H63" s="33"/>
      <c r="I63" s="33"/>
      <c r="J63" s="33"/>
      <c r="K63" s="33"/>
      <c r="L63" s="33"/>
      <c r="M63" s="33"/>
      <c r="N63" s="84" t="s">
        <v>173</v>
      </c>
      <c r="O63" s="33"/>
      <c r="P63" s="33"/>
      <c r="Q63" s="33"/>
      <c r="R63" s="33"/>
      <c r="S63" s="32"/>
    </row>
    <row r="64" customFormat="false" ht="12.75" hidden="false" customHeight="false" outlineLevel="0" collapsed="false">
      <c r="B64" s="83" t="s">
        <v>174</v>
      </c>
      <c r="C64" s="41"/>
      <c r="D64" s="33"/>
      <c r="E64" s="33"/>
      <c r="F64" s="33"/>
      <c r="G64" s="84" t="s">
        <v>175</v>
      </c>
      <c r="H64" s="33"/>
      <c r="I64" s="33"/>
      <c r="J64" s="33"/>
      <c r="K64" s="33"/>
      <c r="L64" s="33"/>
      <c r="M64" s="86"/>
      <c r="N64" s="84" t="s">
        <v>176</v>
      </c>
      <c r="O64" s="33"/>
      <c r="P64" s="33"/>
      <c r="Q64" s="33"/>
      <c r="R64" s="33"/>
      <c r="S64" s="32"/>
    </row>
    <row r="65" customFormat="false" ht="15.75" hidden="false" customHeight="false" outlineLevel="0" collapsed="false">
      <c r="B65" s="47" t="s">
        <v>149</v>
      </c>
      <c r="C65" s="40"/>
      <c r="D65" s="33"/>
      <c r="E65" s="33"/>
      <c r="F65" s="33"/>
      <c r="G65" s="87" t="s">
        <v>159</v>
      </c>
      <c r="H65" s="88"/>
      <c r="I65" s="33"/>
      <c r="J65" s="33"/>
      <c r="K65" s="33"/>
      <c r="L65" s="33"/>
      <c r="M65" s="86"/>
      <c r="N65" s="88" t="s">
        <v>160</v>
      </c>
      <c r="O65" s="33"/>
      <c r="P65" s="33"/>
      <c r="Q65" s="33"/>
      <c r="R65" s="33"/>
      <c r="S65" s="32"/>
    </row>
    <row r="66" customFormat="false" ht="12.75" hidden="false" customHeight="false" outlineLevel="0" collapsed="false">
      <c r="B66" s="83" t="s">
        <v>177</v>
      </c>
      <c r="C66" s="33"/>
      <c r="D66" s="33"/>
      <c r="E66" s="33"/>
      <c r="F66" s="33"/>
      <c r="G66" s="82" t="str">
        <f aca="false">G61</f>
        <v>Economic Data</v>
      </c>
      <c r="H66" s="40"/>
      <c r="I66" s="33"/>
      <c r="J66" s="33"/>
      <c r="K66" s="33"/>
      <c r="L66" s="33"/>
      <c r="M66" s="86"/>
      <c r="N66" s="82" t="str">
        <f aca="false">G66</f>
        <v>Economic Data</v>
      </c>
      <c r="O66" s="33"/>
      <c r="P66" s="33"/>
      <c r="Q66" s="33"/>
      <c r="R66" s="33"/>
      <c r="S66" s="32"/>
    </row>
    <row r="67" customFormat="false" ht="12.75" hidden="false" customHeight="false" outlineLevel="0" collapsed="false">
      <c r="B67" s="83" t="s">
        <v>178</v>
      </c>
      <c r="C67" s="33"/>
      <c r="D67" s="33"/>
      <c r="E67" s="33"/>
      <c r="F67" s="33"/>
      <c r="G67" s="84" t="s">
        <v>179</v>
      </c>
      <c r="H67" s="33"/>
      <c r="I67" s="33"/>
      <c r="J67" s="33"/>
      <c r="K67" s="33"/>
      <c r="L67" s="33"/>
      <c r="M67" s="86"/>
      <c r="N67" s="89" t="s">
        <v>180</v>
      </c>
      <c r="O67" s="33"/>
      <c r="P67" s="33"/>
      <c r="Q67" s="33"/>
      <c r="R67" s="33"/>
      <c r="S67" s="32"/>
    </row>
    <row r="68" customFormat="false" ht="13.5" hidden="false" customHeight="false" outlineLevel="0" collapsed="false">
      <c r="B68" s="90" t="s">
        <v>181</v>
      </c>
      <c r="C68" s="91"/>
      <c r="D68" s="91"/>
      <c r="E68" s="91"/>
      <c r="F68" s="91"/>
      <c r="G68" s="92" t="s">
        <v>182</v>
      </c>
      <c r="H68" s="91"/>
      <c r="I68" s="91"/>
      <c r="J68" s="91"/>
      <c r="K68" s="91"/>
      <c r="L68" s="91"/>
      <c r="M68" s="93"/>
      <c r="N68" s="91" t="s">
        <v>183</v>
      </c>
      <c r="O68" s="91"/>
      <c r="P68" s="91"/>
      <c r="Q68" s="91"/>
      <c r="R68" s="91"/>
      <c r="S68" s="94"/>
    </row>
  </sheetData>
  <conditionalFormatting sqref="F5:F15 F17:F25 M37:M41">
    <cfRule type="cellIs" priority="2" operator="greaterThan" aboveAverage="0" equalAverage="0" bottom="0" percent="0" rank="0" text="" dxfId="8">
      <formula>0.001</formula>
    </cfRule>
    <cfRule type="cellIs" priority="3" operator="lessThan" aboveAverage="0" equalAverage="0" bottom="0" percent="0" rank="0" text="" dxfId="9">
      <formula>-0.001</formula>
    </cfRule>
  </conditionalFormatting>
  <conditionalFormatting sqref="F16">
    <cfRule type="cellIs" priority="4" operator="greaterThan" aboveAverage="0" equalAverage="0" bottom="0" percent="0" rank="0" text="" dxfId="10">
      <formula>0</formula>
    </cfRule>
    <cfRule type="cellIs" priority="5" operator="lessThan" aboveAverage="0" equalAverage="0" bottom="0" percent="0" rank="0" text="" dxfId="11">
      <formula>0</formula>
    </cfRule>
  </conditionalFormatting>
  <conditionalFormatting sqref="M34 M12">
    <cfRule type="cellIs" priority="6" operator="greaterThan" aboveAverage="0" equalAverage="0" bottom="0" percent="0" rank="0" text="" dxfId="12">
      <formula>0</formula>
    </cfRule>
  </conditionalFormatting>
  <conditionalFormatting sqref="M5:M11 M13:M19 M22:M28 M30:M32">
    <cfRule type="cellIs" priority="7" operator="lessThan" aboveAverage="0" equalAverage="0" bottom="0" percent="0" rank="0" text="" dxfId="13">
      <formula>0</formula>
    </cfRule>
  </conditionalFormatting>
  <conditionalFormatting sqref="F41:F48 F26:F39">
    <cfRule type="cellIs" priority="8" operator="greaterThan" aboveAverage="0" equalAverage="0" bottom="0" percent="0" rank="0" text="" dxfId="14">
      <formula>0</formula>
    </cfRule>
    <cfRule type="cellIs" priority="9" operator="lessThan" aboveAverage="0" equalAverage="0" bottom="0" percent="0" rank="0" text="" dxfId="15">
      <formula>0</formula>
    </cfRule>
  </conditionalFormatting>
  <printOptions headings="false" gridLines="false" gridLinesSet="true" horizontalCentered="false" verticalCentered="false"/>
  <pageMargins left="0.25" right="0.25" top="0.25" bottom="0.5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&amp;LEGM
Finance Structuring&amp;R&amp;F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27">
              <controlPr defaultSize="0" print="false" autoFill="0" autoPict="0" macro="Module2.PreSaver2">
                <anchor moveWithCells="true" sizeWithCells="false">
                  <from>
                    <xdr:col>18</xdr:col>
                    <xdr:colOff>281520</xdr:colOff>
                    <xdr:row>0</xdr:row>
                    <xdr:rowOff>76680</xdr:rowOff>
                  </from>
                  <to>
                    <xdr:col>20</xdr:col>
                    <xdr:colOff>815760</xdr:colOff>
                    <xdr:row>1</xdr:row>
                    <xdr:rowOff>104400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2:D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3" activeCellId="0" sqref="B3"/>
    </sheetView>
  </sheetViews>
  <sheetFormatPr defaultColWidth="9.0546875" defaultRowHeight="12.75" customHeight="true" zeroHeight="false" outlineLevelRow="0" outlineLevelCol="0"/>
  <sheetData>
    <row r="2" customFormat="false" ht="12.75" hidden="false" customHeight="false" outlineLevel="0" collapsed="false">
      <c r="B2" s="0" t="s">
        <v>184</v>
      </c>
      <c r="D2" s="0" t="s">
        <v>185</v>
      </c>
    </row>
    <row r="3" customFormat="false" ht="12.75" hidden="false" customHeight="false" outlineLevel="0" collapsed="false">
      <c r="B3" s="0" t="s">
        <v>186</v>
      </c>
      <c r="D3" s="0" t="s">
        <v>187</v>
      </c>
    </row>
    <row r="4" customFormat="false" ht="12.75" hidden="false" customHeight="false" outlineLevel="0" collapsed="false">
      <c r="B4" s="0" t="s">
        <v>188</v>
      </c>
      <c r="D4" s="0" t="s">
        <v>189</v>
      </c>
    </row>
    <row r="5" customFormat="false" ht="12.75" hidden="false" customHeight="false" outlineLevel="0" collapsed="false">
      <c r="B5" s="0" t="s">
        <v>190</v>
      </c>
    </row>
    <row r="6" customFormat="false" ht="12.75" hidden="false" customHeight="false" outlineLevel="0" collapsed="false">
      <c r="B6" s="0" t="s">
        <v>191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2000-03-20T12:10:52Z</dcterms:created>
  <dc:creator>Ethan Schultz</dc:creator>
  <dc:description/>
  <dc:language>en-US</dc:language>
  <cp:lastModifiedBy>karmstr2</cp:lastModifiedBy>
  <cp:lastPrinted>2001-10-22T10:33:40Z</cp:lastPrinted>
  <dcterms:modified xsi:type="dcterms:W3CDTF">2001-10-22T10:33:50Z</dcterms:modified>
  <cp:revision>0</cp:revision>
  <dc:subject/>
  <dc:title>EGM Market Update</dc:title>
</cp:coreProperties>
</file>