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<sst xmlns="http://schemas.openxmlformats.org/spreadsheetml/2006/main" count="103" uniqueCount="63">
  <si>
    <t xml:space="preserve">Calculation of WACOG1 for VNG</t>
  </si>
  <si>
    <t xml:space="preserve">Prices in dth/day at city gate gate stations ====&gt;  Not adjusted for dth to mcf conversion and any use and unaccounted for.</t>
  </si>
  <si>
    <t xml:space="preserve">Month of November 2000</t>
  </si>
  <si>
    <t xml:space="preserve">Path 1 ----------------------------------------------------------------&gt;</t>
  </si>
  <si>
    <t xml:space="preserve">Path 2 ----------------------------------------------------------------&gt;</t>
  </si>
  <si>
    <t xml:space="preserve">Path 3 ----------------------------------------------------------------&gt;</t>
  </si>
  <si>
    <t xml:space="preserve">Supplier</t>
  </si>
  <si>
    <t xml:space="preserve">Path</t>
  </si>
  <si>
    <t xml:space="preserve">Quantity at Receipt Point (dth/day)</t>
  </si>
  <si>
    <t xml:space="preserve">Index</t>
  </si>
  <si>
    <t xml:space="preserve">Receipt Price ($/dth)</t>
  </si>
  <si>
    <t xml:space="preserve">Transport</t>
  </si>
  <si>
    <t xml:space="preserve">Commodity Rate ($/dth)</t>
  </si>
  <si>
    <t xml:space="preserve">Fuel (%)</t>
  </si>
  <si>
    <t xml:space="preserve">Net Cost at Delivery Point of FT ($/dth)</t>
  </si>
  <si>
    <t xml:space="preserve">Net Cost at City Gate ($/dth)</t>
  </si>
  <si>
    <t xml:space="preserve">Delivered Quantity at City Gate (dth/day)</t>
  </si>
  <si>
    <t xml:space="preserve">Total Projected Quantity (dth) 1/</t>
  </si>
  <si>
    <t xml:space="preserve">Weighting</t>
  </si>
  <si>
    <t xml:space="preserve">Wtd Price ($/dth)</t>
  </si>
  <si>
    <t xml:space="preserve">Supplier #1</t>
  </si>
  <si>
    <t xml:space="preserve">TCO / Transco Z2</t>
  </si>
  <si>
    <t xml:space="preserve">Transco Z2 - IF</t>
  </si>
  <si>
    <t xml:space="preserve">Transco Z2 to Emporia</t>
  </si>
  <si>
    <t xml:space="preserve">TCO Shorthaul</t>
  </si>
  <si>
    <t xml:space="preserve">TCO / Transco Z3</t>
  </si>
  <si>
    <t xml:space="preserve">Transco Z3 - IF</t>
  </si>
  <si>
    <t xml:space="preserve">Transco Z3 to Emporia</t>
  </si>
  <si>
    <t xml:space="preserve">Supplier #2</t>
  </si>
  <si>
    <t xml:space="preserve">TCO / Transco Z1</t>
  </si>
  <si>
    <t xml:space="preserve">Transco Z1 - IF</t>
  </si>
  <si>
    <t xml:space="preserve">Transco Z1 to Emporia</t>
  </si>
  <si>
    <t xml:space="preserve">CNG/Transco Z2</t>
  </si>
  <si>
    <t xml:space="preserve">Transco Z2 to Leidy</t>
  </si>
  <si>
    <t xml:space="preserve">CNG to Quantico</t>
  </si>
  <si>
    <t xml:space="preserve">VNG Pipeline</t>
  </si>
  <si>
    <t xml:space="preserve">CNG/Transco Z3</t>
  </si>
  <si>
    <t xml:space="preserve">Transco Z3 to Leidy</t>
  </si>
  <si>
    <t xml:space="preserve">Supplier #3</t>
  </si>
  <si>
    <t xml:space="preserve">Supplier #4</t>
  </si>
  <si>
    <t xml:space="preserve">CNG / TGP Z0</t>
  </si>
  <si>
    <t xml:space="preserve">TGO Z0 - IF</t>
  </si>
  <si>
    <t xml:space="preserve">TGP Z0 to Z4</t>
  </si>
  <si>
    <t xml:space="preserve">TCO / Col Gulf</t>
  </si>
  <si>
    <t xml:space="preserve">Col Gulf LA - IF</t>
  </si>
  <si>
    <t xml:space="preserve">Col Gulf IT-2 to Rayne</t>
  </si>
  <si>
    <t xml:space="preserve">Col Gulf Rayne to Leach</t>
  </si>
  <si>
    <t xml:space="preserve">TCO to city gate</t>
  </si>
  <si>
    <t xml:space="preserve">Spot Purchases During Month</t>
  </si>
  <si>
    <t xml:space="preserve">                      Notes:  1/  Covers projected quantity purchased for flowing supply and storage injections.</t>
  </si>
  <si>
    <t xml:space="preserve">Planned Injections</t>
  </si>
  <si>
    <t xml:space="preserve">    CNG GSS</t>
  </si>
  <si>
    <t xml:space="preserve">    Columbia FSS</t>
  </si>
  <si>
    <t xml:space="preserve">    CHSPK-LNG</t>
  </si>
  <si>
    <t xml:space="preserve">    Transco WSS</t>
  </si>
  <si>
    <t xml:space="preserve">    Transco GSS</t>
  </si>
  <si>
    <t xml:space="preserve">       Net System Supply</t>
  </si>
  <si>
    <t xml:space="preserve">Projected End User Transport Supply</t>
  </si>
  <si>
    <t xml:space="preserve">    Transco </t>
  </si>
  <si>
    <t xml:space="preserve">    Columbia</t>
  </si>
  <si>
    <t xml:space="preserve">    CNG</t>
  </si>
  <si>
    <t xml:space="preserve">       Net Projected Sendout</t>
  </si>
  <si>
    <t xml:space="preserve">        PROJECTED CITY GATE COST OF GAS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</si>
</sst>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0%"/>
    <numFmt numFmtId="170" formatCode="0.000%"/>
    <numFmt numFmtId="171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u val="single"/>
      <sz val="10"/>
      <name val="Arial"/>
      <family val="2"/>
    </font>
    <font>
      <u val="single"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U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3671875" defaultRowHeight="12.75" customHeight="true" zeroHeight="false" outlineLevelRow="0" outlineLevelCol="0"/>
  <cols>
    <col collapsed="false" customWidth="true" hidden="false" outlineLevel="0" max="2" min="1" style="1" width="35.42"/>
    <col collapsed="false" customWidth="true" hidden="false" outlineLevel="0" max="3" min="3" style="1" width="16.56"/>
    <col collapsed="false" customWidth="true" hidden="false" outlineLevel="0" max="4" min="4" style="2" width="20.7"/>
    <col collapsed="false" customWidth="false" hidden="false" outlineLevel="0" max="5" min="5" style="1" width="16.13"/>
    <col collapsed="false" customWidth="true" hidden="false" outlineLevel="0" max="6" min="6" style="1" width="20.56"/>
    <col collapsed="false" customWidth="false" hidden="false" outlineLevel="0" max="9" min="7" style="1" width="16.13"/>
    <col collapsed="false" customWidth="true" hidden="false" outlineLevel="0" max="10" min="10" style="1" width="20.13"/>
    <col collapsed="false" customWidth="false" hidden="false" outlineLevel="0" max="13" min="11" style="1" width="16.13"/>
    <col collapsed="false" customWidth="true" hidden="false" outlineLevel="0" max="14" min="14" style="1" width="18.28"/>
    <col collapsed="false" customWidth="false" hidden="false" outlineLevel="0" max="257" min="15" style="1" width="16.13"/>
  </cols>
  <sheetData>
    <row r="2" customFormat="false" ht="12.75" hidden="false" customHeight="false" outlineLevel="0" collapsed="false">
      <c r="A2" s="3"/>
      <c r="B2" s="3"/>
      <c r="C2" s="3"/>
    </row>
    <row r="3" customFormat="false" ht="12.75" hidden="false" customHeight="false" outlineLevel="0" collapsed="false">
      <c r="A3" s="3" t="s">
        <v>0</v>
      </c>
      <c r="B3" s="3"/>
      <c r="C3" s="3"/>
    </row>
    <row r="4" customFormat="false" ht="12.75" hidden="false" customHeight="false" outlineLevel="0" collapsed="false">
      <c r="A4" s="1" t="s">
        <v>1</v>
      </c>
    </row>
    <row r="6" customFormat="false" ht="12.75" hidden="false" customHeight="false" outlineLevel="0" collapsed="false">
      <c r="A6" s="4" t="s">
        <v>2</v>
      </c>
      <c r="B6" s="4"/>
      <c r="C6" s="4"/>
      <c r="F6" s="4" t="s">
        <v>3</v>
      </c>
      <c r="J6" s="4" t="s">
        <v>4</v>
      </c>
      <c r="N6" s="4" t="s">
        <v>5</v>
      </c>
    </row>
    <row r="8" customFormat="false" ht="38.25" hidden="false" customHeight="false" outlineLevel="0" collapsed="false">
      <c r="A8" s="3" t="s">
        <v>6</v>
      </c>
      <c r="B8" s="3" t="s">
        <v>7</v>
      </c>
      <c r="C8" s="5" t="s">
        <v>8</v>
      </c>
      <c r="D8" s="6" t="s">
        <v>9</v>
      </c>
      <c r="E8" s="5" t="s">
        <v>10</v>
      </c>
      <c r="F8" s="7" t="s">
        <v>11</v>
      </c>
      <c r="G8" s="5" t="s">
        <v>12</v>
      </c>
      <c r="H8" s="5" t="s">
        <v>13</v>
      </c>
      <c r="I8" s="5" t="s">
        <v>14</v>
      </c>
      <c r="J8" s="7" t="s">
        <v>11</v>
      </c>
      <c r="K8" s="5" t="s">
        <v>12</v>
      </c>
      <c r="L8" s="5" t="s">
        <v>13</v>
      </c>
      <c r="M8" s="5" t="s">
        <v>14</v>
      </c>
      <c r="N8" s="7" t="s">
        <v>11</v>
      </c>
      <c r="O8" s="5" t="s">
        <v>12</v>
      </c>
      <c r="P8" s="5" t="s">
        <v>13</v>
      </c>
      <c r="Q8" s="5" t="s">
        <v>15</v>
      </c>
      <c r="R8" s="5" t="s">
        <v>16</v>
      </c>
      <c r="S8" s="5" t="s">
        <v>17</v>
      </c>
      <c r="T8" s="5" t="s">
        <v>18</v>
      </c>
      <c r="U8" s="5" t="s">
        <v>19</v>
      </c>
    </row>
    <row r="9" customFormat="false" ht="12.75" hidden="false" customHeight="false" outlineLevel="0" collapsed="false">
      <c r="A9" s="8" t="s">
        <v>20</v>
      </c>
      <c r="B9" s="1" t="s">
        <v>21</v>
      </c>
      <c r="C9" s="9" t="n">
        <f aca="false">((+R9/(1-P9))/(1-L9))/(1-H9)</f>
        <v>4181.91322530058</v>
      </c>
      <c r="D9" s="2" t="s">
        <v>22</v>
      </c>
      <c r="E9" s="10" t="n">
        <f aca="false">5.24+0.15</f>
        <v>5.39</v>
      </c>
      <c r="F9" s="11" t="s">
        <v>23</v>
      </c>
      <c r="G9" s="10" t="n">
        <f aca="false">0.0351+0.0022+0.0072</f>
        <v>0.0445</v>
      </c>
      <c r="H9" s="12" t="n">
        <v>0.0435</v>
      </c>
      <c r="I9" s="13" t="n">
        <f aca="false">+E9/(1-H9)+G9</f>
        <v>5.67962807109253</v>
      </c>
      <c r="J9" s="11" t="s">
        <v>24</v>
      </c>
      <c r="K9" s="10" t="n">
        <v>0</v>
      </c>
      <c r="L9" s="14" t="n">
        <v>0.01</v>
      </c>
      <c r="M9" s="13" t="n">
        <f aca="false">+I9/(1-L9)+K9</f>
        <v>5.73699805160861</v>
      </c>
      <c r="N9" s="11"/>
      <c r="O9" s="10" t="n">
        <v>0</v>
      </c>
      <c r="P9" s="14" t="n">
        <v>0</v>
      </c>
      <c r="Q9" s="13" t="n">
        <f aca="false">+M9/(1-P9)+O9</f>
        <v>5.73699805160861</v>
      </c>
      <c r="R9" s="15" t="n">
        <f aca="false">4000*(1-L9)</f>
        <v>3960</v>
      </c>
      <c r="S9" s="16" t="n">
        <f aca="false">+R9*31</f>
        <v>122760</v>
      </c>
      <c r="T9" s="17" t="n">
        <f aca="false">+S9/$S$23</f>
        <v>0.047260091768764</v>
      </c>
      <c r="U9" s="13" t="n">
        <f aca="false">+T9*Q9</f>
        <v>0.271131054396243</v>
      </c>
    </row>
    <row r="10" customFormat="false" ht="12.75" hidden="false" customHeight="false" outlineLevel="0" collapsed="false">
      <c r="A10" s="8"/>
      <c r="B10" s="1" t="s">
        <v>25</v>
      </c>
      <c r="C10" s="9" t="n">
        <f aca="false">((+R10/(1-P10))/(1-L10))/(1-H10)</f>
        <v>4115.07647487254</v>
      </c>
      <c r="D10" s="2" t="s">
        <v>26</v>
      </c>
      <c r="E10" s="10" t="n">
        <f aca="false">5.29+0.15</f>
        <v>5.44</v>
      </c>
      <c r="F10" s="11" t="s">
        <v>27</v>
      </c>
      <c r="G10" s="10" t="n">
        <f aca="false">0.0325+0.0022+0.0072</f>
        <v>0.0419</v>
      </c>
      <c r="H10" s="12" t="n">
        <v>0.0389</v>
      </c>
      <c r="I10" s="13" t="n">
        <f aca="false">+E10/(1-H10)+G10</f>
        <v>5.70208104255541</v>
      </c>
      <c r="J10" s="11" t="s">
        <v>24</v>
      </c>
      <c r="K10" s="10" t="n">
        <v>0</v>
      </c>
      <c r="L10" s="14" t="n">
        <v>0.01</v>
      </c>
      <c r="M10" s="13" t="n">
        <f aca="false">+I10/(1-L10)+K10</f>
        <v>5.75967782076304</v>
      </c>
      <c r="N10" s="11"/>
      <c r="O10" s="10" t="n">
        <v>0</v>
      </c>
      <c r="P10" s="14" t="n">
        <v>0</v>
      </c>
      <c r="Q10" s="13" t="n">
        <f aca="false">+M10/(1-P10)+O10</f>
        <v>5.75967782076304</v>
      </c>
      <c r="R10" s="15" t="n">
        <f aca="false">3955*(1-L10)</f>
        <v>3915.45</v>
      </c>
      <c r="S10" s="16" t="n">
        <f aca="false">+R10*31</f>
        <v>121378.95</v>
      </c>
      <c r="T10" s="17" t="n">
        <f aca="false">+S10/$S$23</f>
        <v>0.0467284157363654</v>
      </c>
      <c r="U10" s="13" t="n">
        <f aca="false">+T10*Q10</f>
        <v>0.269140619716138</v>
      </c>
    </row>
    <row r="11" customFormat="false" ht="12.75" hidden="false" customHeight="false" outlineLevel="0" collapsed="false">
      <c r="A11" s="8" t="s">
        <v>28</v>
      </c>
      <c r="B11" s="1" t="s">
        <v>29</v>
      </c>
      <c r="C11" s="9" t="n">
        <f aca="false">((+R11/(1-P11))/(1-L11))/(1-H11)</f>
        <v>3567.68100734523</v>
      </c>
      <c r="D11" s="2" t="s">
        <v>30</v>
      </c>
      <c r="E11" s="10" t="n">
        <f aca="false">5.21+0.15</f>
        <v>5.36</v>
      </c>
      <c r="F11" s="11" t="s">
        <v>31</v>
      </c>
      <c r="G11" s="10" t="n">
        <f aca="false">0.0371+0.022+0.0072</f>
        <v>0.0663</v>
      </c>
      <c r="H11" s="12" t="n">
        <v>0.047</v>
      </c>
      <c r="I11" s="13" t="n">
        <f aca="false">+E11/(1-H11)+G11</f>
        <v>5.69064417628542</v>
      </c>
      <c r="J11" s="11" t="s">
        <v>24</v>
      </c>
      <c r="K11" s="10" t="n">
        <v>0</v>
      </c>
      <c r="L11" s="14" t="n">
        <v>0.01</v>
      </c>
      <c r="M11" s="13" t="n">
        <f aca="false">+I11/(1-L11)+K11</f>
        <v>5.74812543059133</v>
      </c>
      <c r="N11" s="11"/>
      <c r="O11" s="10" t="n">
        <v>0</v>
      </c>
      <c r="P11" s="14" t="n">
        <v>0</v>
      </c>
      <c r="Q11" s="13" t="n">
        <f aca="false">+M11/(1-P11)+O11</f>
        <v>5.74812543059133</v>
      </c>
      <c r="R11" s="15" t="n">
        <f aca="false">3400*(1-L11)</f>
        <v>3366</v>
      </c>
      <c r="S11" s="16" t="n">
        <f aca="false">+R11*31</f>
        <v>104346</v>
      </c>
      <c r="T11" s="17" t="n">
        <f aca="false">+S11/$S$23</f>
        <v>0.0401710780034494</v>
      </c>
      <c r="U11" s="13" t="n">
        <f aca="false">+T11*Q11</f>
        <v>0.230908395045895</v>
      </c>
    </row>
    <row r="12" customFormat="false" ht="12.75" hidden="false" customHeight="false" outlineLevel="0" collapsed="false">
      <c r="A12" s="8"/>
      <c r="B12" s="1" t="s">
        <v>25</v>
      </c>
      <c r="C12" s="9" t="n">
        <f aca="false">((+R12/(1-P12))/(1-L12))/(1-H12)</f>
        <v>3168.24471959213</v>
      </c>
      <c r="D12" s="2" t="s">
        <v>26</v>
      </c>
      <c r="E12" s="10" t="n">
        <f aca="false">5.29+0.15</f>
        <v>5.44</v>
      </c>
      <c r="F12" s="11" t="s">
        <v>27</v>
      </c>
      <c r="G12" s="10" t="n">
        <f aca="false">0.0325+0.0022+0.0072</f>
        <v>0.0419</v>
      </c>
      <c r="H12" s="12" t="n">
        <v>0.0389</v>
      </c>
      <c r="I12" s="13" t="n">
        <f aca="false">+E12/(1-H12)+G12</f>
        <v>5.70208104255541</v>
      </c>
      <c r="J12" s="11" t="s">
        <v>24</v>
      </c>
      <c r="K12" s="10" t="n">
        <v>0</v>
      </c>
      <c r="L12" s="14" t="n">
        <v>0.01</v>
      </c>
      <c r="M12" s="13" t="n">
        <f aca="false">+I12/(1-L12)+K12</f>
        <v>5.75967782076304</v>
      </c>
      <c r="N12" s="11"/>
      <c r="O12" s="10" t="n">
        <v>0</v>
      </c>
      <c r="P12" s="14" t="n">
        <v>0</v>
      </c>
      <c r="Q12" s="13" t="n">
        <f aca="false">+M12/(1-P12)+O12</f>
        <v>5.75967782076304</v>
      </c>
      <c r="R12" s="15" t="n">
        <f aca="false">3045*(1-L12)</f>
        <v>3014.55</v>
      </c>
      <c r="S12" s="16" t="n">
        <f aca="false">+R12*31</f>
        <v>93451.05</v>
      </c>
      <c r="T12" s="17" t="n">
        <f aca="false">+S12/$S$23</f>
        <v>0.0359767448589716</v>
      </c>
      <c r="U12" s="13" t="n">
        <f aca="false">+T12*Q12</f>
        <v>0.207214459427469</v>
      </c>
    </row>
    <row r="13" customFormat="false" ht="12.75" hidden="false" customHeight="false" outlineLevel="0" collapsed="false">
      <c r="A13" s="8"/>
      <c r="B13" s="1" t="s">
        <v>32</v>
      </c>
      <c r="C13" s="9" t="n">
        <f aca="false">((+R13/(1-P13))/(1-L13))/(1-H13)</f>
        <v>572.724396160743</v>
      </c>
      <c r="D13" s="2" t="s">
        <v>22</v>
      </c>
      <c r="E13" s="10" t="n">
        <f aca="false">5.24+0.15</f>
        <v>5.39</v>
      </c>
      <c r="F13" s="11" t="s">
        <v>33</v>
      </c>
      <c r="G13" s="10" t="n">
        <f aca="false">0.0397+0.0022</f>
        <v>0.0419</v>
      </c>
      <c r="H13" s="12" t="n">
        <v>0.0519</v>
      </c>
      <c r="I13" s="13" t="n">
        <f aca="false">+E13/(1-H13)+G13</f>
        <v>5.72695431916465</v>
      </c>
      <c r="J13" s="11" t="s">
        <v>34</v>
      </c>
      <c r="K13" s="10" t="n">
        <f aca="false">0.0391+0.0022+0.0072</f>
        <v>0.0485</v>
      </c>
      <c r="L13" s="14" t="n">
        <v>0.0228</v>
      </c>
      <c r="M13" s="13" t="n">
        <f aca="false">+I13/(1-L13)+K13</f>
        <v>5.9090754391779</v>
      </c>
      <c r="N13" s="11" t="s">
        <v>35</v>
      </c>
      <c r="O13" s="10" t="n">
        <v>0</v>
      </c>
      <c r="P13" s="14" t="n">
        <v>0.0025</v>
      </c>
      <c r="Q13" s="13" t="n">
        <f aca="false">+M13/(1-P13)+O13</f>
        <v>5.92388515205805</v>
      </c>
      <c r="R13" s="15" t="n">
        <f aca="false">543*(1-P13)*(1-L13)</f>
        <v>529.293051</v>
      </c>
      <c r="S13" s="16" t="n">
        <f aca="false">+R13*31</f>
        <v>16408.084581</v>
      </c>
      <c r="T13" s="17" t="n">
        <f aca="false">+S13/$S$23</f>
        <v>0.00631677731384573</v>
      </c>
      <c r="U13" s="13" t="n">
        <f aca="false">+T13*Q13</f>
        <v>0.0374198633383478</v>
      </c>
    </row>
    <row r="14" customFormat="false" ht="12.75" hidden="false" customHeight="false" outlineLevel="0" collapsed="false">
      <c r="A14" s="8"/>
      <c r="B14" s="1" t="s">
        <v>36</v>
      </c>
      <c r="C14" s="9" t="n">
        <f aca="false">((+R14/(1-P14))/(1-L14))/(1-H14)</f>
        <v>13.6454287813582</v>
      </c>
      <c r="D14" s="2" t="s">
        <v>26</v>
      </c>
      <c r="E14" s="10" t="n">
        <f aca="false">5.29+0.15</f>
        <v>5.44</v>
      </c>
      <c r="F14" s="11" t="s">
        <v>37</v>
      </c>
      <c r="G14" s="10" t="n">
        <f aca="false">0.0371+0.0022</f>
        <v>0.0393</v>
      </c>
      <c r="H14" s="12" t="n">
        <v>0.0473</v>
      </c>
      <c r="I14" s="13" t="n">
        <f aca="false">+E14/(1-H14)+G14</f>
        <v>5.74938712081453</v>
      </c>
      <c r="J14" s="11" t="s">
        <v>34</v>
      </c>
      <c r="K14" s="10" t="n">
        <f aca="false">0.0391+0.0022+0.0072</f>
        <v>0.0485</v>
      </c>
      <c r="L14" s="14" t="n">
        <v>0.0228</v>
      </c>
      <c r="M14" s="13" t="n">
        <f aca="false">+I14/(1-L14)+K14</f>
        <v>5.93203164225801</v>
      </c>
      <c r="N14" s="11" t="s">
        <v>35</v>
      </c>
      <c r="O14" s="10" t="n">
        <v>0</v>
      </c>
      <c r="P14" s="14" t="n">
        <v>0.0025</v>
      </c>
      <c r="Q14" s="13" t="n">
        <f aca="false">+M14/(1-P14)+O14</f>
        <v>5.94689888948172</v>
      </c>
      <c r="R14" s="15" t="n">
        <f aca="false">13*(1-P14)*(1-L14)</f>
        <v>12.671841</v>
      </c>
      <c r="S14" s="16" t="n">
        <f aca="false">+R14*31</f>
        <v>392.827071</v>
      </c>
      <c r="T14" s="17" t="n">
        <f aca="false">+S14/$S$23</f>
        <v>0.000151230396095754</v>
      </c>
      <c r="U14" s="13" t="n">
        <f aca="false">+T14*Q14</f>
        <v>0.00089935187459772</v>
      </c>
    </row>
    <row r="15" customFormat="false" ht="12.75" hidden="false" customHeight="false" outlineLevel="0" collapsed="false">
      <c r="A15" s="8" t="s">
        <v>38</v>
      </c>
      <c r="B15" s="1" t="s">
        <v>29</v>
      </c>
      <c r="C15" s="9" t="n">
        <f aca="false">((+R15/(1-P15))/(1-L15))/(1-H15)</f>
        <v>2841.55299055614</v>
      </c>
      <c r="D15" s="2" t="s">
        <v>30</v>
      </c>
      <c r="E15" s="10" t="n">
        <f aca="false">5.21+0.15</f>
        <v>5.36</v>
      </c>
      <c r="F15" s="11" t="s">
        <v>31</v>
      </c>
      <c r="G15" s="10" t="n">
        <f aca="false">0.0371+0.022+0.0072</f>
        <v>0.0663</v>
      </c>
      <c r="H15" s="12" t="n">
        <v>0.047</v>
      </c>
      <c r="I15" s="13" t="n">
        <f aca="false">+E15/(1-H15)+G15</f>
        <v>5.69064417628542</v>
      </c>
      <c r="J15" s="11" t="s">
        <v>24</v>
      </c>
      <c r="K15" s="10" t="n">
        <v>0</v>
      </c>
      <c r="L15" s="14" t="n">
        <v>0.01</v>
      </c>
      <c r="M15" s="13" t="n">
        <f aca="false">+I15/(1-L15)+K15</f>
        <v>5.74812543059133</v>
      </c>
      <c r="N15" s="11"/>
      <c r="O15" s="10" t="n">
        <v>0</v>
      </c>
      <c r="P15" s="14" t="n">
        <v>0</v>
      </c>
      <c r="Q15" s="13" t="n">
        <f aca="false">+M15/(1-P15)+O15</f>
        <v>5.74812543059133</v>
      </c>
      <c r="R15" s="15" t="n">
        <f aca="false">2708*(1-L15)</f>
        <v>2680.92</v>
      </c>
      <c r="S15" s="16" t="n">
        <f aca="false">+R15*31</f>
        <v>83108.52</v>
      </c>
      <c r="T15" s="17" t="n">
        <f aca="false">+S15/$S$23</f>
        <v>0.0319950821274532</v>
      </c>
      <c r="U15" s="13" t="n">
        <f aca="false">+T15*Q15</f>
        <v>0.183911745230672</v>
      </c>
    </row>
    <row r="16" customFormat="false" ht="12.75" hidden="false" customHeight="false" outlineLevel="0" collapsed="false">
      <c r="A16" s="8"/>
      <c r="B16" s="1" t="s">
        <v>21</v>
      </c>
      <c r="C16" s="9" t="n">
        <f aca="false">((+R16/(1-P16))/(1-L16))/(1-H16)</f>
        <v>4164.14009409305</v>
      </c>
      <c r="D16" s="2" t="s">
        <v>22</v>
      </c>
      <c r="E16" s="10" t="n">
        <f aca="false">5.24+0.15</f>
        <v>5.39</v>
      </c>
      <c r="F16" s="11" t="s">
        <v>23</v>
      </c>
      <c r="G16" s="10" t="n">
        <f aca="false">0.0351+0.0022+0.0072</f>
        <v>0.0445</v>
      </c>
      <c r="H16" s="12" t="n">
        <v>0.0435</v>
      </c>
      <c r="I16" s="13" t="n">
        <f aca="false">+E16/(1-H16)+G16</f>
        <v>5.67962807109253</v>
      </c>
      <c r="J16" s="11" t="s">
        <v>24</v>
      </c>
      <c r="K16" s="10" t="n">
        <v>0</v>
      </c>
      <c r="L16" s="14" t="n">
        <v>0.01</v>
      </c>
      <c r="M16" s="13" t="n">
        <f aca="false">+I16/(1-L16)+K16</f>
        <v>5.73699805160861</v>
      </c>
      <c r="N16" s="11"/>
      <c r="O16" s="10" t="n">
        <v>0</v>
      </c>
      <c r="P16" s="14" t="n">
        <v>0</v>
      </c>
      <c r="Q16" s="13" t="n">
        <f aca="false">+M16/(1-P16)+O16</f>
        <v>5.73699805160861</v>
      </c>
      <c r="R16" s="15" t="n">
        <f aca="false">3983*(1-L16)</f>
        <v>3943.17</v>
      </c>
      <c r="S16" s="16" t="n">
        <f aca="false">+R16*31</f>
        <v>122238.27</v>
      </c>
      <c r="T16" s="17" t="n">
        <f aca="false">+S16/$S$23</f>
        <v>0.0470592363787468</v>
      </c>
      <c r="U16" s="13" t="n">
        <f aca="false">+T16*Q16</f>
        <v>0.269978747415059</v>
      </c>
    </row>
    <row r="17" customFormat="false" ht="12.75" hidden="false" customHeight="false" outlineLevel="0" collapsed="false">
      <c r="A17" s="8"/>
      <c r="B17" s="1" t="s">
        <v>25</v>
      </c>
      <c r="C17" s="9" t="n">
        <f aca="false">((+R17/(1-P17))/(1-L17))/(1-H17)</f>
        <v>9612.94350223702</v>
      </c>
      <c r="D17" s="2" t="s">
        <v>26</v>
      </c>
      <c r="E17" s="10" t="n">
        <f aca="false">5.29+0.15</f>
        <v>5.44</v>
      </c>
      <c r="F17" s="11" t="s">
        <v>27</v>
      </c>
      <c r="G17" s="10" t="n">
        <f aca="false">0.0325+0.0022+0.0072</f>
        <v>0.0419</v>
      </c>
      <c r="H17" s="12" t="n">
        <v>0.0389</v>
      </c>
      <c r="I17" s="13" t="n">
        <f aca="false">+E17/(1-H17)+G17</f>
        <v>5.70208104255541</v>
      </c>
      <c r="J17" s="11" t="s">
        <v>24</v>
      </c>
      <c r="K17" s="10" t="n">
        <v>0</v>
      </c>
      <c r="L17" s="14" t="n">
        <v>0.01</v>
      </c>
      <c r="M17" s="13" t="n">
        <f aca="false">+I17/(1-L17)+K17</f>
        <v>5.75967782076304</v>
      </c>
      <c r="N17" s="11"/>
      <c r="O17" s="10" t="n">
        <v>0</v>
      </c>
      <c r="P17" s="14" t="n">
        <v>0</v>
      </c>
      <c r="Q17" s="13" t="n">
        <f aca="false">+M17/(1-P17)+O17</f>
        <v>5.75967782076304</v>
      </c>
      <c r="R17" s="15" t="n">
        <f aca="false">9239*(1-L17)</f>
        <v>9146.61</v>
      </c>
      <c r="S17" s="16" t="n">
        <f aca="false">+R17*31</f>
        <v>283544.91</v>
      </c>
      <c r="T17" s="17" t="n">
        <f aca="false">+S17/$S$23</f>
        <v>0.109158996962903</v>
      </c>
      <c r="U17" s="13" t="n">
        <f aca="false">+T17*Q17</f>
        <v>0.62872065374397</v>
      </c>
    </row>
    <row r="18" customFormat="false" ht="12.75" hidden="false" customHeight="false" outlineLevel="0" collapsed="false">
      <c r="A18" s="8" t="s">
        <v>39</v>
      </c>
      <c r="B18" s="1" t="s">
        <v>25</v>
      </c>
      <c r="C18" s="9" t="n">
        <f aca="false">((+R18/(1-P18))/(1-L18))/(1-H18)</f>
        <v>5826.65695557174</v>
      </c>
      <c r="D18" s="2" t="s">
        <v>26</v>
      </c>
      <c r="E18" s="10" t="n">
        <f aca="false">5.29+0.15</f>
        <v>5.44</v>
      </c>
      <c r="F18" s="11" t="s">
        <v>27</v>
      </c>
      <c r="G18" s="10" t="n">
        <f aca="false">0.0325+0.0022+0.0072</f>
        <v>0.0419</v>
      </c>
      <c r="H18" s="12" t="n">
        <v>0.0389</v>
      </c>
      <c r="I18" s="13" t="n">
        <f aca="false">+E18/(1-H18)+G18</f>
        <v>5.70208104255541</v>
      </c>
      <c r="J18" s="11" t="s">
        <v>24</v>
      </c>
      <c r="K18" s="10" t="n">
        <v>0</v>
      </c>
      <c r="L18" s="14" t="n">
        <v>0.01</v>
      </c>
      <c r="M18" s="13" t="n">
        <f aca="false">+I18/(1-L18)+K18</f>
        <v>5.75967782076304</v>
      </c>
      <c r="N18" s="11"/>
      <c r="O18" s="10" t="n">
        <v>0</v>
      </c>
      <c r="P18" s="14" t="n">
        <v>0</v>
      </c>
      <c r="Q18" s="13" t="n">
        <f aca="false">+M18/(1-P18)+O18</f>
        <v>5.75967782076304</v>
      </c>
      <c r="R18" s="15" t="n">
        <f aca="false">5600*(1-L18)</f>
        <v>5544</v>
      </c>
      <c r="S18" s="9" t="n">
        <f aca="false">+R18*31</f>
        <v>171864</v>
      </c>
      <c r="T18" s="17" t="n">
        <f aca="false">+S18/$S$23</f>
        <v>0.0661641284762696</v>
      </c>
      <c r="U18" s="13" t="n">
        <f aca="false">+T18*Q18</f>
        <v>0.381084063314886</v>
      </c>
    </row>
    <row r="19" customFormat="false" ht="12.75" hidden="false" customHeight="false" outlineLevel="0" collapsed="false">
      <c r="A19" s="8"/>
      <c r="B19" s="1" t="s">
        <v>40</v>
      </c>
      <c r="C19" s="9" t="n">
        <f aca="false">((+R19/(1-P19))/(1-L19))/(1-H19)</f>
        <v>8637.32701206721</v>
      </c>
      <c r="D19" s="2" t="s">
        <v>41</v>
      </c>
      <c r="E19" s="10" t="n">
        <f aca="false">5.172+0.15</f>
        <v>5.322</v>
      </c>
      <c r="F19" s="11" t="s">
        <v>42</v>
      </c>
      <c r="G19" s="10" t="n">
        <f aca="false">0.0881+0.0022</f>
        <v>0.0903</v>
      </c>
      <c r="H19" s="12" t="n">
        <v>0.0504</v>
      </c>
      <c r="I19" s="13" t="n">
        <f aca="false">+E19/(1-H19)+G19</f>
        <v>5.6947650379107</v>
      </c>
      <c r="J19" s="11" t="s">
        <v>34</v>
      </c>
      <c r="K19" s="10" t="n">
        <f aca="false">0.0391+0.0022+0.0072</f>
        <v>0.0485</v>
      </c>
      <c r="L19" s="14" t="n">
        <v>0.0228</v>
      </c>
      <c r="M19" s="13" t="n">
        <f aca="false">+I19/(1-L19)+K19</f>
        <v>5.87613511861512</v>
      </c>
      <c r="N19" s="11" t="s">
        <v>35</v>
      </c>
      <c r="O19" s="10" t="n">
        <v>0</v>
      </c>
      <c r="P19" s="14" t="n">
        <v>0.0025</v>
      </c>
      <c r="Q19" s="13" t="n">
        <f aca="false">+M19/(1-P19)+O19</f>
        <v>5.89086227430088</v>
      </c>
      <c r="R19" s="15" t="n">
        <f aca="false">8015*(1-P19)</f>
        <v>7994.9625</v>
      </c>
      <c r="S19" s="16" t="n">
        <f aca="false">+R19*31</f>
        <v>247843.8375</v>
      </c>
      <c r="T19" s="17" t="n">
        <f aca="false">+S19/$S$23</f>
        <v>0.0954148134944007</v>
      </c>
      <c r="U19" s="13" t="n">
        <f aca="false">+T19*Q19</f>
        <v>0.56207552522362</v>
      </c>
    </row>
    <row r="20" customFormat="false" ht="12.75" hidden="false" customHeight="false" outlineLevel="0" collapsed="false">
      <c r="A20" s="8"/>
      <c r="B20" s="1" t="s">
        <v>43</v>
      </c>
      <c r="C20" s="9" t="n">
        <f aca="false">((+R20/(1-P20))/(1-L20))/(1-H20)</f>
        <v>18151.1461528794</v>
      </c>
      <c r="D20" s="2" t="s">
        <v>44</v>
      </c>
      <c r="E20" s="10" t="n">
        <f aca="false">5.2595+0.15</f>
        <v>5.4095</v>
      </c>
      <c r="F20" s="11" t="s">
        <v>45</v>
      </c>
      <c r="G20" s="10" t="n">
        <f aca="false">0.0388+0.0022</f>
        <v>0.041</v>
      </c>
      <c r="H20" s="12" t="n">
        <v>0.00603</v>
      </c>
      <c r="I20" s="13" t="n">
        <f aca="false">+E20/(1-H20)+G20</f>
        <v>5.48331717255048</v>
      </c>
      <c r="J20" s="11" t="s">
        <v>46</v>
      </c>
      <c r="K20" s="10" t="n">
        <f aca="false">0.017+0.0022</f>
        <v>0.0192</v>
      </c>
      <c r="L20" s="14" t="n">
        <v>0.0282</v>
      </c>
      <c r="M20" s="13" t="n">
        <f aca="false">+I20/(1-L20)+K20</f>
        <v>5.66163380587619</v>
      </c>
      <c r="N20" s="11" t="s">
        <v>47</v>
      </c>
      <c r="O20" s="10" t="n">
        <f aca="false">0.0132+0.0022+0.0072</f>
        <v>0.0226</v>
      </c>
      <c r="P20" s="14" t="n">
        <v>0.02184</v>
      </c>
      <c r="Q20" s="13" t="n">
        <f aca="false">+M20/(1-P20)+O20</f>
        <v>5.81064470217162</v>
      </c>
      <c r="R20" s="15" t="n">
        <v>17150</v>
      </c>
      <c r="S20" s="16" t="n">
        <f aca="false">+R20*31</f>
        <v>531650</v>
      </c>
      <c r="T20" s="17" t="n">
        <f aca="false">+S20/$S$23</f>
        <v>0.204674387331895</v>
      </c>
      <c r="U20" s="13" t="n">
        <f aca="false">+T20*Q20</f>
        <v>1.18929014442029</v>
      </c>
    </row>
    <row r="21" customFormat="false" ht="12.75" hidden="false" customHeight="false" outlineLevel="0" collapsed="false">
      <c r="A21" s="8" t="s">
        <v>48</v>
      </c>
      <c r="B21" s="1" t="s">
        <v>43</v>
      </c>
      <c r="C21" s="9" t="n">
        <f aca="false">((+R21/(1-P21))/(1-L21))/(1-H21)</f>
        <v>23849.4418314277</v>
      </c>
      <c r="D21" s="2" t="s">
        <v>44</v>
      </c>
      <c r="E21" s="10" t="n">
        <f aca="false">5.2595+0.15</f>
        <v>5.4095</v>
      </c>
      <c r="F21" s="11" t="s">
        <v>45</v>
      </c>
      <c r="G21" s="10" t="n">
        <f aca="false">0.0388+0.0022</f>
        <v>0.041</v>
      </c>
      <c r="H21" s="12" t="n">
        <v>0.00603</v>
      </c>
      <c r="I21" s="13" t="n">
        <f aca="false">+E21/(1-H21)+G21</f>
        <v>5.48331717255048</v>
      </c>
      <c r="J21" s="11" t="s">
        <v>46</v>
      </c>
      <c r="K21" s="10" t="n">
        <f aca="false">0.017+0.0022</f>
        <v>0.0192</v>
      </c>
      <c r="L21" s="14" t="n">
        <v>0.0282</v>
      </c>
      <c r="M21" s="13" t="n">
        <f aca="false">+I21/(1-L21)+K21</f>
        <v>5.66163380587619</v>
      </c>
      <c r="N21" s="11" t="s">
        <v>47</v>
      </c>
      <c r="O21" s="10" t="n">
        <f aca="false">0.0132+0.0022+0.0072</f>
        <v>0.0226</v>
      </c>
      <c r="P21" s="14" t="n">
        <v>0.02184</v>
      </c>
      <c r="Q21" s="13" t="n">
        <f aca="false">+M21/(1-P21)+O21</f>
        <v>5.81064470217162</v>
      </c>
      <c r="R21" s="15" t="n">
        <f aca="false">39684-R20</f>
        <v>22534</v>
      </c>
      <c r="S21" s="16" t="n">
        <f aca="false">+R21*31</f>
        <v>698554</v>
      </c>
      <c r="T21" s="17" t="n">
        <f aca="false">+S21/$S$23</f>
        <v>0.26892901715084</v>
      </c>
      <c r="U21" s="13" t="n">
        <f aca="false">+T21*Q21</f>
        <v>1.56265096876775</v>
      </c>
    </row>
    <row r="22" customFormat="false" ht="12.75" hidden="false" customHeight="false" outlineLevel="0" collapsed="false">
      <c r="A22" s="8"/>
      <c r="B22" s="8"/>
      <c r="C22" s="8"/>
      <c r="D22" s="6"/>
      <c r="E22" s="5"/>
      <c r="F22" s="7"/>
      <c r="G22" s="5"/>
      <c r="H22" s="5"/>
      <c r="I22" s="5"/>
      <c r="J22" s="7"/>
      <c r="K22" s="5"/>
      <c r="L22" s="5"/>
      <c r="M22" s="5"/>
      <c r="N22" s="7"/>
      <c r="O22" s="5"/>
      <c r="P22" s="5"/>
      <c r="Q22" s="5"/>
      <c r="R22" s="5"/>
      <c r="S22" s="5"/>
    </row>
    <row r="23" customFormat="false" ht="12.75" hidden="false" customHeight="false" outlineLevel="0" collapsed="false">
      <c r="A23" s="8"/>
      <c r="B23" s="8"/>
      <c r="C23" s="8"/>
      <c r="D23" s="6"/>
      <c r="E23" s="5"/>
      <c r="F23" s="7"/>
      <c r="G23" s="5"/>
      <c r="H23" s="5"/>
      <c r="I23" s="5"/>
      <c r="J23" s="7"/>
      <c r="K23" s="5"/>
      <c r="L23" s="5"/>
      <c r="M23" s="5"/>
      <c r="N23" s="7"/>
      <c r="O23" s="5"/>
      <c r="P23" s="5"/>
      <c r="Q23" s="5"/>
      <c r="R23" s="5"/>
      <c r="S23" s="18" t="n">
        <f aca="false">SUM(S9:S21)</f>
        <v>2597540.449152</v>
      </c>
      <c r="T23" s="17" t="n">
        <f aca="false">+S23/$S$23</f>
        <v>1</v>
      </c>
    </row>
    <row r="24" customFormat="false" ht="12.75" hidden="false" customHeight="false" outlineLevel="0" collapsed="false">
      <c r="A24" s="8" t="s">
        <v>49</v>
      </c>
      <c r="B24" s="8"/>
      <c r="C24" s="8"/>
      <c r="D24" s="6"/>
      <c r="E24" s="5"/>
      <c r="F24" s="7"/>
      <c r="G24" s="5"/>
      <c r="H24" s="5"/>
      <c r="I24" s="5"/>
      <c r="J24" s="7"/>
      <c r="K24" s="5"/>
      <c r="L24" s="5"/>
      <c r="M24" s="5"/>
      <c r="N24" s="7"/>
      <c r="O24" s="5"/>
      <c r="P24" s="5"/>
      <c r="Q24" s="19" t="s">
        <v>50</v>
      </c>
      <c r="R24" s="5"/>
      <c r="S24" s="5"/>
    </row>
    <row r="25" customFormat="false" ht="12.75" hidden="false" customHeight="false" outlineLevel="0" collapsed="false">
      <c r="Q25" s="1" t="s">
        <v>51</v>
      </c>
      <c r="S25" s="15" t="n">
        <v>-514569</v>
      </c>
      <c r="T25" s="16"/>
    </row>
    <row r="26" customFormat="false" ht="12.75" hidden="false" customHeight="false" outlineLevel="0" collapsed="false">
      <c r="Q26" s="1" t="s">
        <v>52</v>
      </c>
      <c r="S26" s="15" t="n">
        <v>-157358</v>
      </c>
      <c r="T26" s="16"/>
    </row>
    <row r="27" customFormat="false" ht="12.75" hidden="false" customHeight="false" outlineLevel="0" collapsed="false">
      <c r="Q27" s="1" t="s">
        <v>53</v>
      </c>
      <c r="S27" s="15" t="n">
        <v>-188500</v>
      </c>
      <c r="T27" s="16"/>
    </row>
    <row r="28" customFormat="false" ht="12.75" hidden="false" customHeight="false" outlineLevel="0" collapsed="false">
      <c r="Q28" s="1" t="s">
        <v>54</v>
      </c>
      <c r="S28" s="15" t="n">
        <v>-102300</v>
      </c>
      <c r="T28" s="16"/>
    </row>
    <row r="29" customFormat="false" ht="12.75" hidden="false" customHeight="false" outlineLevel="0" collapsed="false">
      <c r="Q29" s="20" t="s">
        <v>55</v>
      </c>
      <c r="R29" s="20"/>
      <c r="S29" s="21" t="n">
        <v>-8647</v>
      </c>
      <c r="T29" s="16"/>
    </row>
    <row r="30" customFormat="false" ht="12.75" hidden="false" customHeight="false" outlineLevel="0" collapsed="false">
      <c r="Q30" s="1" t="s">
        <v>56</v>
      </c>
      <c r="S30" s="22" t="n">
        <f aca="false">+S23+SUM(S25:S29)</f>
        <v>1626166.449152</v>
      </c>
    </row>
    <row r="32" customFormat="false" ht="12.75" hidden="false" customHeight="false" outlineLevel="0" collapsed="false">
      <c r="Q32" s="1" t="s">
        <v>57</v>
      </c>
    </row>
    <row r="33" customFormat="false" ht="12.75" hidden="false" customHeight="false" outlineLevel="0" collapsed="false">
      <c r="Q33" s="1" t="s">
        <v>58</v>
      </c>
      <c r="S33" s="15" t="n">
        <v>0</v>
      </c>
    </row>
    <row r="34" customFormat="false" ht="12.75" hidden="false" customHeight="false" outlineLevel="0" collapsed="false">
      <c r="Q34" s="1" t="s">
        <v>59</v>
      </c>
      <c r="S34" s="15" t="n">
        <f aca="false">4000*31</f>
        <v>124000</v>
      </c>
      <c r="T34" s="23"/>
    </row>
    <row r="35" customFormat="false" ht="12.75" hidden="false" customHeight="false" outlineLevel="0" collapsed="false">
      <c r="Q35" s="20" t="s">
        <v>60</v>
      </c>
      <c r="R35" s="20"/>
      <c r="S35" s="21" t="n">
        <f aca="false">13500*31</f>
        <v>418500</v>
      </c>
    </row>
    <row r="36" customFormat="false" ht="12.75" hidden="false" customHeight="false" outlineLevel="0" collapsed="false">
      <c r="Q36" s="1" t="s">
        <v>61</v>
      </c>
      <c r="S36" s="24" t="n">
        <f aca="false">+S30+SUM(S33:S35)</f>
        <v>2168666.449152</v>
      </c>
    </row>
    <row r="37" customFormat="false" ht="13.5" hidden="false" customHeight="false" outlineLevel="0" collapsed="false"/>
    <row r="38" customFormat="false" ht="13.5" hidden="false" customHeight="false" outlineLevel="0" collapsed="false">
      <c r="Q38" s="25" t="s">
        <v>62</v>
      </c>
      <c r="R38" s="26"/>
      <c r="S38" s="26"/>
      <c r="T38" s="27" t="n">
        <f aca="false">SUM(U9:U21)</f>
        <v>5.79442559191494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2000-09-29T13:25:14Z</dcterms:created>
  <dc:creator>mbreese</dc:creator>
  <dc:description/>
  <dc:language>en-US</dc:language>
  <cp:lastModifiedBy>mbreese</cp:lastModifiedBy>
  <cp:lastPrinted>2000-09-29T14:01:51Z</cp:lastPrinted>
  <cp:revision>0</cp:revision>
  <dc:subject/>
  <dc:title/>
</cp:coreProperties>
</file>