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CSSnoCA1" sheetId="1" state="visible" r:id="rId3"/>
    <sheet name="WSCCnoCA2" sheetId="2" state="visible" r:id="rId4"/>
    <sheet name="CA_LR1" sheetId="3" state="visible" r:id="rId5"/>
    <sheet name="CA_LR2" sheetId="4" state="visible" r:id="rId6"/>
    <sheet name="WSCC_LR1" sheetId="5" state="visible" r:id="rId7"/>
    <sheet name="WSCC_LR2" sheetId="6" state="visible" r:id="rId8"/>
    <sheet name="DATA" sheetId="7" state="visible" r:id="rId9"/>
    <sheet name="CAcap" sheetId="8" state="visible" r:id="rId10"/>
    <sheet name="WSCCcap" sheetId="9" state="visible" r:id="rId11"/>
    <sheet name="CAnetchg" sheetId="10" state="visible" r:id="rId12"/>
    <sheet name="WSCCnetchg" sheetId="11" state="visible" r:id="rId1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<sst xmlns="http://schemas.openxmlformats.org/spreadsheetml/2006/main" count="122" uniqueCount="54">
  <si>
    <t xml:space="preserve">WSCC Loads and Resources</t>
  </si>
  <si>
    <t xml:space="preserve">Historical and Projected</t>
  </si>
  <si>
    <t xml:space="preserve">Yellow cells contain projected data</t>
  </si>
  <si>
    <t xml:space="preserve">ENE West Desk best guess at actual new online in 2000</t>
  </si>
  <si>
    <t xml:space="preserve">CAISO estimate of new online in 2001</t>
  </si>
  <si>
    <t xml:space="preserve">Data in this box feed graphs</t>
  </si>
  <si>
    <t xml:space="preserve">Hydro Sustained Peak Adj Factor</t>
  </si>
  <si>
    <t xml:space="preserve">Assumed Outage Rate for Thermal</t>
  </si>
  <si>
    <t xml:space="preserve">WSCC Capacity Graph</t>
  </si>
  <si>
    <t xml:space="preserve">Capacity</t>
  </si>
  <si>
    <t xml:space="preserve">Peak Load</t>
  </si>
  <si>
    <t xml:space="preserve">Reserve Margin</t>
  </si>
  <si>
    <t xml:space="preserve">Calif Capacity Graph</t>
  </si>
  <si>
    <t xml:space="preserve">WSCC Net Change Graph</t>
  </si>
  <si>
    <t xml:space="preserve">Cumulative New Capacity Additions</t>
  </si>
  <si>
    <t xml:space="preserve">Cumulative New Load (MWa)</t>
  </si>
  <si>
    <t xml:space="preserve">Energy Deficit</t>
  </si>
  <si>
    <t xml:space="preserve">Calif Net Change Graph</t>
  </si>
  <si>
    <t xml:space="preserve">Hydro Cap Factor   </t>
  </si>
  <si>
    <t xml:space="preserve">Thermal Cap Factor   </t>
  </si>
  <si>
    <t xml:space="preserve">WSCC_LR1</t>
  </si>
  <si>
    <t xml:space="preserve">Hydro Capacity</t>
  </si>
  <si>
    <t xml:space="preserve">All Other Capacity</t>
  </si>
  <si>
    <t xml:space="preserve">WSCC_LR2</t>
  </si>
  <si>
    <t xml:space="preserve">CA_LR1</t>
  </si>
  <si>
    <t xml:space="preserve">CA_LR2</t>
  </si>
  <si>
    <t xml:space="preserve">WSCCnoCA1</t>
  </si>
  <si>
    <t xml:space="preserve">WSCCnoCA2</t>
  </si>
  <si>
    <t xml:space="preserve">Sources</t>
  </si>
  <si>
    <t xml:space="preserve">WSCC Existing Generation and Significant Additions and Changes, 1995-2000; WSCC Summary of Estimated Loads and Resources 1997-2000.</t>
  </si>
  <si>
    <t xml:space="preserve">2000 Peak Demand based on preliminary figures obtained from WSCC.</t>
  </si>
  <si>
    <t xml:space="preserve">2000 Additions ENE sources; 2001 Calif Additions from CAISO</t>
  </si>
  <si>
    <t xml:space="preserve">LOADS</t>
  </si>
  <si>
    <t xml:space="preserve">Peak Summer Demand (MW, Non-Coincident)</t>
  </si>
  <si>
    <t xml:space="preserve">NWPP</t>
  </si>
  <si>
    <t xml:space="preserve">RMPA</t>
  </si>
  <si>
    <t xml:space="preserve">AZ/NM/SNV</t>
  </si>
  <si>
    <t xml:space="preserve">CA/MX</t>
  </si>
  <si>
    <t xml:space="preserve">WSCC</t>
  </si>
  <si>
    <t xml:space="preserve">Annual Energy (GWH)</t>
  </si>
  <si>
    <t xml:space="preserve">GENERATION CAPACITY (MW)</t>
  </si>
  <si>
    <t xml:space="preserve">Conventional Hydro</t>
  </si>
  <si>
    <t xml:space="preserve">All Other (incl. Pump Storage)</t>
  </si>
  <si>
    <t xml:space="preserve">TOTAL</t>
  </si>
  <si>
    <t xml:space="preserve">PROJECTED ADDITIONS</t>
  </si>
  <si>
    <t xml:space="preserve">These are WSCC estimates for 2000 and 2001</t>
  </si>
  <si>
    <t xml:space="preserve">Year Projected</t>
  </si>
  <si>
    <t xml:space="preserve">How good have the WSCC's</t>
  </si>
  <si>
    <t xml:space="preserve">projections been?</t>
  </si>
  <si>
    <t xml:space="preserve">Actuals</t>
  </si>
  <si>
    <t xml:space="preserve">Year in   </t>
  </si>
  <si>
    <t xml:space="preserve">which   </t>
  </si>
  <si>
    <t xml:space="preserve">projection   </t>
  </si>
  <si>
    <t xml:space="preserve">was made  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</si>
</sst>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%;[RED]\(0.0%\)"/>
    <numFmt numFmtId="166" formatCode="[$-409]#,##0_);[RED]\(#,##0\)"/>
    <numFmt numFmtId="167" formatCode="0%"/>
    <numFmt numFmtId="168" formatCode="0.0%"/>
    <numFmt numFmtId="169" formatCode="#,##0.000_);[RED]\(#,##0.000\)"/>
    <numFmt numFmtId="170" formatCode="0.0%\);[RED]\(0.0%\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i val="true"/>
      <sz val="8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i val="true"/>
      <sz val="10"/>
      <name val="Arial"/>
      <family val="2"/>
    </font>
    <font>
      <sz val="10"/>
      <color rgb="FF99CCFF"/>
      <name val="Arial"/>
      <family val="2"/>
    </font>
    <font>
      <b val="true"/>
      <sz val="16"/>
      <color rgb="FF99CCFF"/>
      <name val="Arial"/>
      <family val="2"/>
    </font>
    <font>
      <b val="true"/>
      <sz val="10"/>
      <color rgb="FFFF0000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0000FF"/>
        <bgColor rgb="FF0000FF"/>
      </patternFill>
    </fill>
    <fill>
      <patternFill patternType="solid">
        <fgColor rgb="FF99CC00"/>
        <bgColor rgb="FFFFCC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false" applyAlignment="true" applyProtection="false">
      <alignment horizontal="center" vertical="center" textRotation="255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WSCC except California Loads and Resources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uFillTx/>
                <a:latin typeface="Arial"/>
              </a:rPr>
              <a:t>100% Nameplate Capacity vs. Peak Summer Load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7226505226316"/>
          <c:y val="0.139818434828706"/>
          <c:w val="0.916662725251856"/>
          <c:h val="0.770724272745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DATA!$C$62</c:f>
              <c:strCache>
                <c:ptCount val="1"/>
                <c:pt idx="0">
                  <c:v>All Other Capacity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DATA!$D$60:$J$60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DATA!$D$62:$J$62</c:f>
              <c:numCache>
                <c:formatCode>[$-409]#,##0_);[RED]\(#,##0\)</c:formatCode>
                <c:ptCount val="7"/>
                <c:pt idx="0">
                  <c:v>51155</c:v>
                </c:pt>
                <c:pt idx="1">
                  <c:v>51101</c:v>
                </c:pt>
                <c:pt idx="2">
                  <c:v>52846</c:v>
                </c:pt>
                <c:pt idx="3">
                  <c:v>53389</c:v>
                </c:pt>
                <c:pt idx="4">
                  <c:v>53772</c:v>
                </c:pt>
                <c:pt idx="5">
                  <c:v>55732</c:v>
                </c:pt>
                <c:pt idx="6">
                  <c:v>58931</c:v>
                </c:pt>
              </c:numCache>
            </c:numRef>
          </c:val>
        </c:ser>
        <c:ser>
          <c:idx val="1"/>
          <c:order val="1"/>
          <c:tx>
            <c:strRef>
              <c:f>DATA!$C$61</c:f>
              <c:strCache>
                <c:ptCount val="1"/>
                <c:pt idx="0">
                  <c:v>Hydro Capacity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DATA!$D$60:$J$60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DATA!$D$61:$J$61</c:f>
              <c:numCache>
                <c:formatCode>[$-409]#,##0_);[RED]\(#,##0\)</c:formatCode>
                <c:ptCount val="7"/>
                <c:pt idx="0">
                  <c:v>51372</c:v>
                </c:pt>
                <c:pt idx="1">
                  <c:v>51506</c:v>
                </c:pt>
                <c:pt idx="2">
                  <c:v>51500</c:v>
                </c:pt>
                <c:pt idx="3">
                  <c:v>51758</c:v>
                </c:pt>
                <c:pt idx="4">
                  <c:v>51976</c:v>
                </c:pt>
                <c:pt idx="5">
                  <c:v>51997</c:v>
                </c:pt>
                <c:pt idx="6">
                  <c:v>52047</c:v>
                </c:pt>
              </c:numCache>
            </c:numRef>
          </c:val>
        </c:ser>
        <c:gapWidth val="50"/>
        <c:overlap val="100"/>
        <c:axId val="59153895"/>
        <c:axId val="25798306"/>
      </c:barChart>
      <c:lineChart>
        <c:grouping val="stacked"/>
        <c:varyColors val="0"/>
        <c:ser>
          <c:idx val="2"/>
          <c:order val="2"/>
          <c:tx>
            <c:strRef>
              <c:f>DATA!$C$63</c:f>
              <c:strCache>
                <c:ptCount val="1"/>
                <c:pt idx="0">
                  <c:v>Peak Load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</a:custDash>
              <a:round/>
            </a:ln>
          </c:spPr>
          <c:marker>
            <c:symbol val="diamond"/>
            <c:size val="10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DATA!$D$60:$J$60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DATA!$D$63:$J$63</c:f>
              <c:numCache>
                <c:formatCode>[$-409]#,##0_);[RED]\(#,##0\)</c:formatCode>
                <c:ptCount val="7"/>
                <c:pt idx="0">
                  <c:v>64876</c:v>
                </c:pt>
                <c:pt idx="1">
                  <c:v>68615</c:v>
                </c:pt>
                <c:pt idx="2">
                  <c:v>71718</c:v>
                </c:pt>
                <c:pt idx="3">
                  <c:v>76239</c:v>
                </c:pt>
                <c:pt idx="4">
                  <c:v>75913</c:v>
                </c:pt>
                <c:pt idx="5">
                  <c:v>78332</c:v>
                </c:pt>
                <c:pt idx="6">
                  <c:v>80509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153895"/>
        <c:axId val="25798306"/>
      </c:lineChart>
      <c:lineChart>
        <c:grouping val="stacked"/>
        <c:varyColors val="0"/>
        <c:ser>
          <c:idx val="3"/>
          <c:order val="3"/>
          <c:tx>
            <c:strRef>
              <c:f>DATA!$C$64</c:f>
              <c:strCache>
                <c:ptCount val="1"/>
                <c:pt idx="0">
                  <c:v>Reserve Margin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square"/>
            <c:size val="10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DATA!$D$60:$J$60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DATA!$D$64:$J$64</c:f>
              <c:numCache>
                <c:formatCode>0.0%</c:formatCode>
                <c:ptCount val="7"/>
                <c:pt idx="0">
                  <c:v>0.580353289351995</c:v>
                </c:pt>
                <c:pt idx="1">
                  <c:v>0.495401880055381</c:v>
                </c:pt>
                <c:pt idx="2">
                  <c:v>0.454948548481553</c:v>
                </c:pt>
                <c:pt idx="3">
                  <c:v>0.379176012277181</c:v>
                </c:pt>
                <c:pt idx="4">
                  <c:v>0.393015689012422</c:v>
                </c:pt>
                <c:pt idx="5">
                  <c:v>0.375287238931727</c:v>
                </c:pt>
                <c:pt idx="6">
                  <c:v>0.37845458271746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559246"/>
        <c:axId val="46414844"/>
      </c:lineChart>
      <c:catAx>
        <c:axId val="59153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798306"/>
        <c:crossesAt val="0"/>
        <c:auto val="1"/>
        <c:lblAlgn val="ctr"/>
        <c:lblOffset val="100"/>
        <c:noMultiLvlLbl val="0"/>
      </c:catAx>
      <c:valAx>
        <c:axId val="25798306"/>
        <c:scaling>
          <c:orientation val="minMax"/>
          <c:max val="1500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153895"/>
        <c:crossesAt val="1"/>
        <c:crossBetween val="midCat"/>
        <c:majorUnit val="25000"/>
      </c:valAx>
      <c:catAx>
        <c:axId val="2055924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414844"/>
        <c:auto val="1"/>
        <c:lblAlgn val="ctr"/>
        <c:lblOffset val="100"/>
        <c:noMultiLvlLbl val="0"/>
      </c:catAx>
      <c:valAx>
        <c:axId val="4641484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Reserve Margin 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;[RED]\(0.0%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559246"/>
        <c:crosses val="max"/>
        <c:crossBetween val="midCat"/>
        <c:majorUnit val="0.2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6024216052594"/>
          <c:y val="0.18938440129878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WSCC Energy Deficit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uFillTx/>
                <a:latin typeface="Arial"/>
              </a:rPr>
              <a:t>Cumulative Net Change in Capacity and Average Load Since 1995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1956202998628"/>
          <c:y val="0.144456961102644"/>
          <c:w val="0.906399281085939"/>
          <c:h val="0.78232058843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DATA!$C$23</c:f>
              <c:strCache>
                <c:ptCount val="1"/>
                <c:pt idx="0">
                  <c:v>Cumulative New Capacity Additions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DATA!$E$22:$J$22</c:f>
              <c:strCache>
                <c:ptCount val="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</c:strCache>
            </c:strRef>
          </c:cat>
          <c:val>
            <c:numRef>
              <c:f>DATA!$E$23:$J$23</c:f>
              <c:numCache>
                <c:formatCode>[$-409]#,##0_);[RED]\(#,##0\)</c:formatCode>
                <c:ptCount val="6"/>
                <c:pt idx="0">
                  <c:v>1287</c:v>
                </c:pt>
                <c:pt idx="1">
                  <c:v>1565</c:v>
                </c:pt>
                <c:pt idx="2">
                  <c:v>2048</c:v>
                </c:pt>
                <c:pt idx="3">
                  <c:v>2154</c:v>
                </c:pt>
                <c:pt idx="4">
                  <c:v>4012</c:v>
                </c:pt>
                <c:pt idx="5">
                  <c:v>8151</c:v>
                </c:pt>
              </c:numCache>
            </c:numRef>
          </c:val>
        </c:ser>
        <c:ser>
          <c:idx val="1"/>
          <c:order val="1"/>
          <c:tx>
            <c:strRef>
              <c:f>DATA!$C$24</c:f>
              <c:strCache>
                <c:ptCount val="1"/>
                <c:pt idx="0">
                  <c:v>Cumulative New Load (MWa)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DATA!$E$22:$J$22</c:f>
              <c:strCache>
                <c:ptCount val="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</c:strCache>
            </c:strRef>
          </c:cat>
          <c:val>
            <c:numRef>
              <c:f>DATA!$E$24:$J$24</c:f>
              <c:numCache>
                <c:formatCode>[$-409]#,##0_);[RED]\(#,##0\)</c:formatCode>
                <c:ptCount val="6"/>
                <c:pt idx="0">
                  <c:v>3610.08652094718</c:v>
                </c:pt>
                <c:pt idx="1">
                  <c:v>5096.15958030791</c:v>
                </c:pt>
                <c:pt idx="2">
                  <c:v>6041.13674925768</c:v>
                </c:pt>
                <c:pt idx="3">
                  <c:v>7358.26003692891</c:v>
                </c:pt>
                <c:pt idx="4">
                  <c:v>10470.8511116102</c:v>
                </c:pt>
                <c:pt idx="5">
                  <c:v>12220.3944906056</c:v>
                </c:pt>
              </c:numCache>
            </c:numRef>
          </c:val>
        </c:ser>
        <c:gapWidth val="70"/>
        <c:overlap val="70"/>
        <c:axId val="58419446"/>
        <c:axId val="43646234"/>
      </c:barChart>
      <c:lineChart>
        <c:grouping val="standard"/>
        <c:varyColors val="0"/>
        <c:ser>
          <c:idx val="2"/>
          <c:order val="2"/>
          <c:tx>
            <c:strRef>
              <c:f>DATA!$C$25</c:f>
              <c:strCache>
                <c:ptCount val="1"/>
                <c:pt idx="0">
                  <c:v>Energy Deficit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diamond"/>
            <c:size val="10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DATA!$E$22:$J$22</c:f>
              <c:strCache>
                <c:ptCount val="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</c:strCache>
            </c:strRef>
          </c:cat>
          <c:val>
            <c:numRef>
              <c:f>DATA!$E$25:$J$25</c:f>
              <c:numCache>
                <c:formatCode>[$-409]#,##0_);[RED]\(#,##0\)</c:formatCode>
                <c:ptCount val="6"/>
                <c:pt idx="0">
                  <c:v>2323.08652094718</c:v>
                </c:pt>
                <c:pt idx="1">
                  <c:v>3531.15958030791</c:v>
                </c:pt>
                <c:pt idx="2">
                  <c:v>3993.13674925768</c:v>
                </c:pt>
                <c:pt idx="3">
                  <c:v>5204.26003692891</c:v>
                </c:pt>
                <c:pt idx="4">
                  <c:v>6458.85111161015</c:v>
                </c:pt>
                <c:pt idx="5">
                  <c:v>4069.39449060558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419446"/>
        <c:axId val="43646234"/>
      </c:lineChart>
      <c:catAx>
        <c:axId val="5841944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646234"/>
        <c:crossesAt val="0"/>
        <c:auto val="1"/>
        <c:lblAlgn val="ctr"/>
        <c:lblOffset val="100"/>
        <c:noMultiLvlLbl val="0"/>
      </c:catAx>
      <c:valAx>
        <c:axId val="4364623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[RED]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41944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37539611218843"/>
          <c:y val="0.199059041813001"/>
          <c:w val="0.363761055668543"/>
          <c:h val="0.1355774965211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WSCC except California Loads and Resources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uFillTx/>
                <a:latin typeface="Arial"/>
              </a:rPr>
              <a:t> Realistic Hydro and Thermal Capacity vs. Peak Summer Load</a:t>
            </a:r>
            <a:r>
              <a:rPr b="0" sz="800" strike="noStrike" u="none">
                <a:uFillTx/>
                <a:latin typeface="Arial"/>
              </a:rPr>
              <a:t>
Assume hydro sustained peaking capability = 85% nameplate in normal/wet years, 75% in 2001
Assume actual thermal capacity = 95% nameplate</a:t>
            </a:r>
          </a:p>
        </c:rich>
      </c:tx>
      <c:overlay val="0"/>
      <c:spPr>
        <a:solidFill>
          <a:srgbClr val="ffffff"/>
        </a:solidFill>
        <a:ln w="0">
          <a:noFill/>
        </a:ln>
      </c:spPr>
    </c:title>
    <c:autoTitleDeleted val="0"/>
    <c:plotArea>
      <c:layout>
        <c:manualLayout>
          <c:xMode val="edge"/>
          <c:yMode val="edge"/>
          <c:x val="0.0477226505226316"/>
          <c:y val="0.140083493472931"/>
          <c:w val="0.916662725251856"/>
          <c:h val="0.770724272745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DATA!$C$68</c:f>
              <c:strCache>
                <c:ptCount val="1"/>
                <c:pt idx="0">
                  <c:v>All Other Capacity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DATA!$D$66:$J$66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DATA!$D$68:$J$68</c:f>
              <c:numCache>
                <c:formatCode>[$-409]#,##0_);[RED]\(#,##0\)</c:formatCode>
                <c:ptCount val="7"/>
                <c:pt idx="0">
                  <c:v>48597.25</c:v>
                </c:pt>
                <c:pt idx="1">
                  <c:v>48545.95</c:v>
                </c:pt>
                <c:pt idx="2">
                  <c:v>50203.7</c:v>
                </c:pt>
                <c:pt idx="3">
                  <c:v>50719.55</c:v>
                </c:pt>
                <c:pt idx="4">
                  <c:v>51083.4</c:v>
                </c:pt>
                <c:pt idx="5">
                  <c:v>52945.4</c:v>
                </c:pt>
                <c:pt idx="6">
                  <c:v>55984.45</c:v>
                </c:pt>
              </c:numCache>
            </c:numRef>
          </c:val>
        </c:ser>
        <c:ser>
          <c:idx val="1"/>
          <c:order val="1"/>
          <c:tx>
            <c:strRef>
              <c:f>DATA!$C$67</c:f>
              <c:strCache>
                <c:ptCount val="1"/>
                <c:pt idx="0">
                  <c:v>Hydro Capacity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DATA!$D$66:$J$66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DATA!$D$67:$J$67</c:f>
              <c:numCache>
                <c:formatCode>[$-409]#,##0_);[RED]\(#,##0\)</c:formatCode>
                <c:ptCount val="7"/>
                <c:pt idx="0">
                  <c:v>43666.2</c:v>
                </c:pt>
                <c:pt idx="1">
                  <c:v>43780.1</c:v>
                </c:pt>
                <c:pt idx="2">
                  <c:v>43775</c:v>
                </c:pt>
                <c:pt idx="3">
                  <c:v>43994.3</c:v>
                </c:pt>
                <c:pt idx="4">
                  <c:v>44179.6</c:v>
                </c:pt>
                <c:pt idx="5">
                  <c:v>44197.45</c:v>
                </c:pt>
                <c:pt idx="6">
                  <c:v>39035.25</c:v>
                </c:pt>
              </c:numCache>
            </c:numRef>
          </c:val>
        </c:ser>
        <c:gapWidth val="50"/>
        <c:overlap val="100"/>
        <c:axId val="97393138"/>
        <c:axId val="46221959"/>
      </c:barChart>
      <c:lineChart>
        <c:grouping val="stacked"/>
        <c:varyColors val="0"/>
        <c:ser>
          <c:idx val="2"/>
          <c:order val="2"/>
          <c:tx>
            <c:strRef>
              <c:f>DATA!$C$69</c:f>
              <c:strCache>
                <c:ptCount val="1"/>
                <c:pt idx="0">
                  <c:v>Peak Load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</a:custDash>
              <a:round/>
            </a:ln>
          </c:spPr>
          <c:marker>
            <c:symbol val="diamond"/>
            <c:size val="10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DATA!$D$66:$J$66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DATA!$D$69:$J$69</c:f>
              <c:numCache>
                <c:formatCode>[$-409]#,##0_);[RED]\(#,##0\)</c:formatCode>
                <c:ptCount val="7"/>
                <c:pt idx="0">
                  <c:v>64876</c:v>
                </c:pt>
                <c:pt idx="1">
                  <c:v>68615</c:v>
                </c:pt>
                <c:pt idx="2">
                  <c:v>71718</c:v>
                </c:pt>
                <c:pt idx="3">
                  <c:v>76239</c:v>
                </c:pt>
                <c:pt idx="4">
                  <c:v>75913</c:v>
                </c:pt>
                <c:pt idx="5">
                  <c:v>78332</c:v>
                </c:pt>
                <c:pt idx="6">
                  <c:v>80509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393138"/>
        <c:axId val="46221959"/>
      </c:lineChart>
      <c:lineChart>
        <c:grouping val="stacked"/>
        <c:varyColors val="0"/>
        <c:ser>
          <c:idx val="3"/>
          <c:order val="3"/>
          <c:tx>
            <c:strRef>
              <c:f>DATA!$C$70</c:f>
              <c:strCache>
                <c:ptCount val="1"/>
                <c:pt idx="0">
                  <c:v>Reserve Margin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square"/>
            <c:size val="10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DATA!$D$66:$J$66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DATA!$D$70:$J$70</c:f>
              <c:numCache>
                <c:formatCode>0.0%</c:formatCode>
                <c:ptCount val="7"/>
                <c:pt idx="0">
                  <c:v>0.42215071829336</c:v>
                </c:pt>
                <c:pt idx="1">
                  <c:v>0.34556656707717</c:v>
                </c:pt>
                <c:pt idx="2">
                  <c:v>0.31039209124627</c:v>
                </c:pt>
                <c:pt idx="3">
                  <c:v>0.242328073558153</c:v>
                </c:pt>
                <c:pt idx="4">
                  <c:v>0.254897053205643</c:v>
                </c:pt>
                <c:pt idx="5">
                  <c:v>0.240142598171884</c:v>
                </c:pt>
                <c:pt idx="6">
                  <c:v>0.180236992137525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542961"/>
        <c:axId val="28477972"/>
      </c:lineChart>
      <c:catAx>
        <c:axId val="973931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221959"/>
        <c:crossesAt val="0"/>
        <c:auto val="1"/>
        <c:lblAlgn val="ctr"/>
        <c:lblOffset val="100"/>
        <c:noMultiLvlLbl val="0"/>
      </c:catAx>
      <c:valAx>
        <c:axId val="46221959"/>
        <c:scaling>
          <c:orientation val="minMax"/>
          <c:max val="1500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393138"/>
        <c:crossesAt val="1"/>
        <c:crossBetween val="midCat"/>
        <c:majorUnit val="25000"/>
      </c:valAx>
      <c:catAx>
        <c:axId val="9854296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477972"/>
        <c:auto val="1"/>
        <c:lblAlgn val="ctr"/>
        <c:lblOffset val="100"/>
        <c:noMultiLvlLbl val="0"/>
      </c:catAx>
      <c:valAx>
        <c:axId val="28477972"/>
        <c:scaling>
          <c:orientation val="minMax"/>
          <c:max val="1"/>
          <c:min val="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Reserve Margin 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;[RED]\(0.0%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542961"/>
        <c:crosses val="max"/>
        <c:crossBetween val="midCat"/>
        <c:majorUnit val="0.2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6024216052594"/>
          <c:y val="0.19230004638526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California Loads and Resources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uFillTx/>
                <a:latin typeface="Arial"/>
              </a:rPr>
              <a:t>100% Nameplate Capacity vs. Peak Summer Load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7226505226316"/>
          <c:y val="0.139818434828706"/>
          <c:w val="0.916662725251856"/>
          <c:h val="0.770724272745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DATA!$C$50</c:f>
              <c:strCache>
                <c:ptCount val="1"/>
                <c:pt idx="0">
                  <c:v>All Other Capacity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DATA!$D$48:$J$48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DATA!$D$50:$J$50</c:f>
              <c:numCache>
                <c:formatCode>[$-409]#,##0_);[RED]\(#,##0\)</c:formatCode>
                <c:ptCount val="7"/>
                <c:pt idx="0">
                  <c:v>45431</c:v>
                </c:pt>
                <c:pt idx="1">
                  <c:v>45753</c:v>
                </c:pt>
                <c:pt idx="2">
                  <c:v>44003</c:v>
                </c:pt>
                <c:pt idx="3">
                  <c:v>43966</c:v>
                </c:pt>
                <c:pt idx="4">
                  <c:v>43448</c:v>
                </c:pt>
                <c:pt idx="5">
                  <c:v>43448</c:v>
                </c:pt>
                <c:pt idx="6">
                  <c:v>44367</c:v>
                </c:pt>
              </c:numCache>
            </c:numRef>
          </c:val>
        </c:ser>
        <c:ser>
          <c:idx val="1"/>
          <c:order val="1"/>
          <c:tx>
            <c:strRef>
              <c:f>DATA!$C$49</c:f>
              <c:strCache>
                <c:ptCount val="1"/>
                <c:pt idx="0">
                  <c:v>Hydro Capacity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DATA!$D$48:$J$48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DATA!$D$49:$J$49</c:f>
              <c:numCache>
                <c:formatCode>[$-409]#,##0_);[RED]\(#,##0\)</c:formatCode>
                <c:ptCount val="7"/>
                <c:pt idx="0">
                  <c:v>9411</c:v>
                </c:pt>
                <c:pt idx="1">
                  <c:v>9560</c:v>
                </c:pt>
                <c:pt idx="2">
                  <c:v>9543</c:v>
                </c:pt>
                <c:pt idx="3">
                  <c:v>9526</c:v>
                </c:pt>
                <c:pt idx="4">
                  <c:v>9206</c:v>
                </c:pt>
                <c:pt idx="5">
                  <c:v>9206</c:v>
                </c:pt>
                <c:pt idx="6">
                  <c:v>9206</c:v>
                </c:pt>
              </c:numCache>
            </c:numRef>
          </c:val>
        </c:ser>
        <c:gapWidth val="50"/>
        <c:overlap val="100"/>
        <c:axId val="81755344"/>
        <c:axId val="40827752"/>
      </c:barChart>
      <c:lineChart>
        <c:grouping val="stacked"/>
        <c:varyColors val="0"/>
        <c:ser>
          <c:idx val="2"/>
          <c:order val="2"/>
          <c:tx>
            <c:strRef>
              <c:f>DATA!$C$51</c:f>
              <c:strCache>
                <c:ptCount val="1"/>
                <c:pt idx="0">
                  <c:v>Peak Load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</a:custDash>
              <a:round/>
            </a:ln>
          </c:spPr>
          <c:marker>
            <c:symbol val="diamond"/>
            <c:size val="10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DATA!$D$48:$J$48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DATA!$D$51:$J$51</c:f>
              <c:numCache>
                <c:formatCode>[$-409]#,##0_);[RED]\(#,##0\)</c:formatCode>
                <c:ptCount val="7"/>
                <c:pt idx="0">
                  <c:v>52510</c:v>
                </c:pt>
                <c:pt idx="1">
                  <c:v>54760</c:v>
                </c:pt>
                <c:pt idx="2">
                  <c:v>53217</c:v>
                </c:pt>
                <c:pt idx="3">
                  <c:v>55441</c:v>
                </c:pt>
                <c:pt idx="4">
                  <c:v>53146</c:v>
                </c:pt>
                <c:pt idx="5">
                  <c:v>51213</c:v>
                </c:pt>
                <c:pt idx="6">
                  <c:v>54819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1755344"/>
        <c:axId val="40827752"/>
      </c:lineChart>
      <c:lineChart>
        <c:grouping val="stacked"/>
        <c:varyColors val="0"/>
        <c:ser>
          <c:idx val="3"/>
          <c:order val="3"/>
          <c:tx>
            <c:strRef>
              <c:f>DATA!$C$52</c:f>
              <c:strCache>
                <c:ptCount val="1"/>
                <c:pt idx="0">
                  <c:v>Reserve Margin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square"/>
            <c:size val="10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DATA!$D$48:$J$48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DATA!$D$52:$J$52</c:f>
              <c:numCache>
                <c:formatCode>0.0%</c:formatCode>
                <c:ptCount val="7"/>
                <c:pt idx="0">
                  <c:v>0.0444105884593411</c:v>
                </c:pt>
                <c:pt idx="1">
                  <c:v>0.0100986121256392</c:v>
                </c:pt>
                <c:pt idx="2">
                  <c:v>0.00618223500009396</c:v>
                </c:pt>
                <c:pt idx="3">
                  <c:v>-0.0351544885554013</c:v>
                </c:pt>
                <c:pt idx="4">
                  <c:v>-0.00925751702856281</c:v>
                </c:pt>
                <c:pt idx="5">
                  <c:v>0.0281373869915842</c:v>
                </c:pt>
                <c:pt idx="6">
                  <c:v>-0.0227293456648242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296084"/>
        <c:axId val="52708138"/>
      </c:lineChart>
      <c:catAx>
        <c:axId val="8175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827752"/>
        <c:crossesAt val="0"/>
        <c:auto val="1"/>
        <c:lblAlgn val="ctr"/>
        <c:lblOffset val="100"/>
        <c:noMultiLvlLbl val="0"/>
      </c:catAx>
      <c:valAx>
        <c:axId val="40827752"/>
        <c:scaling>
          <c:orientation val="minMax"/>
          <c:max val="800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755344"/>
        <c:crossesAt val="1"/>
        <c:crossBetween val="midCat"/>
        <c:majorUnit val="20000"/>
      </c:valAx>
      <c:catAx>
        <c:axId val="5629608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708138"/>
        <c:auto val="1"/>
        <c:lblAlgn val="ctr"/>
        <c:lblOffset val="100"/>
        <c:noMultiLvlLbl val="0"/>
      </c:catAx>
      <c:valAx>
        <c:axId val="52708138"/>
        <c:scaling>
          <c:orientation val="minMax"/>
          <c:max val="0.4"/>
          <c:min val="-0.2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Reserve Margin 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;[RED]\(0.0%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296084"/>
        <c:crosses val="max"/>
        <c:crossBetween val="midCat"/>
        <c:majorUnit val="0.1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1389112235728"/>
          <c:y val="0.18938440129878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California Loads and Resources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uFillTx/>
                <a:latin typeface="Arial"/>
              </a:rPr>
              <a:t> Realistic Hydro and Thermal Capacity vs. Peak Summer Load</a:t>
            </a:r>
            <a:r>
              <a:rPr b="0" sz="800" strike="noStrike" u="none">
                <a:uFillTx/>
                <a:latin typeface="Arial"/>
              </a:rPr>
              <a:t>
Assume hydro sustained peaking capability = 85% nameplate in normal/wet years, 75% in 2001
Assume actual thermal capacity = 95% nameplate</a:t>
            </a:r>
          </a:p>
        </c:rich>
      </c:tx>
      <c:overlay val="0"/>
      <c:spPr>
        <a:solidFill>
          <a:srgbClr val="ffffff"/>
        </a:solidFill>
        <a:ln w="0">
          <a:noFill/>
        </a:ln>
      </c:spPr>
    </c:title>
    <c:autoTitleDeleted val="0"/>
    <c:plotArea>
      <c:layout>
        <c:manualLayout>
          <c:xMode val="edge"/>
          <c:yMode val="edge"/>
          <c:x val="0.0477226505226316"/>
          <c:y val="0.140083493472931"/>
          <c:w val="0.916662725251856"/>
          <c:h val="0.770724272745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DATA!$C$56</c:f>
              <c:strCache>
                <c:ptCount val="1"/>
                <c:pt idx="0">
                  <c:v>All Other Capacity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DATA!$D$54:$J$54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DATA!$D$56:$J$56</c:f>
              <c:numCache>
                <c:formatCode>[$-409]#,##0_);[RED]\(#,##0\)</c:formatCode>
                <c:ptCount val="7"/>
                <c:pt idx="0">
                  <c:v>43159.45</c:v>
                </c:pt>
                <c:pt idx="1">
                  <c:v>43465.35</c:v>
                </c:pt>
                <c:pt idx="2">
                  <c:v>41802.85</c:v>
                </c:pt>
                <c:pt idx="3">
                  <c:v>41767.7</c:v>
                </c:pt>
                <c:pt idx="4">
                  <c:v>41275.6</c:v>
                </c:pt>
                <c:pt idx="5">
                  <c:v>41275.6</c:v>
                </c:pt>
                <c:pt idx="6">
                  <c:v>42148.65</c:v>
                </c:pt>
              </c:numCache>
            </c:numRef>
          </c:val>
        </c:ser>
        <c:ser>
          <c:idx val="1"/>
          <c:order val="1"/>
          <c:tx>
            <c:strRef>
              <c:f>DATA!$C$55</c:f>
              <c:strCache>
                <c:ptCount val="1"/>
                <c:pt idx="0">
                  <c:v>Hydro Capacity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DATA!$D$54:$J$54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DATA!$D$55:$J$55</c:f>
              <c:numCache>
                <c:formatCode>[$-409]#,##0_);[RED]\(#,##0\)</c:formatCode>
                <c:ptCount val="7"/>
                <c:pt idx="0">
                  <c:v>7999.35</c:v>
                </c:pt>
                <c:pt idx="1">
                  <c:v>8126</c:v>
                </c:pt>
                <c:pt idx="2">
                  <c:v>8111.55</c:v>
                </c:pt>
                <c:pt idx="3">
                  <c:v>8097.1</c:v>
                </c:pt>
                <c:pt idx="4">
                  <c:v>7825.1</c:v>
                </c:pt>
                <c:pt idx="5">
                  <c:v>7825.1</c:v>
                </c:pt>
                <c:pt idx="6">
                  <c:v>6904.5</c:v>
                </c:pt>
              </c:numCache>
            </c:numRef>
          </c:val>
        </c:ser>
        <c:gapWidth val="50"/>
        <c:overlap val="100"/>
        <c:axId val="14593744"/>
        <c:axId val="19978721"/>
      </c:barChart>
      <c:lineChart>
        <c:grouping val="stacked"/>
        <c:varyColors val="0"/>
        <c:ser>
          <c:idx val="2"/>
          <c:order val="2"/>
          <c:tx>
            <c:strRef>
              <c:f>DATA!$C$57</c:f>
              <c:strCache>
                <c:ptCount val="1"/>
                <c:pt idx="0">
                  <c:v>Peak Load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</a:custDash>
              <a:round/>
            </a:ln>
          </c:spPr>
          <c:marker>
            <c:symbol val="diamond"/>
            <c:size val="10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DATA!$D$54:$J$54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DATA!$D$57:$J$57</c:f>
              <c:numCache>
                <c:formatCode>[$-409]#,##0_);[RED]\(#,##0\)</c:formatCode>
                <c:ptCount val="7"/>
                <c:pt idx="0">
                  <c:v>52510</c:v>
                </c:pt>
                <c:pt idx="1">
                  <c:v>54760</c:v>
                </c:pt>
                <c:pt idx="2">
                  <c:v>53217</c:v>
                </c:pt>
                <c:pt idx="3">
                  <c:v>55441</c:v>
                </c:pt>
                <c:pt idx="4">
                  <c:v>53146</c:v>
                </c:pt>
                <c:pt idx="5">
                  <c:v>51213</c:v>
                </c:pt>
                <c:pt idx="6">
                  <c:v>54819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593744"/>
        <c:axId val="19978721"/>
      </c:lineChart>
      <c:lineChart>
        <c:grouping val="stacked"/>
        <c:varyColors val="0"/>
        <c:ser>
          <c:idx val="3"/>
          <c:order val="3"/>
          <c:tx>
            <c:strRef>
              <c:f>DATA!$C$58</c:f>
              <c:strCache>
                <c:ptCount val="1"/>
                <c:pt idx="0">
                  <c:v>Reserve Margin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square"/>
            <c:size val="10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DATA!$D$54:$J$54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DATA!$D$58:$J$58</c:f>
              <c:numCache>
                <c:formatCode>0.0%</c:formatCode>
                <c:ptCount val="7"/>
                <c:pt idx="0">
                  <c:v>-0.0257322414778138</c:v>
                </c:pt>
                <c:pt idx="1">
                  <c:v>-0.0578643170197225</c:v>
                </c:pt>
                <c:pt idx="2">
                  <c:v>-0.0620591164477516</c:v>
                </c:pt>
                <c:pt idx="3">
                  <c:v>-0.100578993885392</c:v>
                </c:pt>
                <c:pt idx="4">
                  <c:v>-0.0761167350317993</c:v>
                </c:pt>
                <c:pt idx="5">
                  <c:v>-0.041245386913479</c:v>
                </c:pt>
                <c:pt idx="6">
                  <c:v>-0.105179773436217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864156"/>
        <c:axId val="89917867"/>
      </c:lineChart>
      <c:catAx>
        <c:axId val="1459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978721"/>
        <c:crossesAt val="0"/>
        <c:auto val="1"/>
        <c:lblAlgn val="ctr"/>
        <c:lblOffset val="100"/>
        <c:noMultiLvlLbl val="0"/>
      </c:catAx>
      <c:valAx>
        <c:axId val="19978721"/>
        <c:scaling>
          <c:orientation val="minMax"/>
          <c:max val="800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593744"/>
        <c:crossesAt val="1"/>
        <c:crossBetween val="midCat"/>
        <c:majorUnit val="20000"/>
      </c:valAx>
      <c:catAx>
        <c:axId val="2886415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917867"/>
        <c:auto val="1"/>
        <c:lblAlgn val="ctr"/>
        <c:lblOffset val="100"/>
        <c:noMultiLvlLbl val="0"/>
      </c:catAx>
      <c:valAx>
        <c:axId val="89917867"/>
        <c:scaling>
          <c:orientation val="minMax"/>
          <c:max val="0.4"/>
          <c:min val="-0.2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Reserve Margin 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;[RED]\(0.0%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864156"/>
        <c:crosses val="max"/>
        <c:crossBetween val="midCat"/>
        <c:majorUnit val="0.1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1389112235728"/>
          <c:y val="0.19230004638526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WSCC Loads and Resources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uFillTx/>
                <a:latin typeface="Arial"/>
              </a:rPr>
              <a:t>100% Nameplate Capacity vs. Peak Summer Load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7226505226316"/>
          <c:y val="0.139818434828706"/>
          <c:w val="0.916662725251856"/>
          <c:h val="0.770724272745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DATA!$C$38</c:f>
              <c:strCache>
                <c:ptCount val="1"/>
                <c:pt idx="0">
                  <c:v>All Other Capacity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DATA!$D$36:$J$36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DATA!$D$38:$J$38</c:f>
              <c:numCache>
                <c:formatCode>[$-409]#,##0_);[RED]\(#,##0\)</c:formatCode>
                <c:ptCount val="7"/>
                <c:pt idx="0">
                  <c:v>96586</c:v>
                </c:pt>
                <c:pt idx="1">
                  <c:v>96854</c:v>
                </c:pt>
                <c:pt idx="2">
                  <c:v>96849</c:v>
                </c:pt>
                <c:pt idx="3">
                  <c:v>97355</c:v>
                </c:pt>
                <c:pt idx="4">
                  <c:v>97220</c:v>
                </c:pt>
                <c:pt idx="5">
                  <c:v>99180</c:v>
                </c:pt>
                <c:pt idx="6">
                  <c:v>103298</c:v>
                </c:pt>
              </c:numCache>
            </c:numRef>
          </c:val>
        </c:ser>
        <c:ser>
          <c:idx val="1"/>
          <c:order val="1"/>
          <c:tx>
            <c:strRef>
              <c:f>DATA!$C$37</c:f>
              <c:strCache>
                <c:ptCount val="1"/>
                <c:pt idx="0">
                  <c:v>Hydro Capacity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DATA!$D$36:$J$36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DATA!$D$37:$J$37</c:f>
              <c:numCache>
                <c:formatCode>[$-409]#,##0_);[RED]\(#,##0\)</c:formatCode>
                <c:ptCount val="7"/>
                <c:pt idx="0">
                  <c:v>60783</c:v>
                </c:pt>
                <c:pt idx="1">
                  <c:v>61066</c:v>
                </c:pt>
                <c:pt idx="2">
                  <c:v>61043</c:v>
                </c:pt>
                <c:pt idx="3">
                  <c:v>61284</c:v>
                </c:pt>
                <c:pt idx="4">
                  <c:v>61182</c:v>
                </c:pt>
                <c:pt idx="5">
                  <c:v>61203</c:v>
                </c:pt>
                <c:pt idx="6">
                  <c:v>61253</c:v>
                </c:pt>
              </c:numCache>
            </c:numRef>
          </c:val>
        </c:ser>
        <c:gapWidth val="50"/>
        <c:overlap val="100"/>
        <c:axId val="72284116"/>
        <c:axId val="26434757"/>
      </c:barChart>
      <c:lineChart>
        <c:grouping val="stacked"/>
        <c:varyColors val="0"/>
        <c:ser>
          <c:idx val="2"/>
          <c:order val="2"/>
          <c:tx>
            <c:strRef>
              <c:f>DATA!$C$39</c:f>
              <c:strCache>
                <c:ptCount val="1"/>
                <c:pt idx="0">
                  <c:v>Peak Load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</a:custDash>
              <a:round/>
            </a:ln>
          </c:spPr>
          <c:marker>
            <c:symbol val="diamond"/>
            <c:size val="10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DATA!$D$36:$J$36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DATA!$D$39:$J$39</c:f>
              <c:numCache>
                <c:formatCode>[$-409]#,##0_);[RED]\(#,##0\)</c:formatCode>
                <c:ptCount val="7"/>
                <c:pt idx="0">
                  <c:v>117386</c:v>
                </c:pt>
                <c:pt idx="1">
                  <c:v>123375</c:v>
                </c:pt>
                <c:pt idx="2">
                  <c:v>124935</c:v>
                </c:pt>
                <c:pt idx="3">
                  <c:v>131680</c:v>
                </c:pt>
                <c:pt idx="4">
                  <c:v>129059</c:v>
                </c:pt>
                <c:pt idx="5">
                  <c:v>129545</c:v>
                </c:pt>
                <c:pt idx="6">
                  <c:v>135328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284116"/>
        <c:axId val="26434757"/>
      </c:lineChart>
      <c:lineChart>
        <c:grouping val="stacked"/>
        <c:varyColors val="0"/>
        <c:ser>
          <c:idx val="3"/>
          <c:order val="3"/>
          <c:tx>
            <c:strRef>
              <c:f>DATA!$C$40</c:f>
              <c:strCache>
                <c:ptCount val="1"/>
                <c:pt idx="0">
                  <c:v>Reserve Margin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square"/>
            <c:size val="10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DATA!$D$36:$J$36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DATA!$D$40:$J$40</c:f>
              <c:numCache>
                <c:formatCode>0.0%</c:formatCode>
                <c:ptCount val="7"/>
                <c:pt idx="0">
                  <c:v>0.340611316511339</c:v>
                </c:pt>
                <c:pt idx="1">
                  <c:v>0.28</c:v>
                </c:pt>
                <c:pt idx="2">
                  <c:v>0.263793172449674</c:v>
                </c:pt>
                <c:pt idx="3">
                  <c:v>0.204731166464156</c:v>
                </c:pt>
                <c:pt idx="4">
                  <c:v>0.227361129405931</c:v>
                </c:pt>
                <c:pt idx="5">
                  <c:v>0.238048554556332</c:v>
                </c:pt>
                <c:pt idx="6">
                  <c:v>0.215942007566801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138406"/>
        <c:axId val="22260538"/>
      </c:lineChart>
      <c:catAx>
        <c:axId val="722841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434757"/>
        <c:crossesAt val="0"/>
        <c:auto val="1"/>
        <c:lblAlgn val="ctr"/>
        <c:lblOffset val="100"/>
        <c:noMultiLvlLbl val="0"/>
      </c:catAx>
      <c:valAx>
        <c:axId val="26434757"/>
        <c:scaling>
          <c:orientation val="minMax"/>
          <c:max val="2400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284116"/>
        <c:crossesAt val="1"/>
        <c:crossBetween val="midCat"/>
        <c:majorUnit val="40000"/>
      </c:valAx>
      <c:catAx>
        <c:axId val="3213840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260538"/>
        <c:auto val="1"/>
        <c:lblAlgn val="ctr"/>
        <c:lblOffset val="100"/>
        <c:noMultiLvlLbl val="0"/>
      </c:catAx>
      <c:valAx>
        <c:axId val="22260538"/>
        <c:scaling>
          <c:orientation val="minMax"/>
          <c:max val="0.6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Reserve Margin 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138406"/>
        <c:crosses val="max"/>
        <c:crossBetween val="midCat"/>
        <c:majorUnit val="0.1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0213309369531"/>
          <c:y val="0.18938440129878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WSCC Loads and Resources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uFillTx/>
                <a:latin typeface="Arial"/>
              </a:rPr>
              <a:t> Realistic Hydro and Thermal Capacity vs. Peak Summer Load</a:t>
            </a:r>
            <a:r>
              <a:rPr b="0" sz="800" strike="noStrike" u="none">
                <a:uFillTx/>
                <a:latin typeface="Arial"/>
              </a:rPr>
              <a:t>
Assume hydro sustained peaking capability = 85% nameplate in normal/wet years, 75% in 2001
Assume actual thermal capacity = 95% nameplate</a:t>
            </a:r>
          </a:p>
        </c:rich>
      </c:tx>
      <c:overlay val="0"/>
      <c:spPr>
        <a:solidFill>
          <a:srgbClr val="ffffff"/>
        </a:solidFill>
        <a:ln w="0">
          <a:noFill/>
        </a:ln>
      </c:spPr>
    </c:title>
    <c:autoTitleDeleted val="0"/>
    <c:plotArea>
      <c:layout>
        <c:manualLayout>
          <c:xMode val="edge"/>
          <c:yMode val="edge"/>
          <c:x val="0.0477226505226316"/>
          <c:y val="0.140083493472931"/>
          <c:w val="0.916662725251856"/>
          <c:h val="0.770724272745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DATA!$C$44</c:f>
              <c:strCache>
                <c:ptCount val="1"/>
                <c:pt idx="0">
                  <c:v>All Other Capacity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DATA!$D$42:$J$42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DATA!$D$44:$J$44</c:f>
              <c:numCache>
                <c:formatCode>[$-409]#,##0_);[RED]\(#,##0\)</c:formatCode>
                <c:ptCount val="7"/>
                <c:pt idx="0">
                  <c:v>91756.7</c:v>
                </c:pt>
                <c:pt idx="1">
                  <c:v>92011.3</c:v>
                </c:pt>
                <c:pt idx="2">
                  <c:v>92006.55</c:v>
                </c:pt>
                <c:pt idx="3">
                  <c:v>92487.25</c:v>
                </c:pt>
                <c:pt idx="4">
                  <c:v>92359</c:v>
                </c:pt>
                <c:pt idx="5">
                  <c:v>94221</c:v>
                </c:pt>
                <c:pt idx="6">
                  <c:v>98133.1</c:v>
                </c:pt>
              </c:numCache>
            </c:numRef>
          </c:val>
        </c:ser>
        <c:ser>
          <c:idx val="1"/>
          <c:order val="1"/>
          <c:tx>
            <c:strRef>
              <c:f>DATA!$C$43</c:f>
              <c:strCache>
                <c:ptCount val="1"/>
                <c:pt idx="0">
                  <c:v>Hydro Capacity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DATA!$D$42:$J$42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DATA!$D$43:$J$43</c:f>
              <c:numCache>
                <c:formatCode>[$-409]#,##0_);[RED]\(#,##0\)</c:formatCode>
                <c:ptCount val="7"/>
                <c:pt idx="0">
                  <c:v>51665.55</c:v>
                </c:pt>
                <c:pt idx="1">
                  <c:v>51906.1</c:v>
                </c:pt>
                <c:pt idx="2">
                  <c:v>51886.55</c:v>
                </c:pt>
                <c:pt idx="3">
                  <c:v>52091.4</c:v>
                </c:pt>
                <c:pt idx="4">
                  <c:v>52004.7</c:v>
                </c:pt>
                <c:pt idx="5">
                  <c:v>52022.55</c:v>
                </c:pt>
                <c:pt idx="6">
                  <c:v>45939.75</c:v>
                </c:pt>
              </c:numCache>
            </c:numRef>
          </c:val>
        </c:ser>
        <c:gapWidth val="50"/>
        <c:overlap val="100"/>
        <c:axId val="63553420"/>
        <c:axId val="32062746"/>
      </c:barChart>
      <c:lineChart>
        <c:grouping val="stacked"/>
        <c:varyColors val="0"/>
        <c:ser>
          <c:idx val="2"/>
          <c:order val="2"/>
          <c:tx>
            <c:strRef>
              <c:f>DATA!$C$45</c:f>
              <c:strCache>
                <c:ptCount val="1"/>
                <c:pt idx="0">
                  <c:v>Peak Load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</a:custDash>
              <a:round/>
            </a:ln>
          </c:spPr>
          <c:marker>
            <c:symbol val="diamond"/>
            <c:size val="10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DATA!$D$42:$J$42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DATA!$D$45:$J$45</c:f>
              <c:numCache>
                <c:formatCode>[$-409]#,##0_);[RED]\(#,##0\)</c:formatCode>
                <c:ptCount val="7"/>
                <c:pt idx="0">
                  <c:v>117386</c:v>
                </c:pt>
                <c:pt idx="1">
                  <c:v>123375</c:v>
                </c:pt>
                <c:pt idx="2">
                  <c:v>124935</c:v>
                </c:pt>
                <c:pt idx="3">
                  <c:v>131680</c:v>
                </c:pt>
                <c:pt idx="4">
                  <c:v>129059</c:v>
                </c:pt>
                <c:pt idx="5">
                  <c:v>129545</c:v>
                </c:pt>
                <c:pt idx="6">
                  <c:v>135328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553420"/>
        <c:axId val="32062746"/>
      </c:lineChart>
      <c:lineChart>
        <c:grouping val="stacked"/>
        <c:varyColors val="0"/>
        <c:ser>
          <c:idx val="3"/>
          <c:order val="3"/>
          <c:tx>
            <c:strRef>
              <c:f>DATA!$C$46</c:f>
              <c:strCache>
                <c:ptCount val="1"/>
                <c:pt idx="0">
                  <c:v>Reserve Margin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square"/>
            <c:size val="10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DATA!$D$42:$J$42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DATA!$D$46:$J$46</c:f>
              <c:numCache>
                <c:formatCode>0.0%</c:formatCode>
                <c:ptCount val="7"/>
                <c:pt idx="0">
                  <c:v>0.221800299865401</c:v>
                </c:pt>
                <c:pt idx="1">
                  <c:v>0.166503748733536</c:v>
                </c:pt>
                <c:pt idx="2">
                  <c:v>0.151743706727498</c:v>
                </c:pt>
                <c:pt idx="3">
                  <c:v>0.0979545109356015</c:v>
                </c:pt>
                <c:pt idx="4">
                  <c:v>0.118586847875778</c:v>
                </c:pt>
                <c:pt idx="5">
                  <c:v>0.128901540005403</c:v>
                </c:pt>
                <c:pt idx="6">
                  <c:v>0.0646196648143766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765407"/>
        <c:axId val="30947980"/>
      </c:lineChart>
      <c:catAx>
        <c:axId val="635534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062746"/>
        <c:crossesAt val="0"/>
        <c:auto val="1"/>
        <c:lblAlgn val="ctr"/>
        <c:lblOffset val="100"/>
        <c:noMultiLvlLbl val="0"/>
      </c:catAx>
      <c:valAx>
        <c:axId val="32062746"/>
        <c:scaling>
          <c:orientation val="minMax"/>
          <c:max val="2400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553420"/>
        <c:crossesAt val="1"/>
        <c:crossBetween val="midCat"/>
        <c:majorUnit val="40000"/>
      </c:valAx>
      <c:catAx>
        <c:axId val="2476540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947980"/>
        <c:auto val="1"/>
        <c:lblAlgn val="ctr"/>
        <c:lblOffset val="100"/>
        <c:noMultiLvlLbl val="0"/>
      </c:catAx>
      <c:valAx>
        <c:axId val="30947980"/>
        <c:scaling>
          <c:orientation val="minMax"/>
          <c:max val="0.6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Reserve Margin 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765407"/>
        <c:crosses val="max"/>
        <c:crossBetween val="midCat"/>
        <c:majorUnit val="0.1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0213309369531"/>
          <c:y val="0.19230004638526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California Loads and Resources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uFillTx/>
                <a:latin typeface="Arial"/>
              </a:rPr>
              <a:t>Installed Available Capacity vs. Peak Summer Load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800" strike="noStrike" u="none">
                <a:uFillTx/>
                <a:latin typeface="Arial"/>
              </a:rPr>
              <a:t>Available Capacity = 85% of total nameplate capacity for hydro resources, 90% of nameplate for remaining resources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2023837676773"/>
          <c:y val="0.129945000331323"/>
          <c:w val="0.917372179917703"/>
          <c:h val="0.786428997415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DATA!$C$18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DATA!$D$17:$J$17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DATA!$D$18:$J$18</c:f>
              <c:numCache>
                <c:formatCode>[$-409]#,##0_);[RED]\(#,##0\)</c:formatCode>
                <c:ptCount val="7"/>
                <c:pt idx="0">
                  <c:v>40957.5</c:v>
                </c:pt>
                <c:pt idx="1">
                  <c:v>42299.55</c:v>
                </c:pt>
                <c:pt idx="2">
                  <c:v>42611.7</c:v>
                </c:pt>
                <c:pt idx="3">
                  <c:v>41034.15</c:v>
                </c:pt>
                <c:pt idx="4">
                  <c:v>40998.3</c:v>
                </c:pt>
                <c:pt idx="5">
                  <c:v>40484.1</c:v>
                </c:pt>
                <c:pt idx="6">
                  <c:v>40484.1</c:v>
                </c:pt>
              </c:numCache>
            </c:numRef>
          </c:val>
        </c:ser>
        <c:ser>
          <c:idx val="1"/>
          <c:order val="1"/>
          <c:tx>
            <c:strRef>
              <c:f>DATA!$C$19</c:f>
              <c:strCache>
                <c:ptCount val="1"/>
                <c:pt idx="0">
                  <c:v>Peak Load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DATA!$D$17:$J$17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DATA!$D$19:$J$19</c:f>
              <c:numCache>
                <c:formatCode>[$-409]#,##0_);[RED]\(#,##0\)</c:formatCode>
                <c:ptCount val="7"/>
                <c:pt idx="0">
                  <c:v>52510</c:v>
                </c:pt>
                <c:pt idx="1">
                  <c:v>54760</c:v>
                </c:pt>
                <c:pt idx="2">
                  <c:v>53217</c:v>
                </c:pt>
                <c:pt idx="3">
                  <c:v>55441</c:v>
                </c:pt>
                <c:pt idx="4">
                  <c:v>53146</c:v>
                </c:pt>
                <c:pt idx="5">
                  <c:v>51213</c:v>
                </c:pt>
                <c:pt idx="6">
                  <c:v>54819</c:v>
                </c:pt>
              </c:numCache>
            </c:numRef>
          </c:val>
        </c:ser>
        <c:gapWidth val="70"/>
        <c:overlap val="70"/>
        <c:axId val="5577382"/>
        <c:axId val="52387742"/>
      </c:barChart>
      <c:lineChart>
        <c:grouping val="standard"/>
        <c:varyColors val="0"/>
        <c:ser>
          <c:idx val="2"/>
          <c:order val="2"/>
          <c:tx>
            <c:strRef>
              <c:f>DATA!$C$20</c:f>
              <c:strCache>
                <c:ptCount val="1"/>
                <c:pt idx="0">
                  <c:v>Reserve Margin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diamond"/>
            <c:size val="10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DATA!$D$17:$J$17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DATA!$D$20:$J$20</c:f>
              <c:numCache>
                <c:formatCode>0.0%</c:formatCode>
                <c:ptCount val="7"/>
                <c:pt idx="0">
                  <c:v>-0.282060672648477</c:v>
                </c:pt>
                <c:pt idx="1">
                  <c:v>-0.29457641984371</c:v>
                </c:pt>
                <c:pt idx="2">
                  <c:v>-0.248882349213948</c:v>
                </c:pt>
                <c:pt idx="3">
                  <c:v>-0.351094149629028</c:v>
                </c:pt>
                <c:pt idx="4">
                  <c:v>-0.296297651366032</c:v>
                </c:pt>
                <c:pt idx="5">
                  <c:v>-0.265015154097534</c:v>
                </c:pt>
                <c:pt idx="6">
                  <c:v>-0.354087160144353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740709"/>
        <c:axId val="60531047"/>
      </c:lineChart>
      <c:catAx>
        <c:axId val="557738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87742"/>
        <c:crossesAt val="0"/>
        <c:auto val="1"/>
        <c:lblAlgn val="ctr"/>
        <c:lblOffset val="100"/>
        <c:noMultiLvlLbl val="0"/>
      </c:catAx>
      <c:valAx>
        <c:axId val="52387742"/>
        <c:scaling>
          <c:orientation val="minMax"/>
          <c:max val="80000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[RED]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77382"/>
        <c:crossesAt val="1"/>
        <c:crossBetween val="midCat"/>
        <c:majorUnit val="20000"/>
      </c:valAx>
      <c:catAx>
        <c:axId val="4174070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531047"/>
        <c:auto val="1"/>
        <c:lblAlgn val="ctr"/>
        <c:lblOffset val="100"/>
        <c:noMultiLvlLbl val="0"/>
      </c:catAx>
      <c:valAx>
        <c:axId val="60531047"/>
        <c:scaling>
          <c:orientation val="minMax"/>
          <c:max val="0.1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Reserve Margin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\);[RED]\(0.0%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740709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6281038641631"/>
          <c:y val="0.171294148830429"/>
          <c:w val="0.190228444402403"/>
          <c:h val="0.1239149161752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WSCC Loads and Resources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uFillTx/>
                <a:latin typeface="Arial"/>
              </a:rPr>
              <a:t>Installed Available Capacity vs. Peak Summer Load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800" strike="noStrike" u="none">
                <a:uFillTx/>
                <a:latin typeface="Arial"/>
              </a:rPr>
              <a:t>Available Capacity = 85% of total nameplate capacity for hydro resources, 90% of nameplate for remaining resources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1956202998628"/>
          <c:y val="0.128752236432311"/>
          <c:w val="0.91519651894244"/>
          <c:h val="0.7922602875886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DATA!$D$12:$J$12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DATA!$D$13:$J$13</c:f>
              <c:numCache>
                <c:formatCode>[$-409]#,##0_);[RED]\(#,##0\)</c:formatCode>
                <c:ptCount val="7"/>
                <c:pt idx="0">
                  <c:v>93447.6</c:v>
                </c:pt>
                <c:pt idx="1">
                  <c:v>95127.75</c:v>
                </c:pt>
                <c:pt idx="2">
                  <c:v>96073.8</c:v>
                </c:pt>
                <c:pt idx="3">
                  <c:v>96341.25</c:v>
                </c:pt>
                <c:pt idx="4">
                  <c:v>96595.2</c:v>
                </c:pt>
                <c:pt idx="5">
                  <c:v>96767.1</c:v>
                </c:pt>
                <c:pt idx="6">
                  <c:v>98423.55</c:v>
                </c:pt>
              </c:numCache>
            </c:numRef>
          </c:val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Peak Load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DATA!$D$12:$J$12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DATA!$D$14:$J$14</c:f>
              <c:numCache>
                <c:formatCode>[$-409]#,##0_);[RED]\(#,##0\)</c:formatCode>
                <c:ptCount val="7"/>
                <c:pt idx="0">
                  <c:v>117386</c:v>
                </c:pt>
                <c:pt idx="1">
                  <c:v>123375</c:v>
                </c:pt>
                <c:pt idx="2">
                  <c:v>124935</c:v>
                </c:pt>
                <c:pt idx="3">
                  <c:v>131680</c:v>
                </c:pt>
                <c:pt idx="4">
                  <c:v>129059</c:v>
                </c:pt>
                <c:pt idx="5">
                  <c:v>129545</c:v>
                </c:pt>
                <c:pt idx="6">
                  <c:v>135328</c:v>
                </c:pt>
              </c:numCache>
            </c:numRef>
          </c:val>
        </c:ser>
        <c:gapWidth val="70"/>
        <c:overlap val="70"/>
        <c:axId val="67815560"/>
        <c:axId val="12187071"/>
      </c:barChart>
      <c:lineChart>
        <c:grouping val="standard"/>
        <c:varyColors val="0"/>
        <c:ser>
          <c:idx val="2"/>
          <c:order val="2"/>
          <c:tx>
            <c:strRef>
              <c:f>DATA!$C$15</c:f>
              <c:strCache>
                <c:ptCount val="1"/>
                <c:pt idx="0">
                  <c:v>Reserve Margin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diamond"/>
            <c:size val="10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DATA!$D$12:$J$12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DATA!$D$15:$J$15</c:f>
              <c:numCache>
                <c:formatCode>0.0%</c:formatCode>
                <c:ptCount val="7"/>
                <c:pt idx="0">
                  <c:v>-0.256169232810687</c:v>
                </c:pt>
                <c:pt idx="1">
                  <c:v>-0.29694016730134</c:v>
                </c:pt>
                <c:pt idx="2">
                  <c:v>-0.300406562455112</c:v>
                </c:pt>
                <c:pt idx="3">
                  <c:v>-0.366808091030581</c:v>
                </c:pt>
                <c:pt idx="4">
                  <c:v>-0.336080881865765</c:v>
                </c:pt>
                <c:pt idx="5">
                  <c:v>-0.338729795560681</c:v>
                </c:pt>
                <c:pt idx="6">
                  <c:v>-0.374955485755188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559766"/>
        <c:axId val="33355770"/>
      </c:lineChart>
      <c:catAx>
        <c:axId val="67815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187071"/>
        <c:crossesAt val="0"/>
        <c:auto val="1"/>
        <c:lblAlgn val="ctr"/>
        <c:lblOffset val="100"/>
        <c:noMultiLvlLbl val="0"/>
      </c:catAx>
      <c:valAx>
        <c:axId val="12187071"/>
        <c:scaling>
          <c:orientation val="minMax"/>
          <c:max val="2000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[RED]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815560"/>
        <c:crossesAt val="1"/>
        <c:crossBetween val="midCat"/>
        <c:majorUnit val="40000"/>
      </c:valAx>
      <c:catAx>
        <c:axId val="4755976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355770"/>
        <c:auto val="1"/>
        <c:lblAlgn val="ctr"/>
        <c:lblOffset val="100"/>
        <c:noMultiLvlLbl val="0"/>
      </c:catAx>
      <c:valAx>
        <c:axId val="3335577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Reserve Margin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559766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1862082012959"/>
          <c:y val="0.168577297727122"/>
          <c:w val="0.190228444402403"/>
          <c:h val="0.1239149161752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California Energy Deficit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uFillTx/>
                <a:latin typeface="Arial"/>
              </a:rPr>
              <a:t>Cumulative Net Change in Capacity and Average Load Since 1995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1956202998628"/>
          <c:y val="0.144456961102644"/>
          <c:w val="0.906399281085939"/>
          <c:h val="0.779670001987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DATA!$C$28</c:f>
              <c:strCache>
                <c:ptCount val="1"/>
                <c:pt idx="0">
                  <c:v>Cumulative New Capacity Additions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DATA!$E$27:$J$27</c:f>
              <c:strCache>
                <c:ptCount val="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</c:strCache>
            </c:strRef>
          </c:cat>
          <c:val>
            <c:numRef>
              <c:f>DATA!$E$28:$J$28</c:f>
              <c:numCache>
                <c:formatCode>[$-409]#,##0_);[RED]\(#,##0\)</c:formatCode>
                <c:ptCount val="6"/>
                <c:pt idx="0">
                  <c:v>471</c:v>
                </c:pt>
                <c:pt idx="1">
                  <c:v>-1296</c:v>
                </c:pt>
                <c:pt idx="2">
                  <c:v>-1350</c:v>
                </c:pt>
                <c:pt idx="3">
                  <c:v>-2188</c:v>
                </c:pt>
                <c:pt idx="4">
                  <c:v>-2188</c:v>
                </c:pt>
                <c:pt idx="5">
                  <c:v>-1269</c:v>
                </c:pt>
              </c:numCache>
            </c:numRef>
          </c:val>
        </c:ser>
        <c:ser>
          <c:idx val="1"/>
          <c:order val="1"/>
          <c:tx>
            <c:strRef>
              <c:f>DATA!$C$29</c:f>
              <c:strCache>
                <c:ptCount val="1"/>
                <c:pt idx="0">
                  <c:v>Cumulative New Load (MWa)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DATA!$E$27:$J$27</c:f>
              <c:strCache>
                <c:ptCount val="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</c:strCache>
            </c:strRef>
          </c:cat>
          <c:val>
            <c:numRef>
              <c:f>DATA!$E$29:$J$29</c:f>
              <c:numCache>
                <c:formatCode>[$-409]#,##0_);[RED]\(#,##0\)</c:formatCode>
                <c:ptCount val="6"/>
                <c:pt idx="0">
                  <c:v>1115.55100182149</c:v>
                </c:pt>
                <c:pt idx="1">
                  <c:v>287.925431045238</c:v>
                </c:pt>
                <c:pt idx="2">
                  <c:v>17.7199515931831</c:v>
                </c:pt>
                <c:pt idx="3">
                  <c:v>896.14460912743</c:v>
                </c:pt>
                <c:pt idx="4">
                  <c:v>1944.86956359009</c:v>
                </c:pt>
                <c:pt idx="5">
                  <c:v>2536.30791975447</c:v>
                </c:pt>
              </c:numCache>
            </c:numRef>
          </c:val>
        </c:ser>
        <c:gapWidth val="70"/>
        <c:overlap val="70"/>
        <c:axId val="19591104"/>
        <c:axId val="5102605"/>
      </c:barChart>
      <c:lineChart>
        <c:grouping val="standard"/>
        <c:varyColors val="0"/>
        <c:ser>
          <c:idx val="2"/>
          <c:order val="2"/>
          <c:tx>
            <c:strRef>
              <c:f>DATA!$C$30</c:f>
              <c:strCache>
                <c:ptCount val="1"/>
                <c:pt idx="0">
                  <c:v>Energy Deficit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diamond"/>
            <c:size val="10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DATA!$E$27:$J$27</c:f>
              <c:strCache>
                <c:ptCount val="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</c:strCache>
            </c:strRef>
          </c:cat>
          <c:val>
            <c:numRef>
              <c:f>DATA!$E$30:$J$30</c:f>
              <c:numCache>
                <c:formatCode>[$-409]#,##0_);[RED]\(#,##0\)</c:formatCode>
                <c:ptCount val="6"/>
                <c:pt idx="0">
                  <c:v>644.551001821494</c:v>
                </c:pt>
                <c:pt idx="1">
                  <c:v>1583.92543104524</c:v>
                </c:pt>
                <c:pt idx="2">
                  <c:v>1367.71995159318</c:v>
                </c:pt>
                <c:pt idx="3">
                  <c:v>3084.14460912743</c:v>
                </c:pt>
                <c:pt idx="4">
                  <c:v>4132.86956359009</c:v>
                </c:pt>
                <c:pt idx="5">
                  <c:v>3805.30791975447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591104"/>
        <c:axId val="5102605"/>
      </c:lineChart>
      <c:catAx>
        <c:axId val="19591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02605"/>
        <c:crossesAt val="0"/>
        <c:auto val="1"/>
        <c:lblAlgn val="ctr"/>
        <c:lblOffset val="100"/>
        <c:noMultiLvlLbl val="0"/>
      </c:catAx>
      <c:valAx>
        <c:axId val="510260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[RED]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59110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37019344463889"/>
          <c:y val="0.203432509442714"/>
          <c:w val="0.363761055668543"/>
          <c:h val="0.1355774965211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356040</xdr:colOff>
      <xdr:row>31</xdr:row>
      <xdr:rowOff>100440</xdr:rowOff>
    </xdr:from>
    <xdr:to>
      <xdr:col>8</xdr:col>
      <xdr:colOff>769320</xdr:colOff>
      <xdr:row>33</xdr:row>
      <xdr:rowOff>98640</xdr:rowOff>
    </xdr:to>
    <xdr:grpSp>
      <xdr:nvGrpSpPr>
        <xdr:cNvPr id="1" name="Group 1"/>
        <xdr:cNvGrpSpPr/>
      </xdr:nvGrpSpPr>
      <xdr:grpSpPr>
        <a:xfrm>
          <a:off x="1168920" y="5139720"/>
          <a:ext cx="6102720" cy="323280"/>
          <a:chOff x="1168920" y="5139720"/>
          <a:chExt cx="6102720" cy="323280"/>
        </a:xfrm>
      </xdr:grpSpPr>
      <xdr:sp>
        <xdr:nvSpPr>
          <xdr:cNvPr id="2" name="Text 2"/>
          <xdr:cNvSpPr/>
        </xdr:nvSpPr>
        <xdr:spPr>
          <a:xfrm>
            <a:off x="1600920" y="5139720"/>
            <a:ext cx="5670720" cy="3232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r>
              <a:rPr b="0" lang="en-US" sz="800" strike="noStrike" u="none">
                <a:effectLst/>
                <a:uFillTx/>
                <a:latin typeface="Arial"/>
              </a:rPr>
              <a:t>Load data from WSCC Summary of Estimated Loads and Resources.  Capacity data from following: 1995-99 from WSCC Existing Generation and Significant Additions; 2000 from publicly available news sources; 2001 estimate from CAISO.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" name="Text 3"/>
          <xdr:cNvSpPr/>
        </xdr:nvSpPr>
        <xdr:spPr>
          <a:xfrm>
            <a:off x="1168920" y="5139720"/>
            <a:ext cx="479160" cy="1684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r>
              <a:rPr b="0" i="1" lang="en-US" sz="800" strike="noStrike" u="none">
                <a:effectLst/>
                <a:uFillTx/>
                <a:latin typeface="Arial"/>
              </a:rPr>
              <a:t>Sources: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285840</xdr:colOff>
      <xdr:row>32</xdr:row>
      <xdr:rowOff>6840</xdr:rowOff>
    </xdr:from>
    <xdr:to>
      <xdr:col>8</xdr:col>
      <xdr:colOff>778680</xdr:colOff>
      <xdr:row>34</xdr:row>
      <xdr:rowOff>1080</xdr:rowOff>
    </xdr:to>
    <xdr:grpSp>
      <xdr:nvGrpSpPr>
        <xdr:cNvPr id="37" name="Group 4"/>
        <xdr:cNvGrpSpPr/>
      </xdr:nvGrpSpPr>
      <xdr:grpSpPr>
        <a:xfrm>
          <a:off x="1098720" y="5208840"/>
          <a:ext cx="6182280" cy="319320"/>
          <a:chOff x="1098720" y="5208840"/>
          <a:chExt cx="6182280" cy="319320"/>
        </a:xfrm>
      </xdr:grpSpPr>
      <xdr:sp>
        <xdr:nvSpPr>
          <xdr:cNvPr id="38" name="Text 2"/>
          <xdr:cNvSpPr/>
        </xdr:nvSpPr>
        <xdr:spPr>
          <a:xfrm>
            <a:off x="1536120" y="5208840"/>
            <a:ext cx="5744880" cy="31932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r>
              <a:rPr b="0" lang="en-US" sz="800" strike="noStrike" u="none">
                <a:effectLst/>
                <a:uFillTx/>
                <a:latin typeface="Arial"/>
              </a:rPr>
              <a:t>Load data from WSCC Summary of Estimated Loads and Resources.  Capacity data from following: 1995-99 from WSCC Existing Generation and Significant Additions; 2000 from publicly available news sources; 2001 estimate from CAISO.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9" name="Text 3"/>
          <xdr:cNvSpPr/>
        </xdr:nvSpPr>
        <xdr:spPr>
          <a:xfrm>
            <a:off x="1098720" y="5208840"/>
            <a:ext cx="484920" cy="16704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r>
              <a:rPr b="0" i="1" lang="en-US" sz="800" strike="noStrike" u="none">
                <a:effectLst/>
                <a:uFillTx/>
                <a:latin typeface="Arial"/>
              </a:rPr>
              <a:t>Sources: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356040</xdr:colOff>
      <xdr:row>31</xdr:row>
      <xdr:rowOff>104400</xdr:rowOff>
    </xdr:from>
    <xdr:to>
      <xdr:col>8</xdr:col>
      <xdr:colOff>769320</xdr:colOff>
      <xdr:row>33</xdr:row>
      <xdr:rowOff>100080</xdr:rowOff>
    </xdr:to>
    <xdr:grpSp>
      <xdr:nvGrpSpPr>
        <xdr:cNvPr id="5" name="Group 1"/>
        <xdr:cNvGrpSpPr/>
      </xdr:nvGrpSpPr>
      <xdr:grpSpPr>
        <a:xfrm>
          <a:off x="1168920" y="5143680"/>
          <a:ext cx="6102720" cy="320760"/>
          <a:chOff x="1168920" y="5143680"/>
          <a:chExt cx="6102720" cy="320760"/>
        </a:xfrm>
      </xdr:grpSpPr>
      <xdr:sp>
        <xdr:nvSpPr>
          <xdr:cNvPr id="6" name="Text 2"/>
          <xdr:cNvSpPr/>
        </xdr:nvSpPr>
        <xdr:spPr>
          <a:xfrm>
            <a:off x="1600920" y="5143680"/>
            <a:ext cx="567072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r>
              <a:rPr b="0" lang="en-US" sz="800" strike="noStrike" u="none">
                <a:effectLst/>
                <a:uFillTx/>
                <a:latin typeface="Arial"/>
              </a:rPr>
              <a:t>Load data from WSCC Summary of Estimated Loads and Resources.  Capacity data from following: 1995-99 from WSCC Existing Generation and Significant Additions; 2000 from publicly available news sources; 2001 estimate from CAISO.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7" name="Text 3"/>
          <xdr:cNvSpPr/>
        </xdr:nvSpPr>
        <xdr:spPr>
          <a:xfrm>
            <a:off x="1168920" y="5143680"/>
            <a:ext cx="479160" cy="16704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r>
              <a:rPr b="0" i="1" lang="en-US" sz="800" strike="noStrike" u="none">
                <a:effectLst/>
                <a:uFillTx/>
                <a:latin typeface="Arial"/>
              </a:rPr>
              <a:t>Sources: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295200</xdr:colOff>
      <xdr:row>31</xdr:row>
      <xdr:rowOff>100440</xdr:rowOff>
    </xdr:from>
    <xdr:to>
      <xdr:col>8</xdr:col>
      <xdr:colOff>761760</xdr:colOff>
      <xdr:row>33</xdr:row>
      <xdr:rowOff>98640</xdr:rowOff>
    </xdr:to>
    <xdr:grpSp>
      <xdr:nvGrpSpPr>
        <xdr:cNvPr id="9" name="Group 4"/>
        <xdr:cNvGrpSpPr/>
      </xdr:nvGrpSpPr>
      <xdr:grpSpPr>
        <a:xfrm>
          <a:off x="1108080" y="5139720"/>
          <a:ext cx="6156000" cy="323280"/>
          <a:chOff x="1108080" y="5139720"/>
          <a:chExt cx="6156000" cy="323280"/>
        </a:xfrm>
      </xdr:grpSpPr>
      <xdr:sp>
        <xdr:nvSpPr>
          <xdr:cNvPr id="10" name="Text 2"/>
          <xdr:cNvSpPr/>
        </xdr:nvSpPr>
        <xdr:spPr>
          <a:xfrm>
            <a:off x="1543680" y="5139720"/>
            <a:ext cx="5720400" cy="3232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r>
              <a:rPr b="0" lang="en-US" sz="800" strike="noStrike" u="none">
                <a:effectLst/>
                <a:uFillTx/>
                <a:latin typeface="Arial"/>
              </a:rPr>
              <a:t>Load data from WSCC Summary of Estimated Loads and Resources.  Capacity data from following: 1995-99 from WSCC Existing Generation and Significant Additions; 2000 from publicly available news sources; 2001 estimate from CAISO.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11" name="Text 3"/>
          <xdr:cNvSpPr/>
        </xdr:nvSpPr>
        <xdr:spPr>
          <a:xfrm>
            <a:off x="1108080" y="5139720"/>
            <a:ext cx="483120" cy="1684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r>
              <a:rPr b="0" i="1" lang="en-US" sz="800" strike="noStrike" u="none">
                <a:effectLst/>
                <a:uFillTx/>
                <a:latin typeface="Arial"/>
              </a:rPr>
              <a:t>Sources: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295200</xdr:colOff>
      <xdr:row>31</xdr:row>
      <xdr:rowOff>104400</xdr:rowOff>
    </xdr:from>
    <xdr:to>
      <xdr:col>8</xdr:col>
      <xdr:colOff>761760</xdr:colOff>
      <xdr:row>33</xdr:row>
      <xdr:rowOff>100080</xdr:rowOff>
    </xdr:to>
    <xdr:grpSp>
      <xdr:nvGrpSpPr>
        <xdr:cNvPr id="13" name="Group 4"/>
        <xdr:cNvGrpSpPr/>
      </xdr:nvGrpSpPr>
      <xdr:grpSpPr>
        <a:xfrm>
          <a:off x="1108080" y="5143680"/>
          <a:ext cx="6156000" cy="320760"/>
          <a:chOff x="1108080" y="5143680"/>
          <a:chExt cx="6156000" cy="320760"/>
        </a:xfrm>
      </xdr:grpSpPr>
      <xdr:sp>
        <xdr:nvSpPr>
          <xdr:cNvPr id="14" name="Text 2"/>
          <xdr:cNvSpPr/>
        </xdr:nvSpPr>
        <xdr:spPr>
          <a:xfrm>
            <a:off x="1543680" y="5143680"/>
            <a:ext cx="572040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r>
              <a:rPr b="0" lang="en-US" sz="800" strike="noStrike" u="none">
                <a:effectLst/>
                <a:uFillTx/>
                <a:latin typeface="Arial"/>
              </a:rPr>
              <a:t>Load data from WSCC Summary of Estimated Loads and Resources.  Capacity data from following: 1995-99 from WSCC Existing Generation and Significant Additions; 2000 from publicly available news sources; 2001 estimate from CAISO.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15" name="Text 3"/>
          <xdr:cNvSpPr/>
        </xdr:nvSpPr>
        <xdr:spPr>
          <a:xfrm>
            <a:off x="1108080" y="5143680"/>
            <a:ext cx="483120" cy="16704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r>
              <a:rPr b="0" i="1" lang="en-US" sz="800" strike="noStrike" u="none">
                <a:effectLst/>
                <a:uFillTx/>
                <a:latin typeface="Arial"/>
              </a:rPr>
              <a:t>Sources: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356040</xdr:colOff>
      <xdr:row>31</xdr:row>
      <xdr:rowOff>101880</xdr:rowOff>
    </xdr:from>
    <xdr:to>
      <xdr:col>9</xdr:col>
      <xdr:colOff>158040</xdr:colOff>
      <xdr:row>33</xdr:row>
      <xdr:rowOff>97200</xdr:rowOff>
    </xdr:to>
    <xdr:grpSp>
      <xdr:nvGrpSpPr>
        <xdr:cNvPr id="17" name="Group 4"/>
        <xdr:cNvGrpSpPr/>
      </xdr:nvGrpSpPr>
      <xdr:grpSpPr>
        <a:xfrm>
          <a:off x="1168920" y="5141160"/>
          <a:ext cx="6304320" cy="320400"/>
          <a:chOff x="1168920" y="5141160"/>
          <a:chExt cx="6304320" cy="320400"/>
        </a:xfrm>
      </xdr:grpSpPr>
      <xdr:sp>
        <xdr:nvSpPr>
          <xdr:cNvPr id="18" name="Text 2"/>
          <xdr:cNvSpPr/>
        </xdr:nvSpPr>
        <xdr:spPr>
          <a:xfrm>
            <a:off x="1614960" y="5141160"/>
            <a:ext cx="5858280" cy="32040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r>
              <a:rPr b="0" lang="en-US" sz="800" strike="noStrike" u="none">
                <a:effectLst/>
                <a:uFillTx/>
                <a:latin typeface="Arial"/>
              </a:rPr>
              <a:t>Load data from WSCC Summary of Estimated Loads and Resources.  Capacity data from following: 1995-99 from WSCC Existing Generation and Significant Additions; 2000 from publicly available news sources; 2001 estimate from CAISO.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19" name="Text 3"/>
          <xdr:cNvSpPr/>
        </xdr:nvSpPr>
        <xdr:spPr>
          <a:xfrm>
            <a:off x="1168920" y="5141160"/>
            <a:ext cx="494640" cy="16704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r>
              <a:rPr b="0" i="1" lang="en-US" sz="800" strike="noStrike" u="none">
                <a:effectLst/>
                <a:uFillTx/>
                <a:latin typeface="Arial"/>
              </a:rPr>
              <a:t>Sources: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356040</xdr:colOff>
      <xdr:row>31</xdr:row>
      <xdr:rowOff>104400</xdr:rowOff>
    </xdr:from>
    <xdr:to>
      <xdr:col>9</xdr:col>
      <xdr:colOff>158040</xdr:colOff>
      <xdr:row>33</xdr:row>
      <xdr:rowOff>100080</xdr:rowOff>
    </xdr:to>
    <xdr:grpSp>
      <xdr:nvGrpSpPr>
        <xdr:cNvPr id="21" name="Group 4"/>
        <xdr:cNvGrpSpPr/>
      </xdr:nvGrpSpPr>
      <xdr:grpSpPr>
        <a:xfrm>
          <a:off x="1168920" y="5143680"/>
          <a:ext cx="6304320" cy="320760"/>
          <a:chOff x="1168920" y="5143680"/>
          <a:chExt cx="6304320" cy="320760"/>
        </a:xfrm>
      </xdr:grpSpPr>
      <xdr:sp>
        <xdr:nvSpPr>
          <xdr:cNvPr id="22" name="Text 2"/>
          <xdr:cNvSpPr/>
        </xdr:nvSpPr>
        <xdr:spPr>
          <a:xfrm>
            <a:off x="1614960" y="5143680"/>
            <a:ext cx="585828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r>
              <a:rPr b="0" lang="en-US" sz="800" strike="noStrike" u="none">
                <a:effectLst/>
                <a:uFillTx/>
                <a:latin typeface="Arial"/>
              </a:rPr>
              <a:t>Load data from WSCC Summary of Estimated Loads and Resources.  Capacity data from following: 1995-99 from WSCC Existing Generation and Significant Additions; 2000 from publicly available news sources; 2001 estimate from CAISO.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3" name="Text 3"/>
          <xdr:cNvSpPr/>
        </xdr:nvSpPr>
        <xdr:spPr>
          <a:xfrm>
            <a:off x="1168920" y="5143680"/>
            <a:ext cx="494640" cy="16704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r>
              <a:rPr b="0" i="1" lang="en-US" sz="800" strike="noStrike" u="none">
                <a:effectLst/>
                <a:uFillTx/>
                <a:latin typeface="Arial"/>
              </a:rPr>
              <a:t>Sources: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270720</xdr:colOff>
      <xdr:row>31</xdr:row>
      <xdr:rowOff>120960</xdr:rowOff>
    </xdr:from>
    <xdr:to>
      <xdr:col>8</xdr:col>
      <xdr:colOff>771120</xdr:colOff>
      <xdr:row>33</xdr:row>
      <xdr:rowOff>119160</xdr:rowOff>
    </xdr:to>
    <xdr:grpSp>
      <xdr:nvGrpSpPr>
        <xdr:cNvPr id="25" name="Group 6"/>
        <xdr:cNvGrpSpPr/>
      </xdr:nvGrpSpPr>
      <xdr:grpSpPr>
        <a:xfrm>
          <a:off x="1083600" y="5160240"/>
          <a:ext cx="6189840" cy="323280"/>
          <a:chOff x="1083600" y="5160240"/>
          <a:chExt cx="6189840" cy="323280"/>
        </a:xfrm>
      </xdr:grpSpPr>
      <xdr:sp>
        <xdr:nvSpPr>
          <xdr:cNvPr id="26" name="Text 1"/>
          <xdr:cNvSpPr/>
        </xdr:nvSpPr>
        <xdr:spPr>
          <a:xfrm>
            <a:off x="1521000" y="5160240"/>
            <a:ext cx="5752440" cy="3232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r>
              <a:rPr b="0" lang="en-US" sz="800" strike="noStrike" u="none">
                <a:effectLst/>
                <a:uFillTx/>
                <a:latin typeface="Arial"/>
              </a:rPr>
              <a:t>Load data from WSCC Summary of Estimated Loads and Resources.  Capacity data from following: 1995-99 from WSCC Existing Generation and Significant Additions; 2000 from publicly available news sources; 2001 estimate from CAISO.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7" name="Text 2"/>
          <xdr:cNvSpPr/>
        </xdr:nvSpPr>
        <xdr:spPr>
          <a:xfrm>
            <a:off x="1083600" y="5160240"/>
            <a:ext cx="484920" cy="1684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r>
              <a:rPr b="0" i="1" lang="en-US" sz="800" strike="noStrike" u="none">
                <a:effectLst/>
                <a:uFillTx/>
                <a:latin typeface="Arial"/>
              </a:rPr>
              <a:t>Sources: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339120</xdr:colOff>
      <xdr:row>31</xdr:row>
      <xdr:rowOff>120960</xdr:rowOff>
    </xdr:from>
    <xdr:to>
      <xdr:col>8</xdr:col>
      <xdr:colOff>731160</xdr:colOff>
      <xdr:row>33</xdr:row>
      <xdr:rowOff>123120</xdr:rowOff>
    </xdr:to>
    <xdr:grpSp>
      <xdr:nvGrpSpPr>
        <xdr:cNvPr id="29" name="Group 7"/>
        <xdr:cNvGrpSpPr/>
      </xdr:nvGrpSpPr>
      <xdr:grpSpPr>
        <a:xfrm>
          <a:off x="1152000" y="5160240"/>
          <a:ext cx="6081480" cy="327240"/>
          <a:chOff x="1152000" y="5160240"/>
          <a:chExt cx="6081480" cy="327240"/>
        </a:xfrm>
      </xdr:grpSpPr>
      <xdr:sp>
        <xdr:nvSpPr>
          <xdr:cNvPr id="30" name="Text 5"/>
          <xdr:cNvSpPr/>
        </xdr:nvSpPr>
        <xdr:spPr>
          <a:xfrm>
            <a:off x="1581840" y="5160240"/>
            <a:ext cx="5651640" cy="32724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r>
              <a:rPr b="0" lang="en-US" sz="800" strike="noStrike" u="none">
                <a:effectLst/>
                <a:uFillTx/>
                <a:latin typeface="Arial"/>
              </a:rPr>
              <a:t>Load data from WSCC Summary of Estimated Loads and Resources.  Capacity data from following: 1995-99 from WSCC Existing Generation and Significant Additions; 2000 from publicly available news sources; 2001 estimate from CAISO.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1" name="Text 6"/>
          <xdr:cNvSpPr/>
        </xdr:nvSpPr>
        <xdr:spPr>
          <a:xfrm>
            <a:off x="1152000" y="5160240"/>
            <a:ext cx="477360" cy="17100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r>
              <a:rPr b="0" i="1" lang="en-US" sz="800" strike="noStrike" u="none">
                <a:effectLst/>
                <a:uFillTx/>
                <a:latin typeface="Arial"/>
              </a:rPr>
              <a:t>Sources: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278280</xdr:colOff>
      <xdr:row>32</xdr:row>
      <xdr:rowOff>5760</xdr:rowOff>
    </xdr:from>
    <xdr:to>
      <xdr:col>8</xdr:col>
      <xdr:colOff>771120</xdr:colOff>
      <xdr:row>34</xdr:row>
      <xdr:rowOff>9360</xdr:rowOff>
    </xdr:to>
    <xdr:grpSp>
      <xdr:nvGrpSpPr>
        <xdr:cNvPr id="33" name="Group 4"/>
        <xdr:cNvGrpSpPr/>
      </xdr:nvGrpSpPr>
      <xdr:grpSpPr>
        <a:xfrm>
          <a:off x="1091160" y="5207760"/>
          <a:ext cx="6182280" cy="328680"/>
          <a:chOff x="1091160" y="5207760"/>
          <a:chExt cx="6182280" cy="328680"/>
        </a:xfrm>
      </xdr:grpSpPr>
      <xdr:sp>
        <xdr:nvSpPr>
          <xdr:cNvPr id="34" name="Text 2"/>
          <xdr:cNvSpPr/>
        </xdr:nvSpPr>
        <xdr:spPr>
          <a:xfrm>
            <a:off x="1528560" y="5207760"/>
            <a:ext cx="5744880" cy="3286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r>
              <a:rPr b="0" lang="en-US" sz="800" strike="noStrike" u="none">
                <a:effectLst/>
                <a:uFillTx/>
                <a:latin typeface="Arial"/>
              </a:rPr>
              <a:t>Load data from WSCC Summary of Estimated Loads and Resources.  Capacity data from following: 1995-99 from WSCC Existing Generation and Significant Additions; 2000 from publicly available news sources; 2001 estimate from CAISO.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5" name="Text 3"/>
          <xdr:cNvSpPr/>
        </xdr:nvSpPr>
        <xdr:spPr>
          <a:xfrm>
            <a:off x="1091160" y="5207760"/>
            <a:ext cx="484920" cy="17244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r>
              <a:rPr b="0" i="1" lang="en-US" sz="800" strike="noStrike" u="none">
                <a:effectLst/>
                <a:uFillTx/>
                <a:latin typeface="Arial"/>
              </a:rPr>
              <a:t>Sources:</a:t>
            </a:r>
            <a:endParaRPr b="0" lang="en-US" sz="800" strike="noStrike" u="none">
              <a:effectLst/>
              <a:uFillTx/>
              <a:latin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1" zoomScaleNormal="12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1" zoomScaleNormal="12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1" zoomScaleNormal="12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1" zoomScaleNormal="12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1" zoomScaleNormal="12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8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4.99"/>
    <col collapsed="false" customWidth="true" hidden="false" outlineLevel="0" max="2" min="2" style="0" width="30.7"/>
  </cols>
  <sheetData>
    <row r="1" customFormat="false" ht="18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  <c r="J2" s="3"/>
      <c r="K2" s="4" t="s">
        <v>2</v>
      </c>
    </row>
    <row r="3" customFormat="false" ht="12.75" hidden="false" customHeight="false" outlineLevel="0" collapsed="false">
      <c r="J3" s="5"/>
      <c r="K3" s="6" t="s">
        <v>3</v>
      </c>
    </row>
    <row r="4" customFormat="false" ht="12.75" hidden="false" customHeight="false" outlineLevel="0" collapsed="false">
      <c r="J4" s="7"/>
      <c r="K4" s="6" t="s">
        <v>4</v>
      </c>
    </row>
    <row r="6" customFormat="false" ht="12.75" hidden="false" customHeight="false" outlineLevel="0" collapsed="false">
      <c r="C6" s="8"/>
      <c r="D6" s="8" t="n">
        <v>1995</v>
      </c>
      <c r="E6" s="8" t="n">
        <v>1996</v>
      </c>
      <c r="F6" s="8" t="n">
        <v>1997</v>
      </c>
      <c r="G6" s="8" t="n">
        <v>1998</v>
      </c>
      <c r="H6" s="8" t="n">
        <v>1999</v>
      </c>
      <c r="I6" s="8" t="n">
        <v>2000</v>
      </c>
      <c r="J6" s="9" t="n">
        <v>2001</v>
      </c>
      <c r="K6" s="9" t="n">
        <v>2002</v>
      </c>
      <c r="L6" s="9" t="n">
        <v>2003</v>
      </c>
      <c r="M6" s="9" t="n">
        <v>2004</v>
      </c>
      <c r="N6" s="9" t="n">
        <v>2005</v>
      </c>
      <c r="O6" s="9" t="n">
        <v>2006</v>
      </c>
    </row>
    <row r="7" customFormat="false" ht="13.5" hidden="false" customHeight="false" outlineLevel="0" collapsed="false">
      <c r="C7" s="10"/>
      <c r="D7" s="10"/>
      <c r="E7" s="10"/>
      <c r="F7" s="10"/>
      <c r="G7" s="10"/>
      <c r="H7" s="10"/>
      <c r="I7" s="10"/>
      <c r="J7" s="11"/>
      <c r="K7" s="11"/>
      <c r="L7" s="11"/>
      <c r="M7" s="11"/>
      <c r="N7" s="11"/>
      <c r="O7" s="11"/>
    </row>
    <row r="8" customFormat="false" ht="13.5" hidden="false" customHeight="false" outlineLevel="0" collapsed="false">
      <c r="B8" s="12" t="s">
        <v>5</v>
      </c>
      <c r="C8" s="10"/>
      <c r="D8" s="10"/>
      <c r="E8" s="10"/>
      <c r="F8" s="10"/>
      <c r="G8" s="10"/>
      <c r="H8" s="10"/>
      <c r="I8" s="10"/>
      <c r="J8" s="11"/>
      <c r="K8" s="11"/>
      <c r="L8" s="11"/>
      <c r="M8" s="11"/>
      <c r="N8" s="11"/>
      <c r="O8" s="11"/>
    </row>
    <row r="9" customFormat="false" ht="15.75" hidden="false" customHeight="false" outlineLevel="0" collapsed="false">
      <c r="B9" s="13" t="s">
        <v>6</v>
      </c>
      <c r="C9" s="14" t="n">
        <v>0.85</v>
      </c>
      <c r="D9" s="15"/>
      <c r="E9" s="15"/>
      <c r="F9" s="15"/>
      <c r="G9" s="15"/>
      <c r="H9" s="15"/>
      <c r="I9" s="15"/>
      <c r="J9" s="16"/>
      <c r="K9" s="16"/>
      <c r="L9" s="16"/>
      <c r="M9" s="16"/>
      <c r="N9" s="16"/>
      <c r="O9" s="17"/>
    </row>
    <row r="10" customFormat="false" ht="15.75" hidden="false" customHeight="false" outlineLevel="0" collapsed="false">
      <c r="B10" s="18" t="s">
        <v>7</v>
      </c>
      <c r="C10" s="19" t="n">
        <v>0.1</v>
      </c>
      <c r="D10" s="20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3"/>
    </row>
    <row r="11" customFormat="false" ht="12.75" hidden="false" customHeight="false" outlineLevel="0" collapsed="false">
      <c r="B11" s="18"/>
      <c r="C11" s="21"/>
      <c r="D11" s="20"/>
      <c r="E11" s="21"/>
      <c r="F11" s="21"/>
      <c r="G11" s="21"/>
      <c r="H11" s="21"/>
      <c r="I11" s="21"/>
      <c r="J11" s="22"/>
      <c r="K11" s="22"/>
      <c r="L11" s="22"/>
      <c r="M11" s="22"/>
      <c r="N11" s="22"/>
      <c r="O11" s="23"/>
    </row>
    <row r="12" customFormat="false" ht="12.75" hidden="false" customHeight="false" outlineLevel="0" collapsed="false">
      <c r="B12" s="24" t="s">
        <v>8</v>
      </c>
      <c r="C12" s="21"/>
      <c r="D12" s="8" t="n">
        <v>1995</v>
      </c>
      <c r="E12" s="8" t="n">
        <v>1996</v>
      </c>
      <c r="F12" s="8" t="n">
        <v>1997</v>
      </c>
      <c r="G12" s="8" t="n">
        <v>1998</v>
      </c>
      <c r="H12" s="8" t="n">
        <v>1999</v>
      </c>
      <c r="I12" s="8" t="n">
        <v>2000</v>
      </c>
      <c r="J12" s="9" t="n">
        <v>2001</v>
      </c>
      <c r="K12" s="9" t="n">
        <v>2002</v>
      </c>
      <c r="L12" s="9" t="n">
        <v>2003</v>
      </c>
      <c r="M12" s="9" t="n">
        <v>2004</v>
      </c>
      <c r="N12" s="9" t="n">
        <v>2005</v>
      </c>
      <c r="O12" s="25" t="n">
        <v>2006</v>
      </c>
    </row>
    <row r="13" customFormat="false" ht="12.75" hidden="false" customHeight="false" outlineLevel="0" collapsed="false">
      <c r="B13" s="26"/>
      <c r="C13" s="27" t="s">
        <v>9</v>
      </c>
      <c r="D13" s="21" t="n">
        <f aca="false">(1-$C$9)*D99+(1-$C$10)*D106</f>
        <v>93447.6</v>
      </c>
      <c r="E13" s="21" t="n">
        <f aca="false">(1-$C$9)*E99+(1-$C$10)*E106</f>
        <v>95127.75</v>
      </c>
      <c r="F13" s="21" t="n">
        <f aca="false">(1-$C$9)*F99+(1-$C$10)*F106</f>
        <v>96073.8</v>
      </c>
      <c r="G13" s="21" t="n">
        <f aca="false">(1-$C$9)*G99+(1-$C$10)*G106</f>
        <v>96341.25</v>
      </c>
      <c r="H13" s="21" t="n">
        <f aca="false">(1-$C$9)*H99+(1-$C$10)*H106</f>
        <v>96595.2</v>
      </c>
      <c r="I13" s="21" t="n">
        <f aca="false">(1-$C$9)*I99+(1-$C$10)*I106</f>
        <v>96767.1</v>
      </c>
      <c r="J13" s="22" t="n">
        <f aca="false">(1-$C$9)*J99+(1-$C$10)*J106</f>
        <v>98423.55</v>
      </c>
      <c r="K13" s="22" t="n">
        <f aca="false">(1-$C$9)*K99+(1-$C$10)*K106</f>
        <v>102111.15</v>
      </c>
      <c r="L13" s="22" t="n">
        <f aca="false">(1-$C$9)*L99+(1-$C$10)*L106</f>
        <v>110902.35</v>
      </c>
      <c r="M13" s="22" t="n">
        <f aca="false">(1-$C$9)*M99+(1-$C$10)*M106</f>
        <v>117109.05</v>
      </c>
      <c r="N13" s="22" t="n">
        <f aca="false">(1-$C$9)*N99+(1-$C$10)*N106</f>
        <v>117455.7</v>
      </c>
      <c r="O13" s="23" t="n">
        <f aca="false">(1-$C$9)*O99+(1-$C$10)*O106</f>
        <v>118124.4</v>
      </c>
    </row>
    <row r="14" customFormat="false" ht="12.75" hidden="false" customHeight="false" outlineLevel="0" collapsed="false">
      <c r="B14" s="26"/>
      <c r="C14" s="27" t="s">
        <v>10</v>
      </c>
      <c r="D14" s="21" t="n">
        <f aca="false">D83</f>
        <v>117386</v>
      </c>
      <c r="E14" s="21" t="n">
        <f aca="false">E83</f>
        <v>123375</v>
      </c>
      <c r="F14" s="21" t="n">
        <f aca="false">F83</f>
        <v>124935</v>
      </c>
      <c r="G14" s="21" t="n">
        <f aca="false">G83</f>
        <v>131680</v>
      </c>
      <c r="H14" s="21" t="n">
        <f aca="false">H83</f>
        <v>129059</v>
      </c>
      <c r="I14" s="21" t="n">
        <f aca="false">I83</f>
        <v>129545</v>
      </c>
      <c r="J14" s="22" t="n">
        <f aca="false">J83</f>
        <v>135328</v>
      </c>
      <c r="K14" s="22" t="n">
        <f aca="false">K83</f>
        <v>137996</v>
      </c>
      <c r="L14" s="22" t="n">
        <f aca="false">L83</f>
        <v>140800</v>
      </c>
      <c r="M14" s="22" t="n">
        <f aca="false">M83</f>
        <v>143668</v>
      </c>
      <c r="N14" s="22" t="n">
        <f aca="false">N83</f>
        <v>146685</v>
      </c>
      <c r="O14" s="23" t="n">
        <f aca="false">O83</f>
        <v>149689</v>
      </c>
    </row>
    <row r="15" customFormat="false" ht="12.75" hidden="false" customHeight="false" outlineLevel="0" collapsed="false">
      <c r="B15" s="26"/>
      <c r="C15" s="27" t="s">
        <v>11</v>
      </c>
      <c r="D15" s="28" t="n">
        <f aca="false">(D13-D14)/D13</f>
        <v>-0.256169232810687</v>
      </c>
      <c r="E15" s="28" t="n">
        <f aca="false">(E13-E14)/E13</f>
        <v>-0.29694016730134</v>
      </c>
      <c r="F15" s="28" t="n">
        <f aca="false">(F13-F14)/F13</f>
        <v>-0.300406562455112</v>
      </c>
      <c r="G15" s="28" t="n">
        <f aca="false">(G13-G14)/G13</f>
        <v>-0.366808091030581</v>
      </c>
      <c r="H15" s="28" t="n">
        <f aca="false">(H13-H14)/H13</f>
        <v>-0.336080881865765</v>
      </c>
      <c r="I15" s="28" t="n">
        <f aca="false">(I13-I14)/I13</f>
        <v>-0.338729795560681</v>
      </c>
      <c r="J15" s="29" t="n">
        <f aca="false">(J13-J14)/J13</f>
        <v>-0.374955485755188</v>
      </c>
      <c r="K15" s="29" t="n">
        <f aca="false">(K13-K14)/K13</f>
        <v>-0.351429300326164</v>
      </c>
      <c r="L15" s="29" t="n">
        <f aca="false">(L13-L14)/L13</f>
        <v>-0.26958536045449</v>
      </c>
      <c r="M15" s="29" t="n">
        <f aca="false">(M13-M14)/M13</f>
        <v>-0.226788194422207</v>
      </c>
      <c r="N15" s="29" t="n">
        <f aca="false">(N13-N14)/N13</f>
        <v>-0.248853823186103</v>
      </c>
      <c r="O15" s="30" t="n">
        <f aca="false">(O13-O14)/O13</f>
        <v>-0.267214902255588</v>
      </c>
    </row>
    <row r="16" customFormat="false" ht="12.75" hidden="false" customHeight="false" outlineLevel="0" collapsed="false">
      <c r="B16" s="26"/>
      <c r="C16" s="27"/>
      <c r="D16" s="21"/>
      <c r="E16" s="21"/>
      <c r="F16" s="21"/>
      <c r="G16" s="21"/>
      <c r="H16" s="21"/>
      <c r="I16" s="21"/>
      <c r="J16" s="22"/>
      <c r="K16" s="22"/>
      <c r="L16" s="22"/>
      <c r="M16" s="22"/>
      <c r="N16" s="22"/>
      <c r="O16" s="23"/>
    </row>
    <row r="17" customFormat="false" ht="12.75" hidden="false" customHeight="false" outlineLevel="0" collapsed="false">
      <c r="B17" s="24" t="s">
        <v>12</v>
      </c>
      <c r="C17" s="27"/>
      <c r="D17" s="8" t="n">
        <v>1995</v>
      </c>
      <c r="E17" s="8" t="n">
        <v>1996</v>
      </c>
      <c r="F17" s="8" t="n">
        <v>1997</v>
      </c>
      <c r="G17" s="8" t="n">
        <v>1998</v>
      </c>
      <c r="H17" s="8" t="n">
        <v>1999</v>
      </c>
      <c r="I17" s="8" t="n">
        <v>2000</v>
      </c>
      <c r="J17" s="9" t="n">
        <v>2001</v>
      </c>
      <c r="K17" s="9" t="n">
        <v>2002</v>
      </c>
      <c r="L17" s="9" t="n">
        <v>2003</v>
      </c>
      <c r="M17" s="9" t="n">
        <v>2004</v>
      </c>
      <c r="N17" s="9" t="n">
        <v>2005</v>
      </c>
      <c r="O17" s="25" t="n">
        <v>2006</v>
      </c>
    </row>
    <row r="18" customFormat="false" ht="12.75" hidden="false" customHeight="false" outlineLevel="0" collapsed="false">
      <c r="B18" s="18"/>
      <c r="C18" s="27" t="s">
        <v>9</v>
      </c>
      <c r="D18" s="21" t="n">
        <f aca="false">(1-$C$9)*D98+(1-$C$10)*D105</f>
        <v>40957.5</v>
      </c>
      <c r="E18" s="21" t="n">
        <f aca="false">(1-$C$9)*E98+(1-$C$10)*E105</f>
        <v>42299.55</v>
      </c>
      <c r="F18" s="21" t="n">
        <f aca="false">(1-$C$9)*F98+(1-$C$10)*F105</f>
        <v>42611.7</v>
      </c>
      <c r="G18" s="21" t="n">
        <f aca="false">(1-$C$9)*G98+(1-$C$10)*G105</f>
        <v>41034.15</v>
      </c>
      <c r="H18" s="21" t="n">
        <f aca="false">(1-$C$9)*H98+(1-$C$10)*H105</f>
        <v>40998.3</v>
      </c>
      <c r="I18" s="21" t="n">
        <f aca="false">(1-$C$9)*I98+(1-$C$10)*I105</f>
        <v>40484.1</v>
      </c>
      <c r="J18" s="22" t="n">
        <f aca="false">(1-$C$9)*J98+(1-$C$10)*J105</f>
        <v>40484.1</v>
      </c>
      <c r="K18" s="22" t="n">
        <f aca="false">(1-$C$9)*K98+(1-$C$10)*K105</f>
        <v>41311.2</v>
      </c>
      <c r="L18" s="22" t="n">
        <f aca="false">(1-$C$9)*L98+(1-$C$10)*L105</f>
        <v>43993.2</v>
      </c>
      <c r="M18" s="22" t="n">
        <f aca="false">(1-$C$9)*M98+(1-$C$10)*M105</f>
        <v>45390</v>
      </c>
      <c r="N18" s="22" t="n">
        <f aca="false">(1-$C$9)*N98+(1-$C$10)*N105</f>
        <v>45390</v>
      </c>
      <c r="O18" s="23" t="n">
        <f aca="false">(1-$C$9)*O98+(1-$C$10)*O105</f>
        <v>45592.5</v>
      </c>
    </row>
    <row r="19" customFormat="false" ht="12.75" hidden="false" customHeight="false" outlineLevel="0" collapsed="false">
      <c r="B19" s="18"/>
      <c r="C19" s="27" t="s">
        <v>10</v>
      </c>
      <c r="D19" s="21" t="n">
        <f aca="false">D82</f>
        <v>52510</v>
      </c>
      <c r="E19" s="21" t="n">
        <f aca="false">E82</f>
        <v>54760</v>
      </c>
      <c r="F19" s="21" t="n">
        <f aca="false">F82</f>
        <v>53217</v>
      </c>
      <c r="G19" s="21" t="n">
        <f aca="false">G82</f>
        <v>55441</v>
      </c>
      <c r="H19" s="21" t="n">
        <f aca="false">H82</f>
        <v>53146</v>
      </c>
      <c r="I19" s="21" t="n">
        <f aca="false">I82</f>
        <v>51213</v>
      </c>
      <c r="J19" s="22" t="n">
        <f aca="false">J82</f>
        <v>54819</v>
      </c>
      <c r="K19" s="22" t="n">
        <f aca="false">K82</f>
        <v>55821</v>
      </c>
      <c r="L19" s="22" t="n">
        <f aca="false">L82</f>
        <v>56977</v>
      </c>
      <c r="M19" s="22" t="n">
        <f aca="false">M82</f>
        <v>58034</v>
      </c>
      <c r="N19" s="22" t="n">
        <f aca="false">N82</f>
        <v>59137</v>
      </c>
      <c r="O19" s="23" t="n">
        <f aca="false">O82</f>
        <v>60205</v>
      </c>
    </row>
    <row r="20" customFormat="false" ht="12.75" hidden="false" customHeight="false" outlineLevel="0" collapsed="false">
      <c r="B20" s="18"/>
      <c r="C20" s="27" t="s">
        <v>11</v>
      </c>
      <c r="D20" s="28" t="n">
        <f aca="false">(D18-D19)/D18</f>
        <v>-0.282060672648477</v>
      </c>
      <c r="E20" s="28" t="n">
        <f aca="false">(E18-E19)/E18</f>
        <v>-0.29457641984371</v>
      </c>
      <c r="F20" s="28" t="n">
        <f aca="false">(F18-F19)/F18</f>
        <v>-0.248882349213948</v>
      </c>
      <c r="G20" s="28" t="n">
        <f aca="false">(G18-G19)/G18</f>
        <v>-0.351094149629028</v>
      </c>
      <c r="H20" s="28" t="n">
        <f aca="false">(H18-H19)/H18</f>
        <v>-0.296297651366032</v>
      </c>
      <c r="I20" s="28" t="n">
        <f aca="false">(I18-I19)/I18</f>
        <v>-0.265015154097534</v>
      </c>
      <c r="J20" s="29" t="n">
        <f aca="false">(J18-J19)/J18</f>
        <v>-0.354087160144353</v>
      </c>
      <c r="K20" s="29" t="n">
        <f aca="false">(K18-K19)/K18</f>
        <v>-0.351231627258467</v>
      </c>
      <c r="L20" s="29" t="n">
        <f aca="false">(L18-L19)/L18</f>
        <v>-0.295131974941582</v>
      </c>
      <c r="M20" s="29" t="n">
        <f aca="false">(M18-M19)/M18</f>
        <v>-0.278563560255563</v>
      </c>
      <c r="N20" s="29" t="n">
        <f aca="false">(N18-N19)/N18</f>
        <v>-0.302864066975105</v>
      </c>
      <c r="O20" s="30" t="n">
        <f aca="false">(O18-O19)/O18</f>
        <v>-0.320502275593574</v>
      </c>
    </row>
    <row r="21" customFormat="false" ht="12.75" hidden="false" customHeight="false" outlineLevel="0" collapsed="false">
      <c r="B21" s="18"/>
      <c r="C21" s="27"/>
      <c r="D21" s="28"/>
      <c r="E21" s="28"/>
      <c r="F21" s="28"/>
      <c r="G21" s="28"/>
      <c r="H21" s="28"/>
      <c r="I21" s="28"/>
      <c r="J21" s="29"/>
      <c r="K21" s="29"/>
      <c r="L21" s="29"/>
      <c r="M21" s="29"/>
      <c r="N21" s="29"/>
      <c r="O21" s="30"/>
    </row>
    <row r="22" customFormat="false" ht="12.75" hidden="false" customHeight="false" outlineLevel="0" collapsed="false">
      <c r="B22" s="24" t="s">
        <v>13</v>
      </c>
      <c r="C22" s="27"/>
      <c r="D22" s="8" t="n">
        <v>1995</v>
      </c>
      <c r="E22" s="8" t="n">
        <v>1996</v>
      </c>
      <c r="F22" s="8" t="n">
        <v>1997</v>
      </c>
      <c r="G22" s="8" t="n">
        <v>1998</v>
      </c>
      <c r="H22" s="8" t="n">
        <v>1999</v>
      </c>
      <c r="I22" s="8" t="n">
        <v>2000</v>
      </c>
      <c r="J22" s="9" t="n">
        <v>2001</v>
      </c>
      <c r="K22" s="22"/>
      <c r="L22" s="22"/>
      <c r="M22" s="22"/>
      <c r="N22" s="22"/>
      <c r="O22" s="23"/>
    </row>
    <row r="23" customFormat="false" ht="12.75" hidden="false" customHeight="false" outlineLevel="0" collapsed="false">
      <c r="B23" s="24"/>
      <c r="C23" s="31" t="s">
        <v>14</v>
      </c>
      <c r="E23" s="32" t="n">
        <f aca="false">F113-$E$113</f>
        <v>1287</v>
      </c>
      <c r="F23" s="32" t="n">
        <f aca="false">G113-$E$113</f>
        <v>1565</v>
      </c>
      <c r="G23" s="32" t="n">
        <f aca="false">H113-$E$113</f>
        <v>2048</v>
      </c>
      <c r="H23" s="32" t="n">
        <f aca="false">I113-$E$113</f>
        <v>2154</v>
      </c>
      <c r="I23" s="33" t="n">
        <f aca="false">J113-$E$113</f>
        <v>4012</v>
      </c>
      <c r="J23" s="33" t="n">
        <f aca="false">K113-$E$113</f>
        <v>8151</v>
      </c>
      <c r="K23" s="22"/>
      <c r="L23" s="22"/>
      <c r="M23" s="22"/>
      <c r="N23" s="22"/>
      <c r="O23" s="23"/>
    </row>
    <row r="24" customFormat="false" ht="12.75" hidden="false" customHeight="false" outlineLevel="0" collapsed="false">
      <c r="B24" s="34"/>
      <c r="C24" s="31" t="s">
        <v>15</v>
      </c>
      <c r="E24" s="32" t="n">
        <f aca="false">(E90-D90)/8.784</f>
        <v>3610.08652094718</v>
      </c>
      <c r="F24" s="32" t="n">
        <f aca="false">(F90-E90)/8.76+E24</f>
        <v>5096.15958030791</v>
      </c>
      <c r="G24" s="32" t="n">
        <f aca="false">(G90-F90)/8.76+F24</f>
        <v>6041.13674925768</v>
      </c>
      <c r="H24" s="32" t="n">
        <f aca="false">(H90-G90)/8.76+G24</f>
        <v>7358.26003692891</v>
      </c>
      <c r="I24" s="33" t="n">
        <f aca="false">(I90-H90)/8.784+H24</f>
        <v>10470.8511116102</v>
      </c>
      <c r="J24" s="33" t="n">
        <f aca="false">(J90-I90)/8.76+I24</f>
        <v>12220.3944906056</v>
      </c>
      <c r="K24" s="22"/>
      <c r="L24" s="22"/>
      <c r="M24" s="22"/>
      <c r="N24" s="22"/>
      <c r="O24" s="23"/>
    </row>
    <row r="25" customFormat="false" ht="12.75" hidden="false" customHeight="false" outlineLevel="0" collapsed="false">
      <c r="B25" s="34"/>
      <c r="C25" s="31" t="s">
        <v>16</v>
      </c>
      <c r="E25" s="32" t="n">
        <f aca="false">E24-E23</f>
        <v>2323.08652094718</v>
      </c>
      <c r="F25" s="32" t="n">
        <f aca="false">F24-F23</f>
        <v>3531.15958030791</v>
      </c>
      <c r="G25" s="32" t="n">
        <f aca="false">G24-G23</f>
        <v>3993.13674925768</v>
      </c>
      <c r="H25" s="32" t="n">
        <f aca="false">H24-H23</f>
        <v>5204.26003692891</v>
      </c>
      <c r="I25" s="33" t="n">
        <f aca="false">I24-I23</f>
        <v>6458.85111161015</v>
      </c>
      <c r="J25" s="33" t="n">
        <f aca="false">J24-J23</f>
        <v>4069.39449060558</v>
      </c>
      <c r="K25" s="22"/>
      <c r="L25" s="22"/>
      <c r="M25" s="22"/>
      <c r="N25" s="22"/>
      <c r="O25" s="23"/>
    </row>
    <row r="26" customFormat="false" ht="12.75" hidden="false" customHeight="false" outlineLevel="0" collapsed="false">
      <c r="B26" s="34"/>
      <c r="C26" s="27"/>
      <c r="D26" s="21"/>
      <c r="E26" s="21"/>
      <c r="F26" s="21"/>
      <c r="G26" s="21"/>
      <c r="H26" s="21"/>
      <c r="I26" s="21"/>
      <c r="J26" s="22"/>
      <c r="K26" s="22"/>
      <c r="L26" s="22"/>
      <c r="M26" s="22"/>
      <c r="N26" s="22"/>
      <c r="O26" s="23"/>
    </row>
    <row r="27" customFormat="false" ht="12.75" hidden="false" customHeight="false" outlineLevel="0" collapsed="false">
      <c r="B27" s="24" t="s">
        <v>17</v>
      </c>
      <c r="C27" s="27"/>
      <c r="D27" s="8" t="n">
        <v>1995</v>
      </c>
      <c r="E27" s="8" t="n">
        <v>1996</v>
      </c>
      <c r="F27" s="8" t="n">
        <v>1997</v>
      </c>
      <c r="G27" s="8" t="n">
        <v>1998</v>
      </c>
      <c r="H27" s="8" t="n">
        <v>1999</v>
      </c>
      <c r="I27" s="8" t="n">
        <v>2000</v>
      </c>
      <c r="J27" s="9" t="n">
        <v>2001</v>
      </c>
      <c r="K27" s="22"/>
      <c r="L27" s="22"/>
      <c r="M27" s="22"/>
      <c r="N27" s="22"/>
      <c r="O27" s="23"/>
    </row>
    <row r="28" customFormat="false" ht="12.75" hidden="false" customHeight="false" outlineLevel="0" collapsed="false">
      <c r="B28" s="34"/>
      <c r="C28" s="31" t="s">
        <v>14</v>
      </c>
      <c r="E28" s="32" t="n">
        <f aca="false">F112-$E$112</f>
        <v>471</v>
      </c>
      <c r="F28" s="32" t="n">
        <f aca="false">G112-$E$112</f>
        <v>-1296</v>
      </c>
      <c r="G28" s="32" t="n">
        <f aca="false">H112-$E$112</f>
        <v>-1350</v>
      </c>
      <c r="H28" s="32" t="n">
        <f aca="false">I112-$E$112</f>
        <v>-2188</v>
      </c>
      <c r="I28" s="33" t="n">
        <f aca="false">J112-$E$112</f>
        <v>-2188</v>
      </c>
      <c r="J28" s="33" t="n">
        <f aca="false">K112-$E$112</f>
        <v>-1269</v>
      </c>
      <c r="K28" s="22"/>
      <c r="L28" s="22"/>
      <c r="M28" s="22"/>
      <c r="N28" s="22"/>
      <c r="O28" s="23"/>
    </row>
    <row r="29" customFormat="false" ht="12.75" hidden="false" customHeight="false" outlineLevel="0" collapsed="false">
      <c r="B29" s="34"/>
      <c r="C29" s="31" t="s">
        <v>15</v>
      </c>
      <c r="E29" s="32" t="n">
        <f aca="false">(E89-D89)/8.784</f>
        <v>1115.55100182149</v>
      </c>
      <c r="F29" s="32" t="n">
        <f aca="false">(F89-E89)/8.76+E29</f>
        <v>287.925431045238</v>
      </c>
      <c r="G29" s="32" t="n">
        <f aca="false">(G89-F89)/8.76+F29</f>
        <v>17.7199515931831</v>
      </c>
      <c r="H29" s="32" t="n">
        <f aca="false">(H89-G89)/8.76+G29</f>
        <v>896.14460912743</v>
      </c>
      <c r="I29" s="33" t="n">
        <f aca="false">(I89-H89)/8.784+H29</f>
        <v>1944.86956359009</v>
      </c>
      <c r="J29" s="33" t="n">
        <f aca="false">(J89-I89)/8.76+I29</f>
        <v>2536.30791975447</v>
      </c>
      <c r="K29" s="22"/>
      <c r="L29" s="22"/>
      <c r="M29" s="22"/>
      <c r="N29" s="22"/>
      <c r="O29" s="23"/>
    </row>
    <row r="30" customFormat="false" ht="12.75" hidden="false" customHeight="false" outlineLevel="0" collapsed="false">
      <c r="B30" s="34"/>
      <c r="C30" s="31" t="s">
        <v>16</v>
      </c>
      <c r="E30" s="32" t="n">
        <f aca="false">E29-E28</f>
        <v>644.551001821494</v>
      </c>
      <c r="F30" s="32" t="n">
        <f aca="false">F29-F28</f>
        <v>1583.92543104524</v>
      </c>
      <c r="G30" s="32" t="n">
        <f aca="false">G29-G28</f>
        <v>1367.71995159318</v>
      </c>
      <c r="H30" s="32" t="n">
        <f aca="false">H29-H28</f>
        <v>3084.14460912743</v>
      </c>
      <c r="I30" s="33" t="n">
        <f aca="false">I29-I28</f>
        <v>4132.86956359009</v>
      </c>
      <c r="J30" s="33" t="n">
        <f aca="false">J29-J28</f>
        <v>3805.30791975447</v>
      </c>
      <c r="K30" s="22"/>
      <c r="L30" s="22"/>
      <c r="M30" s="22"/>
      <c r="N30" s="22"/>
      <c r="O30" s="23"/>
    </row>
    <row r="31" customFormat="false" ht="12.75" hidden="false" customHeight="false" outlineLevel="0" collapsed="false">
      <c r="B31" s="34"/>
      <c r="C31" s="31"/>
      <c r="E31" s="32"/>
      <c r="F31" s="32"/>
      <c r="G31" s="32"/>
      <c r="H31" s="32"/>
      <c r="I31" s="32"/>
      <c r="J31" s="33"/>
      <c r="K31" s="22"/>
      <c r="L31" s="22"/>
      <c r="M31" s="22"/>
      <c r="N31" s="22"/>
      <c r="O31" s="23"/>
    </row>
    <row r="32" customFormat="false" ht="12.75" hidden="false" customHeight="false" outlineLevel="0" collapsed="false">
      <c r="B32" s="34"/>
      <c r="C32" s="31"/>
      <c r="E32" s="32"/>
      <c r="F32" s="32"/>
      <c r="G32" s="32"/>
      <c r="H32" s="32"/>
      <c r="I32" s="32"/>
      <c r="J32" s="33"/>
      <c r="K32" s="22"/>
      <c r="L32" s="22"/>
      <c r="M32" s="22"/>
      <c r="N32" s="22"/>
      <c r="O32" s="23"/>
    </row>
    <row r="33" customFormat="false" ht="12.75" hidden="false" customHeight="false" outlineLevel="0" collapsed="false">
      <c r="B33" s="34" t="s">
        <v>18</v>
      </c>
      <c r="D33" s="35" t="n">
        <v>0.85</v>
      </c>
      <c r="E33" s="35" t="n">
        <v>0.85</v>
      </c>
      <c r="F33" s="35" t="n">
        <v>0.85</v>
      </c>
      <c r="G33" s="35" t="n">
        <v>0.85</v>
      </c>
      <c r="H33" s="35" t="n">
        <v>0.85</v>
      </c>
      <c r="I33" s="35" t="n">
        <v>0.85</v>
      </c>
      <c r="J33" s="36" t="n">
        <v>0.75</v>
      </c>
      <c r="K33" s="22"/>
      <c r="L33" s="22"/>
      <c r="M33" s="22"/>
      <c r="N33" s="22"/>
      <c r="O33" s="23"/>
    </row>
    <row r="34" customFormat="false" ht="12.75" hidden="false" customHeight="false" outlineLevel="0" collapsed="false">
      <c r="B34" s="34" t="s">
        <v>19</v>
      </c>
      <c r="D34" s="35" t="n">
        <v>0.95</v>
      </c>
      <c r="E34" s="35" t="n">
        <v>0.95</v>
      </c>
      <c r="F34" s="35" t="n">
        <v>0.95</v>
      </c>
      <c r="G34" s="35" t="n">
        <v>0.95</v>
      </c>
      <c r="H34" s="35" t="n">
        <v>0.95</v>
      </c>
      <c r="I34" s="35" t="n">
        <v>0.95</v>
      </c>
      <c r="J34" s="36" t="n">
        <v>0.95</v>
      </c>
      <c r="K34" s="22"/>
      <c r="L34" s="22"/>
      <c r="M34" s="22"/>
      <c r="N34" s="22"/>
      <c r="O34" s="23"/>
    </row>
    <row r="35" customFormat="false" ht="12.75" hidden="false" customHeight="false" outlineLevel="0" collapsed="false">
      <c r="B35" s="34"/>
      <c r="J35" s="3"/>
      <c r="K35" s="22"/>
      <c r="L35" s="22"/>
      <c r="M35" s="22"/>
      <c r="N35" s="22"/>
      <c r="O35" s="23"/>
    </row>
    <row r="36" customFormat="false" ht="12.75" hidden="false" customHeight="false" outlineLevel="0" collapsed="false">
      <c r="B36" s="24" t="s">
        <v>20</v>
      </c>
      <c r="D36" s="8" t="n">
        <v>1995</v>
      </c>
      <c r="E36" s="8" t="n">
        <v>1996</v>
      </c>
      <c r="F36" s="8" t="n">
        <v>1997</v>
      </c>
      <c r="G36" s="8" t="n">
        <v>1998</v>
      </c>
      <c r="H36" s="8" t="n">
        <v>1999</v>
      </c>
      <c r="I36" s="8" t="n">
        <v>2000</v>
      </c>
      <c r="J36" s="9" t="n">
        <v>2001</v>
      </c>
      <c r="K36" s="22"/>
      <c r="L36" s="22"/>
      <c r="M36" s="22"/>
      <c r="N36" s="22"/>
      <c r="O36" s="23"/>
    </row>
    <row r="37" customFormat="false" ht="12.75" hidden="false" customHeight="false" outlineLevel="0" collapsed="false">
      <c r="B37" s="34"/>
      <c r="C37" s="37" t="s">
        <v>21</v>
      </c>
      <c r="D37" s="38" t="n">
        <f aca="false">D99+D122</f>
        <v>60783</v>
      </c>
      <c r="E37" s="38" t="n">
        <f aca="false">E99+E122</f>
        <v>61066</v>
      </c>
      <c r="F37" s="38" t="n">
        <f aca="false">F99+F122</f>
        <v>61043</v>
      </c>
      <c r="G37" s="38" t="n">
        <f aca="false">G99+G122</f>
        <v>61284</v>
      </c>
      <c r="H37" s="38" t="n">
        <f aca="false">H99+H122</f>
        <v>61182</v>
      </c>
      <c r="I37" s="38" t="n">
        <f aca="false">I99+I122</f>
        <v>61203</v>
      </c>
      <c r="J37" s="39" t="n">
        <f aca="false">J99+J122</f>
        <v>61253</v>
      </c>
      <c r="K37" s="22"/>
      <c r="L37" s="22"/>
      <c r="M37" s="22"/>
      <c r="N37" s="22"/>
      <c r="O37" s="23"/>
    </row>
    <row r="38" customFormat="false" ht="12.75" hidden="false" customHeight="false" outlineLevel="0" collapsed="false">
      <c r="B38" s="34"/>
      <c r="C38" s="37" t="s">
        <v>22</v>
      </c>
      <c r="D38" s="38" t="n">
        <f aca="false">D106+D136</f>
        <v>96586</v>
      </c>
      <c r="E38" s="38" t="n">
        <f aca="false">E106+E136</f>
        <v>96854</v>
      </c>
      <c r="F38" s="38" t="n">
        <f aca="false">F106+F136</f>
        <v>96849</v>
      </c>
      <c r="G38" s="38" t="n">
        <f aca="false">G106+G136</f>
        <v>97355</v>
      </c>
      <c r="H38" s="38" t="n">
        <f aca="false">H106+H136</f>
        <v>97220</v>
      </c>
      <c r="I38" s="38" t="n">
        <f aca="false">I106+I136</f>
        <v>99180</v>
      </c>
      <c r="J38" s="39" t="n">
        <f aca="false">J106+J136</f>
        <v>103298</v>
      </c>
      <c r="K38" s="22"/>
      <c r="L38" s="22"/>
      <c r="M38" s="22"/>
      <c r="N38" s="22"/>
      <c r="O38" s="23"/>
    </row>
    <row r="39" customFormat="false" ht="12.75" hidden="false" customHeight="false" outlineLevel="0" collapsed="false">
      <c r="B39" s="34"/>
      <c r="C39" s="37" t="s">
        <v>10</v>
      </c>
      <c r="D39" s="38" t="n">
        <f aca="false">D83</f>
        <v>117386</v>
      </c>
      <c r="E39" s="38" t="n">
        <f aca="false">E83</f>
        <v>123375</v>
      </c>
      <c r="F39" s="38" t="n">
        <f aca="false">F83</f>
        <v>124935</v>
      </c>
      <c r="G39" s="38" t="n">
        <f aca="false">G83</f>
        <v>131680</v>
      </c>
      <c r="H39" s="38" t="n">
        <f aca="false">H83</f>
        <v>129059</v>
      </c>
      <c r="I39" s="38" t="n">
        <f aca="false">I83</f>
        <v>129545</v>
      </c>
      <c r="J39" s="39" t="n">
        <f aca="false">J83</f>
        <v>135328</v>
      </c>
      <c r="K39" s="22"/>
      <c r="L39" s="22"/>
      <c r="M39" s="22"/>
      <c r="N39" s="22"/>
      <c r="O39" s="23"/>
    </row>
    <row r="40" customFormat="false" ht="12.75" hidden="false" customHeight="false" outlineLevel="0" collapsed="false">
      <c r="B40" s="34"/>
      <c r="C40" s="31" t="s">
        <v>11</v>
      </c>
      <c r="D40" s="28" t="n">
        <f aca="false">(D37+D38)/D39-1</f>
        <v>0.340611316511339</v>
      </c>
      <c r="E40" s="28" t="n">
        <f aca="false">(E37+E38)/E39-1</f>
        <v>0.28</v>
      </c>
      <c r="F40" s="28" t="n">
        <f aca="false">(F37+F38)/F39-1</f>
        <v>0.263793172449674</v>
      </c>
      <c r="G40" s="28" t="n">
        <f aca="false">(G37+G38)/G39-1</f>
        <v>0.204731166464156</v>
      </c>
      <c r="H40" s="28" t="n">
        <f aca="false">(H37+H38)/H39-1</f>
        <v>0.227361129405931</v>
      </c>
      <c r="I40" s="28" t="n">
        <f aca="false">(I37+I38)/I39-1</f>
        <v>0.238048554556332</v>
      </c>
      <c r="J40" s="29" t="n">
        <f aca="false">(J37+J38)/J39-1</f>
        <v>0.215942007566801</v>
      </c>
      <c r="K40" s="22"/>
      <c r="L40" s="22"/>
      <c r="M40" s="22"/>
      <c r="N40" s="22"/>
      <c r="O40" s="23"/>
    </row>
    <row r="41" customFormat="false" ht="12.75" hidden="false" customHeight="false" outlineLevel="0" collapsed="false">
      <c r="B41" s="34"/>
      <c r="C41" s="31"/>
      <c r="D41" s="38"/>
      <c r="E41" s="32"/>
      <c r="F41" s="32"/>
      <c r="G41" s="32"/>
      <c r="H41" s="32"/>
      <c r="I41" s="32"/>
      <c r="J41" s="33"/>
      <c r="K41" s="22"/>
      <c r="L41" s="22"/>
      <c r="M41" s="22"/>
      <c r="N41" s="22"/>
      <c r="O41" s="23"/>
    </row>
    <row r="42" customFormat="false" ht="12.75" hidden="false" customHeight="false" outlineLevel="0" collapsed="false">
      <c r="B42" s="24" t="s">
        <v>23</v>
      </c>
      <c r="D42" s="8" t="n">
        <v>1995</v>
      </c>
      <c r="E42" s="8" t="n">
        <v>1996</v>
      </c>
      <c r="F42" s="8" t="n">
        <v>1997</v>
      </c>
      <c r="G42" s="8" t="n">
        <v>1998</v>
      </c>
      <c r="H42" s="8" t="n">
        <v>1999</v>
      </c>
      <c r="I42" s="8" t="n">
        <v>2000</v>
      </c>
      <c r="J42" s="9" t="n">
        <v>2001</v>
      </c>
      <c r="K42" s="22"/>
      <c r="L42" s="22"/>
      <c r="M42" s="22"/>
      <c r="N42" s="22"/>
      <c r="O42" s="23"/>
    </row>
    <row r="43" customFormat="false" ht="12.75" hidden="false" customHeight="false" outlineLevel="0" collapsed="false">
      <c r="B43" s="34"/>
      <c r="C43" s="37" t="s">
        <v>21</v>
      </c>
      <c r="D43" s="38" t="n">
        <f aca="false">D37*D$33</f>
        <v>51665.55</v>
      </c>
      <c r="E43" s="38" t="n">
        <f aca="false">E37*E$33</f>
        <v>51906.1</v>
      </c>
      <c r="F43" s="38" t="n">
        <f aca="false">F37*F$33</f>
        <v>51886.55</v>
      </c>
      <c r="G43" s="38" t="n">
        <f aca="false">G37*G$33</f>
        <v>52091.4</v>
      </c>
      <c r="H43" s="38" t="n">
        <f aca="false">H37*H$33</f>
        <v>52004.7</v>
      </c>
      <c r="I43" s="38" t="n">
        <f aca="false">I37*I$33</f>
        <v>52022.55</v>
      </c>
      <c r="J43" s="39" t="n">
        <f aca="false">J37*J$33</f>
        <v>45939.75</v>
      </c>
      <c r="K43" s="22"/>
      <c r="L43" s="22"/>
      <c r="M43" s="22"/>
      <c r="N43" s="22"/>
      <c r="O43" s="23"/>
    </row>
    <row r="44" customFormat="false" ht="12.75" hidden="false" customHeight="false" outlineLevel="0" collapsed="false">
      <c r="B44" s="34"/>
      <c r="C44" s="37" t="s">
        <v>22</v>
      </c>
      <c r="D44" s="38" t="n">
        <f aca="false">D38*D$34</f>
        <v>91756.7</v>
      </c>
      <c r="E44" s="38" t="n">
        <f aca="false">E38*E$34</f>
        <v>92011.3</v>
      </c>
      <c r="F44" s="38" t="n">
        <f aca="false">F38*F$34</f>
        <v>92006.55</v>
      </c>
      <c r="G44" s="38" t="n">
        <f aca="false">G38*G$34</f>
        <v>92487.25</v>
      </c>
      <c r="H44" s="38" t="n">
        <f aca="false">H38*H$34</f>
        <v>92359</v>
      </c>
      <c r="I44" s="38" t="n">
        <f aca="false">I38*I$34</f>
        <v>94221</v>
      </c>
      <c r="J44" s="39" t="n">
        <f aca="false">J38*J$34</f>
        <v>98133.1</v>
      </c>
      <c r="K44" s="22"/>
      <c r="L44" s="22"/>
      <c r="M44" s="22"/>
      <c r="N44" s="22"/>
      <c r="O44" s="23"/>
    </row>
    <row r="45" customFormat="false" ht="12.75" hidden="false" customHeight="false" outlineLevel="0" collapsed="false">
      <c r="B45" s="34"/>
      <c r="C45" s="37" t="s">
        <v>10</v>
      </c>
      <c r="D45" s="38" t="n">
        <f aca="false">D39</f>
        <v>117386</v>
      </c>
      <c r="E45" s="38" t="n">
        <f aca="false">E39</f>
        <v>123375</v>
      </c>
      <c r="F45" s="38" t="n">
        <f aca="false">F39</f>
        <v>124935</v>
      </c>
      <c r="G45" s="38" t="n">
        <f aca="false">G39</f>
        <v>131680</v>
      </c>
      <c r="H45" s="38" t="n">
        <f aca="false">H39</f>
        <v>129059</v>
      </c>
      <c r="I45" s="38" t="n">
        <f aca="false">I39</f>
        <v>129545</v>
      </c>
      <c r="J45" s="39" t="n">
        <f aca="false">J39</f>
        <v>135328</v>
      </c>
      <c r="K45" s="22"/>
      <c r="L45" s="22"/>
      <c r="M45" s="22"/>
      <c r="N45" s="22"/>
      <c r="O45" s="23"/>
    </row>
    <row r="46" customFormat="false" ht="12.75" hidden="false" customHeight="false" outlineLevel="0" collapsed="false">
      <c r="B46" s="34"/>
      <c r="C46" s="31" t="s">
        <v>11</v>
      </c>
      <c r="D46" s="28" t="n">
        <f aca="false">(D43+D44)/D45-1</f>
        <v>0.221800299865401</v>
      </c>
      <c r="E46" s="28" t="n">
        <f aca="false">(E43+E44)/E45-1</f>
        <v>0.166503748733536</v>
      </c>
      <c r="F46" s="28" t="n">
        <f aca="false">(F43+F44)/F45-1</f>
        <v>0.151743706727498</v>
      </c>
      <c r="G46" s="28" t="n">
        <f aca="false">(G43+G44)/G45-1</f>
        <v>0.0979545109356015</v>
      </c>
      <c r="H46" s="28" t="n">
        <f aca="false">(H43+H44)/H45-1</f>
        <v>0.118586847875778</v>
      </c>
      <c r="I46" s="28" t="n">
        <f aca="false">(I43+I44)/I45-1</f>
        <v>0.128901540005403</v>
      </c>
      <c r="J46" s="29" t="n">
        <f aca="false">(J43+J44)/J45-1</f>
        <v>0.0646196648143766</v>
      </c>
      <c r="K46" s="22"/>
      <c r="L46" s="22"/>
      <c r="M46" s="22"/>
      <c r="N46" s="22"/>
      <c r="O46" s="23"/>
    </row>
    <row r="47" customFormat="false" ht="12.75" hidden="false" customHeight="false" outlineLevel="0" collapsed="false">
      <c r="B47" s="34"/>
      <c r="C47" s="31"/>
      <c r="D47" s="38"/>
      <c r="E47" s="32"/>
      <c r="F47" s="32"/>
      <c r="G47" s="32"/>
      <c r="H47" s="32"/>
      <c r="I47" s="32"/>
      <c r="J47" s="33"/>
      <c r="K47" s="22"/>
      <c r="L47" s="22"/>
      <c r="M47" s="22"/>
      <c r="N47" s="22"/>
      <c r="O47" s="23"/>
    </row>
    <row r="48" customFormat="false" ht="12.75" hidden="false" customHeight="false" outlineLevel="0" collapsed="false">
      <c r="B48" s="24" t="s">
        <v>24</v>
      </c>
      <c r="D48" s="8" t="n">
        <v>1995</v>
      </c>
      <c r="E48" s="8" t="n">
        <v>1996</v>
      </c>
      <c r="F48" s="8" t="n">
        <v>1997</v>
      </c>
      <c r="G48" s="8" t="n">
        <v>1998</v>
      </c>
      <c r="H48" s="8" t="n">
        <v>1999</v>
      </c>
      <c r="I48" s="8" t="n">
        <v>2000</v>
      </c>
      <c r="J48" s="9" t="n">
        <v>2001</v>
      </c>
      <c r="K48" s="22"/>
      <c r="L48" s="22"/>
      <c r="M48" s="22"/>
      <c r="N48" s="22"/>
      <c r="O48" s="23"/>
    </row>
    <row r="49" customFormat="false" ht="12.75" hidden="false" customHeight="false" outlineLevel="0" collapsed="false">
      <c r="B49" s="34"/>
      <c r="C49" s="37" t="s">
        <v>21</v>
      </c>
      <c r="D49" s="38" t="n">
        <f aca="false">D98+D121</f>
        <v>9411</v>
      </c>
      <c r="E49" s="38" t="n">
        <f aca="false">E98+E121</f>
        <v>9560</v>
      </c>
      <c r="F49" s="38" t="n">
        <f aca="false">F98+F121</f>
        <v>9543</v>
      </c>
      <c r="G49" s="38" t="n">
        <f aca="false">G98+G121</f>
        <v>9526</v>
      </c>
      <c r="H49" s="38" t="n">
        <f aca="false">H98+H121</f>
        <v>9206</v>
      </c>
      <c r="I49" s="38" t="n">
        <f aca="false">I98+I121</f>
        <v>9206</v>
      </c>
      <c r="J49" s="39" t="n">
        <f aca="false">J98+J121</f>
        <v>9206</v>
      </c>
      <c r="K49" s="22"/>
      <c r="L49" s="22"/>
      <c r="M49" s="22"/>
      <c r="N49" s="22"/>
      <c r="O49" s="23"/>
    </row>
    <row r="50" customFormat="false" ht="12.75" hidden="false" customHeight="false" outlineLevel="0" collapsed="false">
      <c r="B50" s="34"/>
      <c r="C50" s="37" t="s">
        <v>22</v>
      </c>
      <c r="D50" s="38" t="n">
        <f aca="false">D105+D128</f>
        <v>45431</v>
      </c>
      <c r="E50" s="38" t="n">
        <f aca="false">E105+E128</f>
        <v>45753</v>
      </c>
      <c r="F50" s="38" t="n">
        <f aca="false">F105+F128</f>
        <v>44003</v>
      </c>
      <c r="G50" s="38" t="n">
        <f aca="false">G105+G128</f>
        <v>43966</v>
      </c>
      <c r="H50" s="38" t="n">
        <f aca="false">H105+H128</f>
        <v>43448</v>
      </c>
      <c r="I50" s="38" t="n">
        <f aca="false">I105+I128</f>
        <v>43448</v>
      </c>
      <c r="J50" s="39" t="n">
        <f aca="false">J105+J128</f>
        <v>44367</v>
      </c>
      <c r="K50" s="22"/>
      <c r="L50" s="22"/>
      <c r="M50" s="22"/>
      <c r="N50" s="22"/>
      <c r="O50" s="23"/>
    </row>
    <row r="51" customFormat="false" ht="12.75" hidden="false" customHeight="false" outlineLevel="0" collapsed="false">
      <c r="B51" s="34"/>
      <c r="C51" s="37" t="s">
        <v>10</v>
      </c>
      <c r="D51" s="38" t="n">
        <f aca="false">D82</f>
        <v>52510</v>
      </c>
      <c r="E51" s="38" t="n">
        <f aca="false">E82</f>
        <v>54760</v>
      </c>
      <c r="F51" s="38" t="n">
        <f aca="false">F82</f>
        <v>53217</v>
      </c>
      <c r="G51" s="38" t="n">
        <f aca="false">G82</f>
        <v>55441</v>
      </c>
      <c r="H51" s="38" t="n">
        <f aca="false">H82</f>
        <v>53146</v>
      </c>
      <c r="I51" s="38" t="n">
        <f aca="false">I82</f>
        <v>51213</v>
      </c>
      <c r="J51" s="39" t="n">
        <f aca="false">J82</f>
        <v>54819</v>
      </c>
      <c r="K51" s="22"/>
      <c r="L51" s="22"/>
      <c r="M51" s="22"/>
      <c r="N51" s="22"/>
      <c r="O51" s="23"/>
    </row>
    <row r="52" customFormat="false" ht="12.75" hidden="false" customHeight="false" outlineLevel="0" collapsed="false">
      <c r="B52" s="34"/>
      <c r="C52" s="31" t="s">
        <v>11</v>
      </c>
      <c r="D52" s="28" t="n">
        <f aca="false">(D49+D50)/D51-1</f>
        <v>0.0444105884593411</v>
      </c>
      <c r="E52" s="28" t="n">
        <f aca="false">(E49+E50)/E51-1</f>
        <v>0.0100986121256392</v>
      </c>
      <c r="F52" s="28" t="n">
        <f aca="false">(F49+F50)/F51-1</f>
        <v>0.00618223500009396</v>
      </c>
      <c r="G52" s="28" t="n">
        <f aca="false">(G49+G50)/G51-1</f>
        <v>-0.0351544885554013</v>
      </c>
      <c r="H52" s="28" t="n">
        <f aca="false">(H49+H50)/H51-1</f>
        <v>-0.00925751702856281</v>
      </c>
      <c r="I52" s="28" t="n">
        <f aca="false">(I49+I50)/I51-1</f>
        <v>0.0281373869915842</v>
      </c>
      <c r="J52" s="29" t="n">
        <f aca="false">(J49+J50)/J51-1</f>
        <v>-0.0227293456648242</v>
      </c>
      <c r="K52" s="22"/>
      <c r="L52" s="22"/>
      <c r="M52" s="22"/>
      <c r="N52" s="22"/>
      <c r="O52" s="23"/>
    </row>
    <row r="53" customFormat="false" ht="12.75" hidden="false" customHeight="false" outlineLevel="0" collapsed="false">
      <c r="B53" s="34"/>
      <c r="C53" s="31"/>
      <c r="D53" s="38"/>
      <c r="E53" s="32"/>
      <c r="F53" s="32"/>
      <c r="G53" s="32"/>
      <c r="H53" s="32"/>
      <c r="I53" s="32"/>
      <c r="J53" s="33"/>
      <c r="K53" s="22"/>
      <c r="L53" s="22"/>
      <c r="M53" s="22"/>
      <c r="N53" s="22"/>
      <c r="O53" s="23"/>
    </row>
    <row r="54" customFormat="false" ht="12.75" hidden="false" customHeight="false" outlineLevel="0" collapsed="false">
      <c r="B54" s="24" t="s">
        <v>25</v>
      </c>
      <c r="D54" s="8" t="n">
        <v>1995</v>
      </c>
      <c r="E54" s="8" t="n">
        <v>1996</v>
      </c>
      <c r="F54" s="8" t="n">
        <v>1997</v>
      </c>
      <c r="G54" s="8" t="n">
        <v>1998</v>
      </c>
      <c r="H54" s="8" t="n">
        <v>1999</v>
      </c>
      <c r="I54" s="8" t="n">
        <v>2000</v>
      </c>
      <c r="J54" s="9" t="n">
        <v>2001</v>
      </c>
      <c r="K54" s="22"/>
      <c r="L54" s="22"/>
      <c r="M54" s="22"/>
      <c r="N54" s="22"/>
      <c r="O54" s="23"/>
    </row>
    <row r="55" customFormat="false" ht="12.75" hidden="false" customHeight="false" outlineLevel="0" collapsed="false">
      <c r="B55" s="34"/>
      <c r="C55" s="37" t="s">
        <v>21</v>
      </c>
      <c r="D55" s="38" t="n">
        <f aca="false">D49*D$33</f>
        <v>7999.35</v>
      </c>
      <c r="E55" s="38" t="n">
        <f aca="false">E49*E$33</f>
        <v>8126</v>
      </c>
      <c r="F55" s="38" t="n">
        <f aca="false">F49*F$33</f>
        <v>8111.55</v>
      </c>
      <c r="G55" s="38" t="n">
        <f aca="false">G49*G$33</f>
        <v>8097.1</v>
      </c>
      <c r="H55" s="38" t="n">
        <f aca="false">H49*H$33</f>
        <v>7825.1</v>
      </c>
      <c r="I55" s="38" t="n">
        <f aca="false">I49*I$33</f>
        <v>7825.1</v>
      </c>
      <c r="J55" s="39" t="n">
        <f aca="false">J49*J$33</f>
        <v>6904.5</v>
      </c>
      <c r="K55" s="22"/>
      <c r="L55" s="22"/>
      <c r="M55" s="22"/>
      <c r="N55" s="22"/>
      <c r="O55" s="23"/>
    </row>
    <row r="56" customFormat="false" ht="12.75" hidden="false" customHeight="false" outlineLevel="0" collapsed="false">
      <c r="B56" s="34"/>
      <c r="C56" s="37" t="s">
        <v>22</v>
      </c>
      <c r="D56" s="38" t="n">
        <f aca="false">D50*D$34</f>
        <v>43159.45</v>
      </c>
      <c r="E56" s="38" t="n">
        <f aca="false">E50*E$34</f>
        <v>43465.35</v>
      </c>
      <c r="F56" s="38" t="n">
        <f aca="false">F50*F$34</f>
        <v>41802.85</v>
      </c>
      <c r="G56" s="38" t="n">
        <f aca="false">G50*G$34</f>
        <v>41767.7</v>
      </c>
      <c r="H56" s="38" t="n">
        <f aca="false">H50*H$34</f>
        <v>41275.6</v>
      </c>
      <c r="I56" s="38" t="n">
        <f aca="false">I50*I$34</f>
        <v>41275.6</v>
      </c>
      <c r="J56" s="39" t="n">
        <f aca="false">J50*J$34</f>
        <v>42148.65</v>
      </c>
      <c r="K56" s="22"/>
      <c r="L56" s="22"/>
      <c r="M56" s="22"/>
      <c r="N56" s="22"/>
      <c r="O56" s="23"/>
    </row>
    <row r="57" customFormat="false" ht="12.75" hidden="false" customHeight="false" outlineLevel="0" collapsed="false">
      <c r="B57" s="34"/>
      <c r="C57" s="37" t="s">
        <v>10</v>
      </c>
      <c r="D57" s="38" t="n">
        <f aca="false">D51</f>
        <v>52510</v>
      </c>
      <c r="E57" s="38" t="n">
        <f aca="false">E51</f>
        <v>54760</v>
      </c>
      <c r="F57" s="38" t="n">
        <f aca="false">F51</f>
        <v>53217</v>
      </c>
      <c r="G57" s="38" t="n">
        <f aca="false">G51</f>
        <v>55441</v>
      </c>
      <c r="H57" s="38" t="n">
        <f aca="false">H51</f>
        <v>53146</v>
      </c>
      <c r="I57" s="38" t="n">
        <f aca="false">I51</f>
        <v>51213</v>
      </c>
      <c r="J57" s="39" t="n">
        <f aca="false">J51</f>
        <v>54819</v>
      </c>
      <c r="K57" s="22"/>
      <c r="L57" s="22"/>
      <c r="M57" s="22"/>
      <c r="N57" s="22"/>
      <c r="O57" s="23"/>
    </row>
    <row r="58" customFormat="false" ht="12.75" hidden="false" customHeight="false" outlineLevel="0" collapsed="false">
      <c r="B58" s="34"/>
      <c r="C58" s="31" t="s">
        <v>11</v>
      </c>
      <c r="D58" s="28" t="n">
        <f aca="false">(D55+D56)/D57-1</f>
        <v>-0.0257322414778138</v>
      </c>
      <c r="E58" s="28" t="n">
        <f aca="false">(E55+E56)/E57-1</f>
        <v>-0.0578643170197225</v>
      </c>
      <c r="F58" s="28" t="n">
        <f aca="false">(F55+F56)/F57-1</f>
        <v>-0.0620591164477516</v>
      </c>
      <c r="G58" s="28" t="n">
        <f aca="false">(G55+G56)/G57-1</f>
        <v>-0.100578993885392</v>
      </c>
      <c r="H58" s="28" t="n">
        <f aca="false">(H55+H56)/H57-1</f>
        <v>-0.0761167350317993</v>
      </c>
      <c r="I58" s="28" t="n">
        <f aca="false">(I55+I56)/I57-1</f>
        <v>-0.041245386913479</v>
      </c>
      <c r="J58" s="29" t="n">
        <f aca="false">(J55+J56)/J57-1</f>
        <v>-0.105179773436217</v>
      </c>
      <c r="K58" s="22"/>
      <c r="L58" s="22"/>
      <c r="M58" s="22"/>
      <c r="N58" s="22"/>
      <c r="O58" s="23"/>
    </row>
    <row r="59" customFormat="false" ht="12.75" hidden="false" customHeight="false" outlineLevel="0" collapsed="false">
      <c r="B59" s="24" t="s">
        <v>26</v>
      </c>
      <c r="C59" s="31"/>
      <c r="D59" s="38"/>
      <c r="E59" s="32"/>
      <c r="F59" s="32"/>
      <c r="G59" s="32"/>
      <c r="H59" s="32"/>
      <c r="I59" s="32"/>
      <c r="J59" s="33"/>
      <c r="K59" s="22"/>
      <c r="L59" s="22"/>
      <c r="M59" s="22"/>
      <c r="N59" s="22"/>
      <c r="O59" s="23"/>
    </row>
    <row r="60" customFormat="false" ht="12.75" hidden="false" customHeight="false" outlineLevel="0" collapsed="false">
      <c r="B60" s="34"/>
      <c r="D60" s="8" t="n">
        <v>1995</v>
      </c>
      <c r="E60" s="8" t="n">
        <v>1996</v>
      </c>
      <c r="F60" s="8" t="n">
        <v>1997</v>
      </c>
      <c r="G60" s="8" t="n">
        <v>1998</v>
      </c>
      <c r="H60" s="8" t="n">
        <v>1999</v>
      </c>
      <c r="I60" s="8" t="n">
        <v>2000</v>
      </c>
      <c r="J60" s="9" t="n">
        <v>2001</v>
      </c>
      <c r="K60" s="22"/>
      <c r="L60" s="22"/>
      <c r="M60" s="22"/>
      <c r="N60" s="22"/>
      <c r="O60" s="23"/>
    </row>
    <row r="61" customFormat="false" ht="12.75" hidden="false" customHeight="false" outlineLevel="0" collapsed="false">
      <c r="B61" s="34"/>
      <c r="C61" s="37" t="s">
        <v>21</v>
      </c>
      <c r="D61" s="38" t="n">
        <f aca="false">D37-D49</f>
        <v>51372</v>
      </c>
      <c r="E61" s="38" t="n">
        <f aca="false">E37-E49</f>
        <v>51506</v>
      </c>
      <c r="F61" s="38" t="n">
        <f aca="false">F37-F49</f>
        <v>51500</v>
      </c>
      <c r="G61" s="38" t="n">
        <f aca="false">G37-G49</f>
        <v>51758</v>
      </c>
      <c r="H61" s="38" t="n">
        <f aca="false">H37-H49</f>
        <v>51976</v>
      </c>
      <c r="I61" s="38" t="n">
        <f aca="false">I37-I49</f>
        <v>51997</v>
      </c>
      <c r="J61" s="39" t="n">
        <f aca="false">J37-J49</f>
        <v>52047</v>
      </c>
      <c r="K61" s="22"/>
      <c r="L61" s="22"/>
      <c r="M61" s="22"/>
      <c r="N61" s="22"/>
      <c r="O61" s="23"/>
    </row>
    <row r="62" customFormat="false" ht="12.75" hidden="false" customHeight="false" outlineLevel="0" collapsed="false">
      <c r="B62" s="34"/>
      <c r="C62" s="37" t="s">
        <v>22</v>
      </c>
      <c r="D62" s="38" t="n">
        <f aca="false">D38-D50</f>
        <v>51155</v>
      </c>
      <c r="E62" s="38" t="n">
        <f aca="false">E38-E50</f>
        <v>51101</v>
      </c>
      <c r="F62" s="38" t="n">
        <f aca="false">F38-F50</f>
        <v>52846</v>
      </c>
      <c r="G62" s="38" t="n">
        <f aca="false">G38-G50</f>
        <v>53389</v>
      </c>
      <c r="H62" s="38" t="n">
        <f aca="false">H38-H50</f>
        <v>53772</v>
      </c>
      <c r="I62" s="38" t="n">
        <f aca="false">I38-I50</f>
        <v>55732</v>
      </c>
      <c r="J62" s="39" t="n">
        <f aca="false">J38-J50</f>
        <v>58931</v>
      </c>
      <c r="K62" s="22"/>
      <c r="L62" s="22"/>
      <c r="M62" s="22"/>
      <c r="N62" s="22"/>
      <c r="O62" s="23"/>
    </row>
    <row r="63" customFormat="false" ht="12.75" hidden="false" customHeight="false" outlineLevel="0" collapsed="false">
      <c r="B63" s="34"/>
      <c r="C63" s="37" t="s">
        <v>10</v>
      </c>
      <c r="D63" s="38" t="n">
        <f aca="false">D39-D51</f>
        <v>64876</v>
      </c>
      <c r="E63" s="38" t="n">
        <f aca="false">E39-E51</f>
        <v>68615</v>
      </c>
      <c r="F63" s="38" t="n">
        <f aca="false">F39-F51</f>
        <v>71718</v>
      </c>
      <c r="G63" s="38" t="n">
        <f aca="false">G39-G51</f>
        <v>76239</v>
      </c>
      <c r="H63" s="38" t="n">
        <f aca="false">H39-H51</f>
        <v>75913</v>
      </c>
      <c r="I63" s="38" t="n">
        <f aca="false">I39-I51</f>
        <v>78332</v>
      </c>
      <c r="J63" s="39" t="n">
        <f aca="false">J39-J51</f>
        <v>80509</v>
      </c>
      <c r="K63" s="22"/>
      <c r="L63" s="22"/>
      <c r="M63" s="22"/>
      <c r="N63" s="22"/>
      <c r="O63" s="23"/>
    </row>
    <row r="64" customFormat="false" ht="12.75" hidden="false" customHeight="false" outlineLevel="0" collapsed="false">
      <c r="B64" s="34"/>
      <c r="C64" s="31" t="s">
        <v>11</v>
      </c>
      <c r="D64" s="28" t="n">
        <f aca="false">(D61+D62)/D63-1</f>
        <v>0.580353289351995</v>
      </c>
      <c r="E64" s="28" t="n">
        <f aca="false">(E61+E62)/E63-1</f>
        <v>0.495401880055381</v>
      </c>
      <c r="F64" s="28" t="n">
        <f aca="false">(F61+F62)/F63-1</f>
        <v>0.454948548481553</v>
      </c>
      <c r="G64" s="28" t="n">
        <f aca="false">(G61+G62)/G63-1</f>
        <v>0.379176012277181</v>
      </c>
      <c r="H64" s="28" t="n">
        <f aca="false">(H61+H62)/H63-1</f>
        <v>0.393015689012422</v>
      </c>
      <c r="I64" s="28" t="n">
        <f aca="false">(I61+I62)/I63-1</f>
        <v>0.375287238931727</v>
      </c>
      <c r="J64" s="29" t="n">
        <f aca="false">(J61+J62)/J63-1</f>
        <v>0.37845458271746</v>
      </c>
      <c r="K64" s="22"/>
      <c r="L64" s="22"/>
      <c r="M64" s="22"/>
      <c r="N64" s="22"/>
      <c r="O64" s="23"/>
    </row>
    <row r="65" customFormat="false" ht="12.75" hidden="false" customHeight="false" outlineLevel="0" collapsed="false">
      <c r="B65" s="24" t="s">
        <v>27</v>
      </c>
      <c r="C65" s="31"/>
      <c r="D65" s="38"/>
      <c r="E65" s="32"/>
      <c r="F65" s="32"/>
      <c r="G65" s="32"/>
      <c r="H65" s="32"/>
      <c r="I65" s="32"/>
      <c r="J65" s="33"/>
      <c r="K65" s="22"/>
      <c r="L65" s="22"/>
      <c r="M65" s="22"/>
      <c r="N65" s="22"/>
      <c r="O65" s="23"/>
    </row>
    <row r="66" customFormat="false" ht="12.75" hidden="false" customHeight="false" outlineLevel="0" collapsed="false">
      <c r="B66" s="34"/>
      <c r="D66" s="8" t="n">
        <v>1995</v>
      </c>
      <c r="E66" s="8" t="n">
        <v>1996</v>
      </c>
      <c r="F66" s="8" t="n">
        <v>1997</v>
      </c>
      <c r="G66" s="8" t="n">
        <v>1998</v>
      </c>
      <c r="H66" s="8" t="n">
        <v>1999</v>
      </c>
      <c r="I66" s="8" t="n">
        <v>2000</v>
      </c>
      <c r="J66" s="9" t="n">
        <v>2001</v>
      </c>
      <c r="K66" s="22"/>
      <c r="L66" s="22"/>
      <c r="M66" s="22"/>
      <c r="N66" s="22"/>
      <c r="O66" s="23"/>
    </row>
    <row r="67" customFormat="false" ht="12.75" hidden="false" customHeight="false" outlineLevel="0" collapsed="false">
      <c r="B67" s="34"/>
      <c r="C67" s="37" t="s">
        <v>21</v>
      </c>
      <c r="D67" s="38" t="n">
        <f aca="false">D43-D55</f>
        <v>43666.2</v>
      </c>
      <c r="E67" s="38" t="n">
        <f aca="false">E43-E55</f>
        <v>43780.1</v>
      </c>
      <c r="F67" s="38" t="n">
        <f aca="false">F43-F55</f>
        <v>43775</v>
      </c>
      <c r="G67" s="38" t="n">
        <f aca="false">G43-G55</f>
        <v>43994.3</v>
      </c>
      <c r="H67" s="38" t="n">
        <f aca="false">H43-H55</f>
        <v>44179.6</v>
      </c>
      <c r="I67" s="38" t="n">
        <f aca="false">I43-I55</f>
        <v>44197.45</v>
      </c>
      <c r="J67" s="39" t="n">
        <f aca="false">J43-J55</f>
        <v>39035.25</v>
      </c>
      <c r="K67" s="22"/>
      <c r="L67" s="22"/>
      <c r="M67" s="22"/>
      <c r="N67" s="22"/>
      <c r="O67" s="23"/>
    </row>
    <row r="68" customFormat="false" ht="12.75" hidden="false" customHeight="false" outlineLevel="0" collapsed="false">
      <c r="B68" s="34"/>
      <c r="C68" s="37" t="s">
        <v>22</v>
      </c>
      <c r="D68" s="38" t="n">
        <f aca="false">D44-D56</f>
        <v>48597.25</v>
      </c>
      <c r="E68" s="38" t="n">
        <f aca="false">E44-E56</f>
        <v>48545.95</v>
      </c>
      <c r="F68" s="38" t="n">
        <f aca="false">F44-F56</f>
        <v>50203.7</v>
      </c>
      <c r="G68" s="38" t="n">
        <f aca="false">G44-G56</f>
        <v>50719.55</v>
      </c>
      <c r="H68" s="38" t="n">
        <f aca="false">H44-H56</f>
        <v>51083.4</v>
      </c>
      <c r="I68" s="38" t="n">
        <f aca="false">I44-I56</f>
        <v>52945.4</v>
      </c>
      <c r="J68" s="39" t="n">
        <f aca="false">J44-J56</f>
        <v>55984.45</v>
      </c>
      <c r="K68" s="22"/>
      <c r="L68" s="22"/>
      <c r="M68" s="22"/>
      <c r="N68" s="22"/>
      <c r="O68" s="23"/>
    </row>
    <row r="69" customFormat="false" ht="12.75" hidden="false" customHeight="false" outlineLevel="0" collapsed="false">
      <c r="B69" s="34"/>
      <c r="C69" s="37" t="s">
        <v>10</v>
      </c>
      <c r="D69" s="38" t="n">
        <f aca="false">D45-D57</f>
        <v>64876</v>
      </c>
      <c r="E69" s="38" t="n">
        <f aca="false">E45-E57</f>
        <v>68615</v>
      </c>
      <c r="F69" s="38" t="n">
        <f aca="false">F45-F57</f>
        <v>71718</v>
      </c>
      <c r="G69" s="38" t="n">
        <f aca="false">G45-G57</f>
        <v>76239</v>
      </c>
      <c r="H69" s="38" t="n">
        <f aca="false">H45-H57</f>
        <v>75913</v>
      </c>
      <c r="I69" s="38" t="n">
        <f aca="false">I45-I57</f>
        <v>78332</v>
      </c>
      <c r="J69" s="39" t="n">
        <f aca="false">J45-J57</f>
        <v>80509</v>
      </c>
      <c r="K69" s="22"/>
      <c r="L69" s="22"/>
      <c r="M69" s="22"/>
      <c r="N69" s="22"/>
      <c r="O69" s="23"/>
    </row>
    <row r="70" customFormat="false" ht="12.75" hidden="false" customHeight="false" outlineLevel="0" collapsed="false">
      <c r="B70" s="34"/>
      <c r="C70" s="31" t="s">
        <v>11</v>
      </c>
      <c r="D70" s="28" t="n">
        <f aca="false">(D67+D68)/D69-1</f>
        <v>0.42215071829336</v>
      </c>
      <c r="E70" s="28" t="n">
        <f aca="false">(E67+E68)/E69-1</f>
        <v>0.34556656707717</v>
      </c>
      <c r="F70" s="28" t="n">
        <f aca="false">(F67+F68)/F69-1</f>
        <v>0.31039209124627</v>
      </c>
      <c r="G70" s="28" t="n">
        <f aca="false">(G67+G68)/G69-1</f>
        <v>0.242328073558153</v>
      </c>
      <c r="H70" s="28" t="n">
        <f aca="false">(H67+H68)/H69-1</f>
        <v>0.254897053205643</v>
      </c>
      <c r="I70" s="28" t="n">
        <f aca="false">(I67+I68)/I69-1</f>
        <v>0.240142598171884</v>
      </c>
      <c r="J70" s="29" t="n">
        <f aca="false">(J67+J68)/J69-1</f>
        <v>0.180236992137525</v>
      </c>
      <c r="K70" s="22"/>
      <c r="L70" s="22"/>
      <c r="M70" s="22"/>
      <c r="N70" s="22"/>
      <c r="O70" s="23"/>
    </row>
    <row r="71" customFormat="false" ht="13.5" hidden="false" customHeight="false" outlineLevel="0" collapsed="false">
      <c r="B71" s="40"/>
      <c r="C71" s="41"/>
      <c r="D71" s="42"/>
      <c r="E71" s="42"/>
      <c r="F71" s="42"/>
      <c r="G71" s="42"/>
      <c r="H71" s="42"/>
      <c r="I71" s="42"/>
      <c r="J71" s="43"/>
      <c r="K71" s="43"/>
      <c r="L71" s="43"/>
      <c r="M71" s="43"/>
      <c r="N71" s="43"/>
      <c r="O71" s="44"/>
    </row>
    <row r="72" customFormat="false" ht="12.75" hidden="false" customHeight="false" outlineLevel="0" collapsed="false">
      <c r="B72" s="45" t="s">
        <v>28</v>
      </c>
      <c r="C72" s="10"/>
      <c r="D72" s="10"/>
      <c r="E72" s="10"/>
      <c r="F72" s="10"/>
      <c r="G72" s="10"/>
      <c r="H72" s="10"/>
      <c r="I72" s="10"/>
      <c r="J72" s="11"/>
      <c r="K72" s="11"/>
      <c r="L72" s="11"/>
      <c r="M72" s="11"/>
      <c r="N72" s="11"/>
      <c r="O72" s="11"/>
    </row>
    <row r="73" customFormat="false" ht="12.75" hidden="false" customHeight="false" outlineLevel="0" collapsed="false">
      <c r="B73" s="46" t="s">
        <v>29</v>
      </c>
      <c r="C73" s="10"/>
      <c r="D73" s="10"/>
      <c r="E73" s="10"/>
      <c r="F73" s="10"/>
      <c r="G73" s="10"/>
      <c r="H73" s="10"/>
      <c r="I73" s="10"/>
      <c r="J73" s="11"/>
      <c r="K73" s="11"/>
      <c r="L73" s="11"/>
      <c r="M73" s="11"/>
      <c r="N73" s="11"/>
      <c r="O73" s="11"/>
    </row>
    <row r="74" customFormat="false" ht="12.75" hidden="false" customHeight="false" outlineLevel="0" collapsed="false">
      <c r="B74" s="46" t="s">
        <v>30</v>
      </c>
      <c r="C74" s="10"/>
      <c r="D74" s="10"/>
      <c r="E74" s="10"/>
      <c r="F74" s="10"/>
      <c r="G74" s="10"/>
      <c r="H74" s="10"/>
      <c r="I74" s="10"/>
      <c r="J74" s="11"/>
      <c r="K74" s="11"/>
      <c r="L74" s="11"/>
      <c r="M74" s="11"/>
      <c r="N74" s="11"/>
      <c r="O74" s="11"/>
    </row>
    <row r="75" customFormat="false" ht="12.75" hidden="false" customHeight="false" outlineLevel="0" collapsed="false">
      <c r="B75" s="46" t="s">
        <v>31</v>
      </c>
      <c r="C75" s="10"/>
      <c r="D75" s="10"/>
      <c r="E75" s="10"/>
      <c r="F75" s="10"/>
      <c r="G75" s="10"/>
      <c r="H75" s="10"/>
      <c r="I75" s="10"/>
      <c r="J75" s="11"/>
      <c r="K75" s="11"/>
      <c r="L75" s="11"/>
      <c r="M75" s="11"/>
      <c r="N75" s="11"/>
      <c r="O75" s="11"/>
    </row>
    <row r="76" customFormat="false" ht="12.75" hidden="false" customHeight="false" outlineLevel="0" collapsed="false">
      <c r="B76" s="47"/>
      <c r="C76" s="48"/>
      <c r="D76" s="48"/>
      <c r="E76" s="48"/>
      <c r="F76" s="48"/>
      <c r="G76" s="31"/>
      <c r="H76" s="49"/>
      <c r="I76" s="49"/>
      <c r="J76" s="50"/>
      <c r="K76" s="50"/>
      <c r="L76" s="50"/>
      <c r="M76" s="50"/>
      <c r="N76" s="50"/>
      <c r="O76" s="50"/>
      <c r="P76" s="47"/>
    </row>
    <row r="77" customFormat="false" ht="12.75" hidden="false" customHeight="false" outlineLevel="0" collapsed="false">
      <c r="A77" s="51"/>
      <c r="B77" s="4" t="s">
        <v>32</v>
      </c>
      <c r="C77" s="10"/>
      <c r="D77" s="10"/>
      <c r="E77" s="10"/>
      <c r="F77" s="10"/>
      <c r="G77" s="31"/>
      <c r="H77" s="52"/>
      <c r="I77" s="52"/>
      <c r="J77" s="39"/>
      <c r="K77" s="39"/>
      <c r="L77" s="39"/>
      <c r="M77" s="39"/>
      <c r="N77" s="39"/>
      <c r="O77" s="39"/>
    </row>
    <row r="78" customFormat="false" ht="12.75" hidden="false" customHeight="true" outlineLevel="1" collapsed="false">
      <c r="A78" s="53"/>
      <c r="B78" s="54" t="s">
        <v>33</v>
      </c>
      <c r="J78" s="39"/>
      <c r="K78" s="39"/>
      <c r="L78" s="39"/>
      <c r="M78" s="39"/>
      <c r="N78" s="39"/>
      <c r="O78" s="39"/>
    </row>
    <row r="79" customFormat="false" ht="12.75" hidden="false" customHeight="false" outlineLevel="1" collapsed="false">
      <c r="A79" s="53"/>
      <c r="B79" s="37" t="s">
        <v>34</v>
      </c>
      <c r="C79" s="38"/>
      <c r="D79" s="38" t="n">
        <v>44371</v>
      </c>
      <c r="E79" s="38" t="n">
        <v>46405</v>
      </c>
      <c r="F79" s="38" t="n">
        <v>45753</v>
      </c>
      <c r="G79" s="38" t="n">
        <v>49484</v>
      </c>
      <c r="H79" s="38" t="n">
        <v>48319</v>
      </c>
      <c r="I79" s="38" t="n">
        <v>49081</v>
      </c>
      <c r="J79" s="39" t="n">
        <v>49843</v>
      </c>
      <c r="K79" s="39" t="n">
        <v>50646</v>
      </c>
      <c r="L79" s="39" t="n">
        <v>51397</v>
      </c>
      <c r="M79" s="39" t="n">
        <v>52227</v>
      </c>
      <c r="N79" s="39" t="n">
        <v>53129</v>
      </c>
      <c r="O79" s="39" t="n">
        <v>54073</v>
      </c>
      <c r="P79" s="38"/>
    </row>
    <row r="80" customFormat="false" ht="12.75" hidden="false" customHeight="false" outlineLevel="1" collapsed="false">
      <c r="A80" s="53"/>
      <c r="B80" s="37" t="s">
        <v>35</v>
      </c>
      <c r="C80" s="38"/>
      <c r="D80" s="38" t="n">
        <v>7266</v>
      </c>
      <c r="E80" s="38" t="n">
        <v>7404</v>
      </c>
      <c r="F80" s="38" t="n">
        <v>7926</v>
      </c>
      <c r="G80" s="38" t="n">
        <v>7975</v>
      </c>
      <c r="H80" s="38" t="n">
        <v>7640</v>
      </c>
      <c r="I80" s="38" t="n">
        <v>8243</v>
      </c>
      <c r="J80" s="39" t="n">
        <v>8315</v>
      </c>
      <c r="K80" s="39" t="n">
        <v>8495</v>
      </c>
      <c r="L80" s="39" t="n">
        <v>8719</v>
      </c>
      <c r="M80" s="39" t="n">
        <v>8914</v>
      </c>
      <c r="N80" s="39" t="n">
        <v>9126</v>
      </c>
      <c r="O80" s="39" t="n">
        <v>9344</v>
      </c>
      <c r="P80" s="38"/>
    </row>
    <row r="81" customFormat="false" ht="12.75" hidden="false" customHeight="false" outlineLevel="1" collapsed="false">
      <c r="A81" s="53"/>
      <c r="B81" s="37" t="s">
        <v>36</v>
      </c>
      <c r="C81" s="38"/>
      <c r="D81" s="38" t="n">
        <v>14566</v>
      </c>
      <c r="E81" s="38" t="n">
        <v>15087</v>
      </c>
      <c r="F81" s="38" t="n">
        <v>19026</v>
      </c>
      <c r="G81" s="38" t="n">
        <v>20430</v>
      </c>
      <c r="H81" s="38" t="n">
        <v>19954</v>
      </c>
      <c r="I81" s="38" t="n">
        <v>22232</v>
      </c>
      <c r="J81" s="39" t="n">
        <v>22351</v>
      </c>
      <c r="K81" s="39" t="n">
        <v>23034</v>
      </c>
      <c r="L81" s="39" t="n">
        <v>23707</v>
      </c>
      <c r="M81" s="39" t="n">
        <v>24493</v>
      </c>
      <c r="N81" s="39" t="n">
        <v>25293</v>
      </c>
      <c r="O81" s="39" t="n">
        <v>26067</v>
      </c>
      <c r="P81" s="38"/>
    </row>
    <row r="82" customFormat="false" ht="12.75" hidden="false" customHeight="false" outlineLevel="1" collapsed="false">
      <c r="A82" s="53"/>
      <c r="B82" s="55" t="s">
        <v>37</v>
      </c>
      <c r="C82" s="56"/>
      <c r="D82" s="56" t="n">
        <v>52510</v>
      </c>
      <c r="E82" s="56" t="n">
        <v>54760</v>
      </c>
      <c r="F82" s="56" t="n">
        <v>53217</v>
      </c>
      <c r="G82" s="56" t="n">
        <v>55441</v>
      </c>
      <c r="H82" s="56" t="n">
        <v>53146</v>
      </c>
      <c r="I82" s="56" t="n">
        <v>51213</v>
      </c>
      <c r="J82" s="57" t="n">
        <v>54819</v>
      </c>
      <c r="K82" s="57" t="n">
        <v>55821</v>
      </c>
      <c r="L82" s="57" t="n">
        <v>56977</v>
      </c>
      <c r="M82" s="57" t="n">
        <v>58034</v>
      </c>
      <c r="N82" s="57" t="n">
        <v>59137</v>
      </c>
      <c r="O82" s="57" t="n">
        <v>60205</v>
      </c>
      <c r="P82" s="38"/>
    </row>
    <row r="83" customFormat="false" ht="12.75" hidden="false" customHeight="false" outlineLevel="1" collapsed="false">
      <c r="A83" s="53"/>
      <c r="B83" s="37" t="s">
        <v>38</v>
      </c>
      <c r="C83" s="38"/>
      <c r="D83" s="38" t="n">
        <v>117386</v>
      </c>
      <c r="E83" s="38" t="n">
        <v>123375</v>
      </c>
      <c r="F83" s="38" t="n">
        <v>124935</v>
      </c>
      <c r="G83" s="38" t="n">
        <v>131680</v>
      </c>
      <c r="H83" s="38" t="n">
        <v>129059</v>
      </c>
      <c r="I83" s="38" t="n">
        <v>129545</v>
      </c>
      <c r="J83" s="39" t="n">
        <v>135328</v>
      </c>
      <c r="K83" s="39" t="n">
        <v>137996</v>
      </c>
      <c r="L83" s="39" t="n">
        <v>140800</v>
      </c>
      <c r="M83" s="39" t="n">
        <v>143668</v>
      </c>
      <c r="N83" s="39" t="n">
        <v>146685</v>
      </c>
      <c r="O83" s="39" t="n">
        <v>149689</v>
      </c>
      <c r="P83" s="38"/>
    </row>
    <row r="84" customFormat="false" ht="12.75" hidden="false" customHeight="false" outlineLevel="1" collapsed="false">
      <c r="A84" s="53"/>
      <c r="B84" s="58"/>
      <c r="C84" s="38"/>
      <c r="D84" s="38"/>
      <c r="E84" s="38"/>
      <c r="F84" s="38"/>
      <c r="G84" s="38"/>
      <c r="H84" s="38"/>
      <c r="I84" s="38"/>
      <c r="J84" s="39"/>
      <c r="K84" s="39"/>
      <c r="L84" s="39"/>
      <c r="M84" s="39"/>
      <c r="N84" s="39"/>
      <c r="O84" s="39"/>
      <c r="P84" s="38"/>
    </row>
    <row r="85" customFormat="false" ht="12.75" hidden="false" customHeight="false" outlineLevel="1" collapsed="false">
      <c r="A85" s="53"/>
      <c r="B85" s="54" t="s">
        <v>39</v>
      </c>
      <c r="C85" s="38"/>
      <c r="D85" s="38"/>
      <c r="E85" s="38"/>
      <c r="F85" s="59"/>
      <c r="G85" s="28"/>
      <c r="H85" s="28"/>
      <c r="I85" s="28"/>
      <c r="J85" s="29"/>
      <c r="K85" s="29"/>
      <c r="L85" s="29"/>
      <c r="M85" s="29"/>
      <c r="N85" s="39"/>
      <c r="O85" s="39"/>
      <c r="P85" s="38"/>
    </row>
    <row r="86" customFormat="false" ht="12.75" hidden="false" customHeight="false" outlineLevel="1" collapsed="false">
      <c r="A86" s="53"/>
      <c r="B86" s="37" t="s">
        <v>34</v>
      </c>
      <c r="C86" s="38"/>
      <c r="D86" s="38" t="n">
        <v>318333</v>
      </c>
      <c r="E86" s="38" t="n">
        <v>334244</v>
      </c>
      <c r="F86" s="38" t="n">
        <v>332071</v>
      </c>
      <c r="G86" s="38" t="n">
        <v>342897</v>
      </c>
      <c r="H86" s="38" t="n">
        <v>348946</v>
      </c>
      <c r="I86" s="39" t="n">
        <v>360862</v>
      </c>
      <c r="J86" s="39" t="n">
        <v>365957</v>
      </c>
      <c r="K86" s="39" t="n">
        <v>372041</v>
      </c>
      <c r="L86" s="39" t="n">
        <v>377546</v>
      </c>
      <c r="M86" s="39" t="n">
        <v>383835</v>
      </c>
      <c r="N86" s="39" t="n">
        <v>390252</v>
      </c>
      <c r="O86" s="39" t="n">
        <v>397078</v>
      </c>
      <c r="P86" s="38"/>
    </row>
    <row r="87" customFormat="false" ht="12.75" hidden="false" customHeight="false" outlineLevel="1" collapsed="false">
      <c r="A87" s="53"/>
      <c r="B87" s="37" t="s">
        <v>35</v>
      </c>
      <c r="C87" s="38"/>
      <c r="D87" s="38" t="n">
        <v>43422</v>
      </c>
      <c r="E87" s="38" t="n">
        <v>43922</v>
      </c>
      <c r="F87" s="38" t="n">
        <v>47079</v>
      </c>
      <c r="G87" s="38" t="n">
        <v>48066</v>
      </c>
      <c r="H87" s="38" t="n">
        <v>46277</v>
      </c>
      <c r="I87" s="39" t="n">
        <v>47797</v>
      </c>
      <c r="J87" s="39" t="n">
        <v>49261</v>
      </c>
      <c r="K87" s="39" t="n">
        <v>50673</v>
      </c>
      <c r="L87" s="39" t="n">
        <v>52275</v>
      </c>
      <c r="M87" s="39" t="n">
        <v>53762</v>
      </c>
      <c r="N87" s="39" t="n">
        <v>55163</v>
      </c>
      <c r="O87" s="39" t="n">
        <v>56525</v>
      </c>
      <c r="P87" s="38"/>
    </row>
    <row r="88" customFormat="false" ht="12.75" hidden="false" customHeight="false" outlineLevel="1" collapsed="false">
      <c r="A88" s="53"/>
      <c r="B88" s="37" t="s">
        <v>36</v>
      </c>
      <c r="C88" s="38"/>
      <c r="D88" s="38" t="n">
        <v>73746</v>
      </c>
      <c r="E88" s="38" t="n">
        <v>79247</v>
      </c>
      <c r="F88" s="38" t="n">
        <v>98531</v>
      </c>
      <c r="G88" s="38" t="n">
        <v>97363</v>
      </c>
      <c r="H88" s="38" t="n">
        <v>96946</v>
      </c>
      <c r="I88" s="39" t="n">
        <v>101639</v>
      </c>
      <c r="J88" s="39" t="n">
        <v>105225</v>
      </c>
      <c r="K88" s="39" t="n">
        <v>109237</v>
      </c>
      <c r="L88" s="39" t="n">
        <v>112287</v>
      </c>
      <c r="M88" s="39" t="n">
        <v>115894</v>
      </c>
      <c r="N88" s="39" t="n">
        <v>119388</v>
      </c>
      <c r="O88" s="39" t="n">
        <v>123248</v>
      </c>
      <c r="P88" s="38"/>
    </row>
    <row r="89" customFormat="false" ht="12.75" hidden="false" customHeight="false" outlineLevel="1" collapsed="false">
      <c r="A89" s="53"/>
      <c r="B89" s="55" t="s">
        <v>37</v>
      </c>
      <c r="C89" s="56"/>
      <c r="D89" s="56" t="n">
        <v>254384</v>
      </c>
      <c r="E89" s="56" t="n">
        <v>264183</v>
      </c>
      <c r="F89" s="56" t="n">
        <v>256933</v>
      </c>
      <c r="G89" s="56" t="n">
        <v>254566</v>
      </c>
      <c r="H89" s="56" t="n">
        <v>262261</v>
      </c>
      <c r="I89" s="57" t="n">
        <v>271473</v>
      </c>
      <c r="J89" s="57" t="n">
        <v>276654</v>
      </c>
      <c r="K89" s="57" t="n">
        <v>282067</v>
      </c>
      <c r="L89" s="57" t="n">
        <v>288118</v>
      </c>
      <c r="M89" s="57" t="n">
        <v>293893</v>
      </c>
      <c r="N89" s="57" t="n">
        <v>299703</v>
      </c>
      <c r="O89" s="57" t="n">
        <v>305657</v>
      </c>
      <c r="P89" s="38"/>
    </row>
    <row r="90" customFormat="false" ht="12.75" hidden="false" customHeight="false" outlineLevel="1" collapsed="false">
      <c r="A90" s="53"/>
      <c r="B90" s="37" t="s">
        <v>38</v>
      </c>
      <c r="C90" s="38"/>
      <c r="D90" s="38" t="n">
        <v>689885</v>
      </c>
      <c r="E90" s="38" t="n">
        <v>721596</v>
      </c>
      <c r="F90" s="38" t="n">
        <v>734614</v>
      </c>
      <c r="G90" s="38" t="n">
        <v>742892</v>
      </c>
      <c r="H90" s="38" t="n">
        <v>754430</v>
      </c>
      <c r="I90" s="39" t="n">
        <f aca="false">SUM(I86:I89)</f>
        <v>781771</v>
      </c>
      <c r="J90" s="39" t="n">
        <f aca="false">SUM(J86:J89)</f>
        <v>797097</v>
      </c>
      <c r="K90" s="39" t="n">
        <f aca="false">SUM(K86:K89)</f>
        <v>814018</v>
      </c>
      <c r="L90" s="39" t="n">
        <f aca="false">SUM(L86:L89)</f>
        <v>830226</v>
      </c>
      <c r="M90" s="39" t="n">
        <f aca="false">SUM(M86:M89)</f>
        <v>847384</v>
      </c>
      <c r="N90" s="39" t="n">
        <f aca="false">SUM(N86:N89)</f>
        <v>864506</v>
      </c>
      <c r="O90" s="39" t="n">
        <f aca="false">SUM(O86:O89)</f>
        <v>882508</v>
      </c>
      <c r="P90" s="38"/>
    </row>
    <row r="91" customFormat="false" ht="12.75" hidden="false" customHeight="false" outlineLevel="0" collapsed="false">
      <c r="C91" s="38"/>
      <c r="D91" s="38"/>
      <c r="E91" s="38"/>
      <c r="F91" s="38"/>
      <c r="G91" s="38"/>
      <c r="H91" s="38"/>
      <c r="I91" s="38"/>
      <c r="J91" s="60"/>
      <c r="K91" s="39"/>
      <c r="L91" s="39"/>
      <c r="M91" s="39"/>
      <c r="N91" s="39"/>
      <c r="O91" s="39"/>
      <c r="P91" s="38"/>
    </row>
    <row r="92" customFormat="false" ht="12.75" hidden="false" customHeight="false" outlineLevel="0" collapsed="false">
      <c r="C92" s="38"/>
      <c r="D92" s="38"/>
      <c r="E92" s="38"/>
      <c r="F92" s="38"/>
      <c r="G92" s="38"/>
      <c r="H92" s="38"/>
      <c r="I92" s="38"/>
      <c r="J92" s="39"/>
      <c r="K92" s="39"/>
      <c r="L92" s="39"/>
      <c r="M92" s="39"/>
      <c r="N92" s="39"/>
      <c r="O92" s="39"/>
      <c r="P92" s="38"/>
    </row>
    <row r="93" customFormat="false" ht="12.75" hidden="false" customHeight="false" outlineLevel="0" collapsed="false">
      <c r="A93" s="61"/>
      <c r="B93" s="4" t="s">
        <v>40</v>
      </c>
      <c r="C93" s="38"/>
      <c r="D93" s="38"/>
      <c r="E93" s="38"/>
      <c r="F93" s="38"/>
      <c r="G93" s="38"/>
      <c r="H93" s="38"/>
      <c r="I93" s="38"/>
      <c r="J93" s="39"/>
      <c r="K93" s="39"/>
      <c r="L93" s="39"/>
      <c r="M93" s="39"/>
      <c r="N93" s="39"/>
      <c r="O93" s="39"/>
      <c r="P93" s="38"/>
    </row>
    <row r="94" customFormat="false" ht="12.75" hidden="false" customHeight="false" outlineLevel="1" collapsed="false">
      <c r="A94" s="61"/>
      <c r="B94" s="54" t="s">
        <v>41</v>
      </c>
      <c r="C94" s="38"/>
      <c r="D94" s="38"/>
      <c r="E94" s="38"/>
      <c r="F94" s="38"/>
      <c r="G94" s="38"/>
      <c r="H94" s="38"/>
      <c r="I94" s="38"/>
      <c r="J94" s="39"/>
      <c r="K94" s="39"/>
      <c r="L94" s="39"/>
      <c r="M94" s="39"/>
      <c r="N94" s="39"/>
      <c r="O94" s="39"/>
      <c r="P94" s="38"/>
    </row>
    <row r="95" customFormat="false" ht="12.75" hidden="false" customHeight="false" outlineLevel="1" collapsed="false">
      <c r="A95" s="61"/>
      <c r="B95" s="37" t="s">
        <v>34</v>
      </c>
      <c r="C95" s="38"/>
      <c r="D95" s="38" t="n">
        <v>45296</v>
      </c>
      <c r="E95" s="38" t="n">
        <v>46181</v>
      </c>
      <c r="F95" s="38" t="n">
        <f aca="false">46309</f>
        <v>46309</v>
      </c>
      <c r="G95" s="38" t="n">
        <f aca="false">46281</f>
        <v>46281</v>
      </c>
      <c r="H95" s="38" t="n">
        <f aca="false">46533</f>
        <v>46533</v>
      </c>
      <c r="I95" s="38" t="n">
        <f aca="false">46604</f>
        <v>46604</v>
      </c>
      <c r="J95" s="39" t="n">
        <f aca="false">I95+I118</f>
        <v>46630</v>
      </c>
      <c r="K95" s="39" t="n">
        <f aca="false">J95+J118</f>
        <v>46681</v>
      </c>
      <c r="L95" s="39" t="n">
        <f aca="false">K95+K118</f>
        <v>46719</v>
      </c>
      <c r="M95" s="39" t="n">
        <f aca="false">L95+L118</f>
        <v>46883</v>
      </c>
      <c r="N95" s="39" t="n">
        <f aca="false">M95+M118</f>
        <v>46889</v>
      </c>
      <c r="O95" s="39" t="n">
        <f aca="false">N95+N118</f>
        <v>46889</v>
      </c>
      <c r="P95" s="38"/>
    </row>
    <row r="96" customFormat="false" ht="12.75" hidden="false" customHeight="false" outlineLevel="1" collapsed="false">
      <c r="A96" s="61"/>
      <c r="B96" s="37" t="s">
        <v>35</v>
      </c>
      <c r="C96" s="38"/>
      <c r="D96" s="38" t="n">
        <v>2528</v>
      </c>
      <c r="E96" s="38" t="n">
        <v>2544</v>
      </c>
      <c r="F96" s="38" t="n">
        <v>2550</v>
      </c>
      <c r="G96" s="38" t="n">
        <v>2572</v>
      </c>
      <c r="H96" s="38" t="n">
        <v>2578</v>
      </c>
      <c r="I96" s="38" t="n">
        <v>910</v>
      </c>
      <c r="J96" s="39" t="n">
        <f aca="false">I96+I119</f>
        <v>905</v>
      </c>
      <c r="K96" s="39" t="n">
        <f aca="false">J96+J119</f>
        <v>904</v>
      </c>
      <c r="L96" s="39" t="n">
        <f aca="false">K96+K119</f>
        <v>902</v>
      </c>
      <c r="M96" s="39" t="n">
        <f aca="false">L96+L119</f>
        <v>896</v>
      </c>
      <c r="N96" s="39" t="n">
        <f aca="false">M96+M119</f>
        <v>891</v>
      </c>
      <c r="O96" s="39" t="n">
        <f aca="false">N96+N119</f>
        <v>891</v>
      </c>
      <c r="P96" s="38"/>
    </row>
    <row r="97" customFormat="false" ht="12.75" hidden="false" customHeight="false" outlineLevel="1" collapsed="false">
      <c r="A97" s="61"/>
      <c r="B97" s="37" t="s">
        <v>36</v>
      </c>
      <c r="C97" s="38"/>
      <c r="D97" s="38" t="n">
        <v>2608</v>
      </c>
      <c r="E97" s="38" t="n">
        <v>2647</v>
      </c>
      <c r="F97" s="38" t="n">
        <v>2647</v>
      </c>
      <c r="G97" s="38" t="n">
        <v>2647</v>
      </c>
      <c r="H97" s="38" t="n">
        <v>2647</v>
      </c>
      <c r="I97" s="38" t="n">
        <v>4462</v>
      </c>
      <c r="J97" s="39" t="n">
        <f aca="false">I97+I120</f>
        <v>4462</v>
      </c>
      <c r="K97" s="39" t="n">
        <f aca="false">J97+J120</f>
        <v>4462</v>
      </c>
      <c r="L97" s="39" t="n">
        <f aca="false">K97+K120</f>
        <v>4462</v>
      </c>
      <c r="M97" s="39" t="n">
        <f aca="false">L97+L120</f>
        <v>4462</v>
      </c>
      <c r="N97" s="39" t="n">
        <f aca="false">M97+M120</f>
        <v>4462</v>
      </c>
      <c r="O97" s="39" t="n">
        <f aca="false">N97+N120</f>
        <v>4462</v>
      </c>
      <c r="P97" s="38"/>
    </row>
    <row r="98" customFormat="false" ht="12.75" hidden="false" customHeight="false" outlineLevel="1" collapsed="false">
      <c r="A98" s="61"/>
      <c r="B98" s="55" t="s">
        <v>37</v>
      </c>
      <c r="C98" s="56"/>
      <c r="D98" s="56" t="n">
        <v>9332</v>
      </c>
      <c r="E98" s="56" t="n">
        <v>9411</v>
      </c>
      <c r="F98" s="56" t="n">
        <v>9560</v>
      </c>
      <c r="G98" s="56" t="n">
        <v>9543</v>
      </c>
      <c r="H98" s="56" t="n">
        <v>9526</v>
      </c>
      <c r="I98" s="56" t="n">
        <v>9206</v>
      </c>
      <c r="J98" s="57" t="n">
        <f aca="false">I98+I121</f>
        <v>9206</v>
      </c>
      <c r="K98" s="57" t="n">
        <f aca="false">J98+J121</f>
        <v>9206</v>
      </c>
      <c r="L98" s="57" t="n">
        <f aca="false">K98+K121</f>
        <v>9206</v>
      </c>
      <c r="M98" s="57" t="n">
        <f aca="false">L98+L121</f>
        <v>9206</v>
      </c>
      <c r="N98" s="57" t="n">
        <f aca="false">M98+M121</f>
        <v>9206</v>
      </c>
      <c r="O98" s="57" t="n">
        <f aca="false">N98+N121</f>
        <v>9206</v>
      </c>
      <c r="P98" s="38"/>
    </row>
    <row r="99" customFormat="false" ht="12.75" hidden="false" customHeight="false" outlineLevel="1" collapsed="false">
      <c r="A99" s="61"/>
      <c r="B99" s="37" t="s">
        <v>38</v>
      </c>
      <c r="C99" s="38"/>
      <c r="D99" s="38" t="n">
        <f aca="false">SUM(D95:D98)</f>
        <v>59764</v>
      </c>
      <c r="E99" s="38" t="n">
        <f aca="false">SUM(E95:E98)</f>
        <v>60783</v>
      </c>
      <c r="F99" s="38" t="n">
        <f aca="false">SUM(F95:F98)</f>
        <v>61066</v>
      </c>
      <c r="G99" s="38" t="n">
        <f aca="false">SUM(G95:G98)</f>
        <v>61043</v>
      </c>
      <c r="H99" s="38" t="n">
        <f aca="false">SUM(H95:H98)</f>
        <v>61284</v>
      </c>
      <c r="I99" s="38" t="n">
        <f aca="false">SUM(I95:I98)</f>
        <v>61182</v>
      </c>
      <c r="J99" s="39" t="n">
        <f aca="false">SUM(J95:J98)</f>
        <v>61203</v>
      </c>
      <c r="K99" s="39" t="n">
        <f aca="false">SUM(K95:K98)</f>
        <v>61253</v>
      </c>
      <c r="L99" s="39" t="n">
        <f aca="false">SUM(L95:L98)</f>
        <v>61289</v>
      </c>
      <c r="M99" s="39" t="n">
        <f aca="false">SUM(M95:M98)</f>
        <v>61447</v>
      </c>
      <c r="N99" s="39" t="n">
        <f aca="false">SUM(N95:N98)</f>
        <v>61448</v>
      </c>
      <c r="O99" s="39" t="n">
        <f aca="false">SUM(O95:O98)</f>
        <v>61448</v>
      </c>
      <c r="P99" s="38"/>
    </row>
    <row r="100" customFormat="false" ht="12.75" hidden="false" customHeight="false" outlineLevel="1" collapsed="false">
      <c r="A100" s="61"/>
      <c r="C100" s="38"/>
      <c r="D100" s="38"/>
      <c r="E100" s="38"/>
      <c r="F100" s="38"/>
      <c r="G100" s="38"/>
      <c r="H100" s="38"/>
      <c r="I100" s="38"/>
      <c r="J100" s="39"/>
      <c r="K100" s="39"/>
      <c r="L100" s="39"/>
      <c r="M100" s="39"/>
      <c r="N100" s="39"/>
      <c r="O100" s="39"/>
      <c r="P100" s="38"/>
    </row>
    <row r="101" customFormat="false" ht="12.75" hidden="false" customHeight="false" outlineLevel="1" collapsed="false">
      <c r="A101" s="61"/>
      <c r="B101" s="54" t="s">
        <v>42</v>
      </c>
      <c r="C101" s="38"/>
      <c r="D101" s="38"/>
      <c r="E101" s="38"/>
      <c r="F101" s="38"/>
      <c r="G101" s="38"/>
      <c r="H101" s="38"/>
      <c r="I101" s="38"/>
      <c r="J101" s="39"/>
      <c r="K101" s="39"/>
      <c r="L101" s="39"/>
      <c r="M101" s="39"/>
      <c r="N101" s="39"/>
      <c r="O101" s="39"/>
      <c r="P101" s="38"/>
    </row>
    <row r="102" customFormat="false" ht="12.75" hidden="false" customHeight="false" outlineLevel="1" collapsed="false">
      <c r="A102" s="61"/>
      <c r="B102" s="37" t="s">
        <v>34</v>
      </c>
      <c r="C102" s="38"/>
      <c r="D102" s="38" t="n">
        <f aca="false">D109-D95</f>
        <v>24378</v>
      </c>
      <c r="E102" s="38" t="n">
        <f aca="false">E109-E95</f>
        <v>24720</v>
      </c>
      <c r="F102" s="38" t="n">
        <f aca="false">F109-F95</f>
        <v>25248</v>
      </c>
      <c r="G102" s="38" t="n">
        <f aca="false">G109-G95</f>
        <v>25142</v>
      </c>
      <c r="H102" s="38" t="n">
        <f aca="false">H109-H95</f>
        <v>25517</v>
      </c>
      <c r="I102" s="38" t="n">
        <f aca="false">I109-I95</f>
        <v>25814</v>
      </c>
      <c r="J102" s="39" t="n">
        <f aca="false">I102+I125</f>
        <v>26600</v>
      </c>
      <c r="K102" s="39" t="n">
        <f aca="false">J102+J125</f>
        <v>27622</v>
      </c>
      <c r="L102" s="39" t="n">
        <f aca="false">K102+K125</f>
        <v>28944</v>
      </c>
      <c r="M102" s="39" t="n">
        <f aca="false">L102+L125</f>
        <v>29612</v>
      </c>
      <c r="N102" s="39" t="n">
        <f aca="false">M102+M125</f>
        <v>29657</v>
      </c>
      <c r="O102" s="39" t="n">
        <f aca="false">N102+N125</f>
        <v>29590</v>
      </c>
      <c r="P102" s="38"/>
    </row>
    <row r="103" customFormat="false" ht="12.75" hidden="false" customHeight="false" outlineLevel="1" collapsed="false">
      <c r="A103" s="61"/>
      <c r="B103" s="37" t="s">
        <v>35</v>
      </c>
      <c r="C103" s="38"/>
      <c r="D103" s="38" t="n">
        <f aca="false">D110-D96</f>
        <v>7740</v>
      </c>
      <c r="E103" s="38" t="n">
        <f aca="false">E110-E96</f>
        <v>7812</v>
      </c>
      <c r="F103" s="38" t="n">
        <f aca="false">F110-F96</f>
        <v>7976</v>
      </c>
      <c r="G103" s="38" t="n">
        <f aca="false">G110-G96</f>
        <v>7983</v>
      </c>
      <c r="H103" s="38" t="n">
        <f aca="false">H110-H96</f>
        <v>8006</v>
      </c>
      <c r="I103" s="38" t="n">
        <f aca="false">I110-I96</f>
        <v>8318</v>
      </c>
      <c r="J103" s="39" t="n">
        <f aca="false">I103+I126</f>
        <v>8737</v>
      </c>
      <c r="K103" s="39" t="n">
        <f aca="false">J103+J126</f>
        <v>8974</v>
      </c>
      <c r="L103" s="39" t="n">
        <f aca="false">K103+K126</f>
        <v>9709</v>
      </c>
      <c r="M103" s="39" t="n">
        <f aca="false">L103+L126</f>
        <v>10364</v>
      </c>
      <c r="N103" s="39" t="n">
        <f aca="false">M103+M126</f>
        <v>10704</v>
      </c>
      <c r="O103" s="39" t="n">
        <f aca="false">N103+N126</f>
        <v>10789</v>
      </c>
      <c r="P103" s="38"/>
    </row>
    <row r="104" customFormat="false" ht="12.75" hidden="false" customHeight="false" outlineLevel="1" collapsed="false">
      <c r="A104" s="61"/>
      <c r="B104" s="37" t="s">
        <v>36</v>
      </c>
      <c r="C104" s="38"/>
      <c r="D104" s="38" t="n">
        <f aca="false">D111-D97</f>
        <v>17799</v>
      </c>
      <c r="E104" s="38" t="n">
        <f aca="false">E111-E97</f>
        <v>17604</v>
      </c>
      <c r="F104" s="38" t="n">
        <f aca="false">F111-F97</f>
        <v>17594</v>
      </c>
      <c r="G104" s="38" t="n">
        <f aca="false">G111-G97</f>
        <v>19744</v>
      </c>
      <c r="H104" s="38" t="n">
        <f aca="false">H111-H97</f>
        <v>19625</v>
      </c>
      <c r="I104" s="38" t="n">
        <f aca="false">I111-I97</f>
        <v>19742</v>
      </c>
      <c r="J104" s="39" t="n">
        <f aca="false">I104+I127</f>
        <v>20374</v>
      </c>
      <c r="K104" s="39" t="n">
        <f aca="false">J104+J127</f>
        <v>22285</v>
      </c>
      <c r="L104" s="39" t="n">
        <f aca="false">K104+K127</f>
        <v>27010</v>
      </c>
      <c r="M104" s="39" t="n">
        <f aca="false">L104+L127</f>
        <v>31005</v>
      </c>
      <c r="N104" s="39" t="n">
        <f aca="false">M104+M127</f>
        <v>31005</v>
      </c>
      <c r="O104" s="39" t="n">
        <f aca="false">N104+N127</f>
        <v>31505</v>
      </c>
      <c r="P104" s="38"/>
    </row>
    <row r="105" customFormat="false" ht="12.75" hidden="false" customHeight="false" outlineLevel="1" collapsed="false">
      <c r="A105" s="61"/>
      <c r="B105" s="55" t="s">
        <v>37</v>
      </c>
      <c r="C105" s="56"/>
      <c r="D105" s="56" t="n">
        <f aca="false">D112-D98</f>
        <v>43953</v>
      </c>
      <c r="E105" s="56" t="n">
        <f aca="false">E112-E98</f>
        <v>45431</v>
      </c>
      <c r="F105" s="56" t="n">
        <f aca="false">F112-F98</f>
        <v>45753</v>
      </c>
      <c r="G105" s="56" t="n">
        <f aca="false">G112-G98</f>
        <v>44003</v>
      </c>
      <c r="H105" s="56" t="n">
        <f aca="false">H112-H98</f>
        <v>43966</v>
      </c>
      <c r="I105" s="56" t="n">
        <f aca="false">I112-I98</f>
        <v>43448</v>
      </c>
      <c r="J105" s="57" t="n">
        <f aca="false">J112-J98</f>
        <v>43448</v>
      </c>
      <c r="K105" s="57" t="n">
        <f aca="false">J105+J128</f>
        <v>44367</v>
      </c>
      <c r="L105" s="57" t="n">
        <f aca="false">K105+K128</f>
        <v>47347</v>
      </c>
      <c r="M105" s="57" t="n">
        <f aca="false">L105+L128</f>
        <v>48899</v>
      </c>
      <c r="N105" s="57" t="n">
        <f aca="false">M105+M128</f>
        <v>48899</v>
      </c>
      <c r="O105" s="57" t="n">
        <f aca="false">N105+N128</f>
        <v>49124</v>
      </c>
      <c r="P105" s="38"/>
    </row>
    <row r="106" customFormat="false" ht="12.75" hidden="false" customHeight="false" outlineLevel="1" collapsed="false">
      <c r="A106" s="61"/>
      <c r="B106" s="37" t="s">
        <v>38</v>
      </c>
      <c r="C106" s="38"/>
      <c r="D106" s="38" t="n">
        <f aca="false">SUM(D102:D105)</f>
        <v>93870</v>
      </c>
      <c r="E106" s="38" t="n">
        <f aca="false">SUM(E102:E105)</f>
        <v>95567</v>
      </c>
      <c r="F106" s="38" t="n">
        <f aca="false">SUM(F102:F105)</f>
        <v>96571</v>
      </c>
      <c r="G106" s="38" t="n">
        <f aca="false">SUM(G102:G105)</f>
        <v>96872</v>
      </c>
      <c r="H106" s="38" t="n">
        <f aca="false">SUM(H102:H105)</f>
        <v>97114</v>
      </c>
      <c r="I106" s="38" t="n">
        <f aca="false">SUM(I102:I105)</f>
        <v>97322</v>
      </c>
      <c r="J106" s="39" t="n">
        <f aca="false">SUM(J102:J105)</f>
        <v>99159</v>
      </c>
      <c r="K106" s="39" t="n">
        <f aca="false">SUM(K102:K105)</f>
        <v>103248</v>
      </c>
      <c r="L106" s="39" t="n">
        <f aca="false">SUM(L102:L105)</f>
        <v>113010</v>
      </c>
      <c r="M106" s="39" t="n">
        <f aca="false">SUM(M102:M105)</f>
        <v>119880</v>
      </c>
      <c r="N106" s="39" t="n">
        <f aca="false">SUM(N102:N105)</f>
        <v>120265</v>
      </c>
      <c r="O106" s="39" t="n">
        <f aca="false">SUM(O102:O105)</f>
        <v>121008</v>
      </c>
      <c r="P106" s="38"/>
    </row>
    <row r="107" customFormat="false" ht="12.75" hidden="false" customHeight="false" outlineLevel="1" collapsed="false">
      <c r="A107" s="61"/>
      <c r="B107" s="37"/>
      <c r="C107" s="38"/>
      <c r="D107" s="38"/>
      <c r="E107" s="38"/>
      <c r="F107" s="38"/>
      <c r="G107" s="38"/>
      <c r="H107" s="38"/>
      <c r="I107" s="38"/>
      <c r="J107" s="39"/>
      <c r="K107" s="39"/>
      <c r="L107" s="39"/>
      <c r="M107" s="39"/>
      <c r="N107" s="39"/>
      <c r="O107" s="39"/>
      <c r="P107" s="38"/>
    </row>
    <row r="108" customFormat="false" ht="12.75" hidden="false" customHeight="false" outlineLevel="0" collapsed="false">
      <c r="A108" s="61"/>
      <c r="B108" s="54" t="s">
        <v>43</v>
      </c>
      <c r="C108" s="38"/>
      <c r="D108" s="38"/>
      <c r="E108" s="38"/>
      <c r="F108" s="38"/>
      <c r="G108" s="38"/>
      <c r="H108" s="38"/>
      <c r="I108" s="38"/>
      <c r="J108" s="39"/>
      <c r="K108" s="39"/>
      <c r="L108" s="39"/>
      <c r="M108" s="39"/>
      <c r="N108" s="39"/>
      <c r="O108" s="39"/>
      <c r="P108" s="38"/>
    </row>
    <row r="109" customFormat="false" ht="12.75" hidden="false" customHeight="false" outlineLevel="0" collapsed="false">
      <c r="A109" s="61"/>
      <c r="B109" s="37" t="s">
        <v>34</v>
      </c>
      <c r="C109" s="38"/>
      <c r="D109" s="38" t="n">
        <v>69674</v>
      </c>
      <c r="E109" s="38" t="n">
        <v>70901</v>
      </c>
      <c r="F109" s="38" t="n">
        <v>71557</v>
      </c>
      <c r="G109" s="38" t="n">
        <v>71423</v>
      </c>
      <c r="H109" s="38" t="n">
        <v>72050</v>
      </c>
      <c r="I109" s="38" t="n">
        <v>72418</v>
      </c>
      <c r="J109" s="39" t="n">
        <f aca="false">I109+I132</f>
        <v>73230</v>
      </c>
      <c r="K109" s="39" t="n">
        <f aca="false">J109+J132</f>
        <v>74303</v>
      </c>
      <c r="L109" s="39" t="n">
        <f aca="false">K109+K132</f>
        <v>75663</v>
      </c>
      <c r="M109" s="39" t="n">
        <f aca="false">L109+L132</f>
        <v>76495</v>
      </c>
      <c r="N109" s="39" t="n">
        <f aca="false">M109+M132</f>
        <v>76546</v>
      </c>
      <c r="O109" s="39" t="n">
        <f aca="false">N109+N132</f>
        <v>76479</v>
      </c>
      <c r="P109" s="38"/>
    </row>
    <row r="110" customFormat="false" ht="12.75" hidden="false" customHeight="false" outlineLevel="0" collapsed="false">
      <c r="A110" s="61"/>
      <c r="B110" s="37" t="s">
        <v>35</v>
      </c>
      <c r="C110" s="38"/>
      <c r="D110" s="38" t="n">
        <v>10268</v>
      </c>
      <c r="E110" s="38" t="n">
        <v>10356</v>
      </c>
      <c r="F110" s="38" t="n">
        <v>10526</v>
      </c>
      <c r="G110" s="38" t="n">
        <v>10555</v>
      </c>
      <c r="H110" s="38" t="n">
        <v>10584</v>
      </c>
      <c r="I110" s="38" t="n">
        <v>9228</v>
      </c>
      <c r="J110" s="39" t="n">
        <f aca="false">I110+I133</f>
        <v>9642</v>
      </c>
      <c r="K110" s="39" t="n">
        <f aca="false">J110+J133</f>
        <v>9878</v>
      </c>
      <c r="L110" s="39" t="n">
        <f aca="false">K110+K133</f>
        <v>10611</v>
      </c>
      <c r="M110" s="39" t="n">
        <f aca="false">L110+L133</f>
        <v>11260</v>
      </c>
      <c r="N110" s="39" t="n">
        <f aca="false">M110+M133</f>
        <v>11595</v>
      </c>
      <c r="O110" s="39" t="n">
        <f aca="false">N110+N133</f>
        <v>11680</v>
      </c>
      <c r="P110" s="38"/>
    </row>
    <row r="111" customFormat="false" ht="12.75" hidden="false" customHeight="false" outlineLevel="0" collapsed="false">
      <c r="A111" s="61"/>
      <c r="B111" s="37" t="s">
        <v>36</v>
      </c>
      <c r="C111" s="38"/>
      <c r="D111" s="38" t="n">
        <v>20407</v>
      </c>
      <c r="E111" s="38" t="n">
        <v>20251</v>
      </c>
      <c r="F111" s="38" t="n">
        <v>20241</v>
      </c>
      <c r="G111" s="38" t="n">
        <v>22391</v>
      </c>
      <c r="H111" s="38" t="n">
        <v>22272</v>
      </c>
      <c r="I111" s="38" t="n">
        <v>24204</v>
      </c>
      <c r="J111" s="39" t="n">
        <f aca="false">I111+I134</f>
        <v>24836</v>
      </c>
      <c r="K111" s="39" t="n">
        <f aca="false">J111+J134</f>
        <v>26747</v>
      </c>
      <c r="L111" s="39" t="n">
        <f aca="false">K111+K134</f>
        <v>31472</v>
      </c>
      <c r="M111" s="39" t="n">
        <f aca="false">L111+L134</f>
        <v>35467</v>
      </c>
      <c r="N111" s="39" t="n">
        <f aca="false">M111+M134</f>
        <v>35467</v>
      </c>
      <c r="O111" s="39" t="n">
        <f aca="false">N111+N134</f>
        <v>35967</v>
      </c>
      <c r="P111" s="38"/>
    </row>
    <row r="112" customFormat="false" ht="12.75" hidden="false" customHeight="false" outlineLevel="0" collapsed="false">
      <c r="A112" s="61"/>
      <c r="B112" s="55" t="s">
        <v>37</v>
      </c>
      <c r="C112" s="56"/>
      <c r="D112" s="56" t="n">
        <v>53285</v>
      </c>
      <c r="E112" s="56" t="n">
        <v>54842</v>
      </c>
      <c r="F112" s="56" t="n">
        <v>55313</v>
      </c>
      <c r="G112" s="56" t="n">
        <v>53546</v>
      </c>
      <c r="H112" s="56" t="n">
        <v>53492</v>
      </c>
      <c r="I112" s="56" t="n">
        <v>52654</v>
      </c>
      <c r="J112" s="57" t="n">
        <f aca="false">I112+I135</f>
        <v>52654</v>
      </c>
      <c r="K112" s="57" t="n">
        <f aca="false">J112+J135</f>
        <v>53573</v>
      </c>
      <c r="L112" s="57" t="n">
        <f aca="false">K112+K135</f>
        <v>56553</v>
      </c>
      <c r="M112" s="57" t="n">
        <f aca="false">L112+L135</f>
        <v>58105</v>
      </c>
      <c r="N112" s="57" t="n">
        <f aca="false">M112+M135</f>
        <v>58105</v>
      </c>
      <c r="O112" s="57" t="n">
        <f aca="false">N112+N135</f>
        <v>58330</v>
      </c>
      <c r="P112" s="38"/>
    </row>
    <row r="113" customFormat="false" ht="12.75" hidden="false" customHeight="false" outlineLevel="0" collapsed="false">
      <c r="A113" s="61"/>
      <c r="B113" s="37" t="s">
        <v>38</v>
      </c>
      <c r="C113" s="38"/>
      <c r="D113" s="38" t="n">
        <f aca="false">SUM(D109:D112)</f>
        <v>153634</v>
      </c>
      <c r="E113" s="38" t="n">
        <f aca="false">SUM(E109:E112)</f>
        <v>156350</v>
      </c>
      <c r="F113" s="38" t="n">
        <f aca="false">SUM(F109:F112)</f>
        <v>157637</v>
      </c>
      <c r="G113" s="38" t="n">
        <f aca="false">SUM(G109:G112)</f>
        <v>157915</v>
      </c>
      <c r="H113" s="38" t="n">
        <f aca="false">SUM(H109:H112)</f>
        <v>158398</v>
      </c>
      <c r="I113" s="38" t="n">
        <f aca="false">SUM(I109:I112)</f>
        <v>158504</v>
      </c>
      <c r="J113" s="39" t="n">
        <f aca="false">SUM(J109:J112)</f>
        <v>160362</v>
      </c>
      <c r="K113" s="39" t="n">
        <f aca="false">SUM(K109:K112)</f>
        <v>164501</v>
      </c>
      <c r="L113" s="39" t="n">
        <f aca="false">SUM(L109:L112)</f>
        <v>174299</v>
      </c>
      <c r="M113" s="39" t="n">
        <f aca="false">SUM(M109:M112)</f>
        <v>181327</v>
      </c>
      <c r="N113" s="39" t="n">
        <f aca="false">SUM(N109:N112)</f>
        <v>181713</v>
      </c>
      <c r="O113" s="39" t="n">
        <f aca="false">SUM(O109:O112)</f>
        <v>182456</v>
      </c>
      <c r="P113" s="38"/>
    </row>
    <row r="114" customFormat="false" ht="12.75" hidden="false" customHeight="false" outlineLevel="0" collapsed="false">
      <c r="B114" s="37"/>
      <c r="C114" s="38"/>
      <c r="D114" s="38"/>
      <c r="E114" s="38"/>
      <c r="F114" s="38"/>
      <c r="G114" s="38"/>
      <c r="H114" s="38"/>
      <c r="I114" s="38"/>
      <c r="J114" s="39"/>
      <c r="K114" s="39"/>
      <c r="L114" s="39"/>
      <c r="M114" s="39"/>
      <c r="N114" s="39"/>
      <c r="O114" s="39"/>
      <c r="P114" s="38"/>
    </row>
    <row r="115" customFormat="false" ht="12.75" hidden="false" customHeight="false" outlineLevel="0" collapsed="false">
      <c r="C115" s="38"/>
      <c r="D115" s="38"/>
      <c r="E115" s="38"/>
      <c r="F115" s="38"/>
      <c r="G115" s="38"/>
      <c r="H115" s="38"/>
      <c r="I115" s="38"/>
      <c r="J115" s="39"/>
      <c r="K115" s="39"/>
      <c r="L115" s="39"/>
      <c r="M115" s="39"/>
      <c r="N115" s="39"/>
      <c r="O115" s="39"/>
      <c r="P115" s="38"/>
    </row>
    <row r="116" customFormat="false" ht="12.75" hidden="false" customHeight="false" outlineLevel="0" collapsed="false">
      <c r="A116" s="62"/>
      <c r="B116" s="4" t="s">
        <v>44</v>
      </c>
      <c r="C116" s="38"/>
      <c r="D116" s="38"/>
      <c r="E116" s="38"/>
      <c r="F116" s="38"/>
      <c r="G116" s="38"/>
      <c r="H116" s="38"/>
      <c r="I116" s="38"/>
      <c r="J116" s="39"/>
      <c r="K116" s="39"/>
      <c r="L116" s="39"/>
      <c r="M116" s="39"/>
      <c r="N116" s="39"/>
      <c r="O116" s="39"/>
      <c r="P116" s="38"/>
    </row>
    <row r="117" customFormat="false" ht="12.75" hidden="false" customHeight="false" outlineLevel="1" collapsed="false">
      <c r="A117" s="62"/>
      <c r="B117" s="54" t="s">
        <v>41</v>
      </c>
      <c r="C117" s="38"/>
      <c r="D117" s="38"/>
      <c r="E117" s="38"/>
      <c r="F117" s="38"/>
      <c r="G117" s="38"/>
      <c r="H117" s="38"/>
      <c r="I117" s="38"/>
      <c r="J117" s="39"/>
      <c r="K117" s="39"/>
      <c r="L117" s="39"/>
      <c r="M117" s="39"/>
      <c r="N117" s="39"/>
      <c r="O117" s="39"/>
      <c r="P117" s="38"/>
    </row>
    <row r="118" customFormat="false" ht="12.75" hidden="false" customHeight="false" outlineLevel="1" collapsed="false">
      <c r="A118" s="62"/>
      <c r="B118" s="37" t="s">
        <v>34</v>
      </c>
      <c r="C118" s="38"/>
      <c r="D118" s="38" t="n">
        <f aca="false">E95-D95</f>
        <v>885</v>
      </c>
      <c r="E118" s="38" t="n">
        <f aca="false">F95-E95</f>
        <v>128</v>
      </c>
      <c r="F118" s="38" t="n">
        <f aca="false">G95-F95</f>
        <v>-28</v>
      </c>
      <c r="G118" s="38" t="n">
        <f aca="false">H95-G95</f>
        <v>252</v>
      </c>
      <c r="H118" s="38" t="n">
        <f aca="false">I95-H95</f>
        <v>71</v>
      </c>
      <c r="I118" s="39" t="n">
        <v>26</v>
      </c>
      <c r="J118" s="39" t="n">
        <v>51</v>
      </c>
      <c r="K118" s="39" t="n">
        <v>38</v>
      </c>
      <c r="L118" s="39" t="n">
        <v>164</v>
      </c>
      <c r="M118" s="39" t="n">
        <v>6</v>
      </c>
      <c r="N118" s="39" t="n">
        <v>0</v>
      </c>
      <c r="O118" s="39" t="n">
        <v>25</v>
      </c>
      <c r="P118" s="38"/>
    </row>
    <row r="119" customFormat="false" ht="12.75" hidden="false" customHeight="false" outlineLevel="1" collapsed="false">
      <c r="A119" s="62"/>
      <c r="B119" s="37" t="s">
        <v>35</v>
      </c>
      <c r="C119" s="38"/>
      <c r="D119" s="38" t="n">
        <f aca="false">E96-D96</f>
        <v>16</v>
      </c>
      <c r="E119" s="38" t="n">
        <f aca="false">F96-E96</f>
        <v>6</v>
      </c>
      <c r="F119" s="38" t="n">
        <f aca="false">G96-F96</f>
        <v>22</v>
      </c>
      <c r="G119" s="38" t="n">
        <f aca="false">H96-G96</f>
        <v>6</v>
      </c>
      <c r="H119" s="38" t="n">
        <f aca="false">I96-H96</f>
        <v>-1668</v>
      </c>
      <c r="I119" s="39" t="n">
        <v>-5</v>
      </c>
      <c r="J119" s="39" t="n">
        <v>-1</v>
      </c>
      <c r="K119" s="39" t="n">
        <v>-2</v>
      </c>
      <c r="L119" s="39" t="n">
        <v>-6</v>
      </c>
      <c r="M119" s="39" t="n">
        <v>-5</v>
      </c>
      <c r="N119" s="39" t="n">
        <v>0</v>
      </c>
      <c r="O119" s="39" t="n">
        <v>0</v>
      </c>
      <c r="P119" s="38"/>
    </row>
    <row r="120" customFormat="false" ht="12.75" hidden="false" customHeight="false" outlineLevel="1" collapsed="false">
      <c r="A120" s="62"/>
      <c r="B120" s="37" t="s">
        <v>36</v>
      </c>
      <c r="C120" s="38"/>
      <c r="D120" s="38" t="n">
        <f aca="false">E97-D97</f>
        <v>39</v>
      </c>
      <c r="E120" s="38" t="n">
        <f aca="false">F97-E97</f>
        <v>0</v>
      </c>
      <c r="F120" s="38" t="n">
        <f aca="false">G97-F97</f>
        <v>0</v>
      </c>
      <c r="G120" s="38" t="n">
        <f aca="false">H97-G97</f>
        <v>0</v>
      </c>
      <c r="H120" s="38" t="n">
        <f aca="false">I97-H97</f>
        <v>1815</v>
      </c>
      <c r="I120" s="39" t="n">
        <v>0</v>
      </c>
      <c r="J120" s="39" t="n">
        <v>0</v>
      </c>
      <c r="K120" s="39" t="n">
        <v>0</v>
      </c>
      <c r="L120" s="39" t="n">
        <v>0</v>
      </c>
      <c r="M120" s="39" t="n">
        <v>0</v>
      </c>
      <c r="N120" s="39" t="n">
        <v>0</v>
      </c>
      <c r="O120" s="39" t="n">
        <v>0</v>
      </c>
      <c r="P120" s="38"/>
    </row>
    <row r="121" customFormat="false" ht="12.75" hidden="false" customHeight="false" outlineLevel="1" collapsed="false">
      <c r="A121" s="62"/>
      <c r="B121" s="55" t="s">
        <v>37</v>
      </c>
      <c r="C121" s="56"/>
      <c r="D121" s="56" t="n">
        <f aca="false">E98-D98</f>
        <v>79</v>
      </c>
      <c r="E121" s="56" t="n">
        <f aca="false">F98-E98</f>
        <v>149</v>
      </c>
      <c r="F121" s="56" t="n">
        <f aca="false">G98-F98</f>
        <v>-17</v>
      </c>
      <c r="G121" s="56" t="n">
        <f aca="false">H98-G98</f>
        <v>-17</v>
      </c>
      <c r="H121" s="56" t="n">
        <f aca="false">I98-H98</f>
        <v>-320</v>
      </c>
      <c r="I121" s="57" t="n">
        <v>0</v>
      </c>
      <c r="J121" s="57" t="n">
        <v>0</v>
      </c>
      <c r="K121" s="57" t="n">
        <v>0</v>
      </c>
      <c r="L121" s="57" t="n">
        <v>0</v>
      </c>
      <c r="M121" s="57" t="n">
        <v>0</v>
      </c>
      <c r="N121" s="57" t="n">
        <v>0</v>
      </c>
      <c r="O121" s="57" t="n">
        <v>0</v>
      </c>
      <c r="P121" s="38"/>
    </row>
    <row r="122" customFormat="false" ht="12.75" hidden="false" customHeight="false" outlineLevel="1" collapsed="false">
      <c r="A122" s="62"/>
      <c r="B122" s="37" t="s">
        <v>38</v>
      </c>
      <c r="C122" s="38"/>
      <c r="D122" s="38" t="n">
        <f aca="false">SUM(D118:D121)</f>
        <v>1019</v>
      </c>
      <c r="E122" s="38" t="n">
        <f aca="false">SUM(E118:E121)</f>
        <v>283</v>
      </c>
      <c r="F122" s="38" t="n">
        <f aca="false">SUM(F118:F121)</f>
        <v>-23</v>
      </c>
      <c r="G122" s="38" t="n">
        <f aca="false">SUM(G118:G121)</f>
        <v>241</v>
      </c>
      <c r="H122" s="38" t="n">
        <f aca="false">SUM(H118:H121)</f>
        <v>-102</v>
      </c>
      <c r="I122" s="39" t="n">
        <f aca="false">SUM(I118:I121)</f>
        <v>21</v>
      </c>
      <c r="J122" s="39" t="n">
        <f aca="false">SUM(J118:J121)</f>
        <v>50</v>
      </c>
      <c r="K122" s="39" t="n">
        <f aca="false">SUM(K118:K121)</f>
        <v>36</v>
      </c>
      <c r="L122" s="39" t="n">
        <f aca="false">SUM(L118:L121)</f>
        <v>158</v>
      </c>
      <c r="M122" s="39" t="n">
        <f aca="false">SUM(M118:M121)</f>
        <v>1</v>
      </c>
      <c r="N122" s="39" t="n">
        <f aca="false">SUM(N118:N121)</f>
        <v>0</v>
      </c>
      <c r="O122" s="39" t="n">
        <f aca="false">SUM(O118:O121)</f>
        <v>25</v>
      </c>
      <c r="P122" s="38"/>
    </row>
    <row r="123" customFormat="false" ht="12.75" hidden="false" customHeight="false" outlineLevel="1" collapsed="false">
      <c r="A123" s="62"/>
      <c r="C123" s="38"/>
      <c r="D123" s="38"/>
      <c r="E123" s="38"/>
      <c r="F123" s="38"/>
      <c r="G123" s="38"/>
      <c r="H123" s="38"/>
      <c r="I123" s="39"/>
      <c r="J123" s="39"/>
      <c r="K123" s="39"/>
      <c r="L123" s="39"/>
      <c r="M123" s="39"/>
      <c r="N123" s="39"/>
      <c r="O123" s="39"/>
      <c r="P123" s="38"/>
    </row>
    <row r="124" customFormat="false" ht="12.75" hidden="false" customHeight="false" outlineLevel="1" collapsed="false">
      <c r="A124" s="62"/>
      <c r="B124" s="54" t="s">
        <v>42</v>
      </c>
      <c r="C124" s="38"/>
      <c r="D124" s="38"/>
      <c r="E124" s="38"/>
      <c r="F124" s="38"/>
      <c r="G124" s="38"/>
      <c r="H124" s="38"/>
      <c r="I124" s="39"/>
      <c r="J124" s="39"/>
      <c r="K124" s="39"/>
      <c r="L124" s="39"/>
      <c r="M124" s="39"/>
      <c r="N124" s="39"/>
      <c r="O124" s="39"/>
      <c r="P124" s="38"/>
    </row>
    <row r="125" customFormat="false" ht="12.75" hidden="false" customHeight="false" outlineLevel="1" collapsed="false">
      <c r="A125" s="62"/>
      <c r="B125" s="37" t="s">
        <v>34</v>
      </c>
      <c r="C125" s="38"/>
      <c r="D125" s="38" t="n">
        <f aca="false">E102-D102</f>
        <v>342</v>
      </c>
      <c r="E125" s="38" t="n">
        <f aca="false">F102-E102</f>
        <v>528</v>
      </c>
      <c r="F125" s="38" t="n">
        <f aca="false">G102-F102</f>
        <v>-106</v>
      </c>
      <c r="G125" s="38" t="n">
        <f aca="false">H102-G102</f>
        <v>375</v>
      </c>
      <c r="H125" s="38" t="n">
        <f aca="false">I102-H102</f>
        <v>297</v>
      </c>
      <c r="I125" s="39" t="n">
        <f aca="false">I132-I118</f>
        <v>786</v>
      </c>
      <c r="J125" s="39" t="n">
        <f aca="false">J132-J118</f>
        <v>1022</v>
      </c>
      <c r="K125" s="39" t="n">
        <f aca="false">K132-K118</f>
        <v>1322</v>
      </c>
      <c r="L125" s="39" t="n">
        <f aca="false">L132-L118</f>
        <v>668</v>
      </c>
      <c r="M125" s="39" t="n">
        <f aca="false">M132-M118</f>
        <v>45</v>
      </c>
      <c r="N125" s="39" t="n">
        <f aca="false">N132-N118</f>
        <v>-67</v>
      </c>
      <c r="O125" s="39" t="n">
        <f aca="false">O132-O118</f>
        <v>183</v>
      </c>
      <c r="P125" s="38"/>
    </row>
    <row r="126" customFormat="false" ht="12.75" hidden="false" customHeight="false" outlineLevel="1" collapsed="false">
      <c r="A126" s="62"/>
      <c r="B126" s="37" t="s">
        <v>35</v>
      </c>
      <c r="C126" s="38"/>
      <c r="D126" s="38" t="n">
        <f aca="false">E103-D103</f>
        <v>72</v>
      </c>
      <c r="E126" s="38" t="n">
        <f aca="false">F103-E103</f>
        <v>164</v>
      </c>
      <c r="F126" s="38" t="n">
        <f aca="false">G103-F103</f>
        <v>7</v>
      </c>
      <c r="G126" s="38" t="n">
        <f aca="false">H103-G103</f>
        <v>23</v>
      </c>
      <c r="H126" s="38" t="n">
        <f aca="false">I103-H103</f>
        <v>312</v>
      </c>
      <c r="I126" s="39" t="n">
        <f aca="false">I133-I119</f>
        <v>419</v>
      </c>
      <c r="J126" s="39" t="n">
        <f aca="false">J133-J119</f>
        <v>237</v>
      </c>
      <c r="K126" s="39" t="n">
        <f aca="false">K133-K119</f>
        <v>735</v>
      </c>
      <c r="L126" s="39" t="n">
        <f aca="false">L133-L119</f>
        <v>655</v>
      </c>
      <c r="M126" s="39" t="n">
        <f aca="false">M133-M119</f>
        <v>340</v>
      </c>
      <c r="N126" s="39" t="n">
        <f aca="false">N133-N119</f>
        <v>85</v>
      </c>
      <c r="O126" s="39" t="n">
        <f aca="false">O133-O119</f>
        <v>269</v>
      </c>
      <c r="P126" s="38"/>
    </row>
    <row r="127" customFormat="false" ht="12.75" hidden="false" customHeight="false" outlineLevel="1" collapsed="false">
      <c r="A127" s="62"/>
      <c r="B127" s="37" t="s">
        <v>36</v>
      </c>
      <c r="C127" s="38"/>
      <c r="D127" s="38" t="n">
        <f aca="false">E104-D104</f>
        <v>-195</v>
      </c>
      <c r="E127" s="38" t="n">
        <f aca="false">F104-E104</f>
        <v>-10</v>
      </c>
      <c r="F127" s="38" t="n">
        <f aca="false">G104-F104</f>
        <v>2150</v>
      </c>
      <c r="G127" s="38" t="n">
        <f aca="false">H104-G104</f>
        <v>-119</v>
      </c>
      <c r="H127" s="38" t="n">
        <f aca="false">I104-H104</f>
        <v>117</v>
      </c>
      <c r="I127" s="39" t="n">
        <f aca="false">I134-I120</f>
        <v>632</v>
      </c>
      <c r="J127" s="39" t="n">
        <f aca="false">J134-J120</f>
        <v>1911</v>
      </c>
      <c r="K127" s="39" t="n">
        <f aca="false">K134-K120</f>
        <v>4725</v>
      </c>
      <c r="L127" s="39" t="n">
        <f aca="false">L134-L120</f>
        <v>3995</v>
      </c>
      <c r="M127" s="39" t="n">
        <f aca="false">M134-M120</f>
        <v>0</v>
      </c>
      <c r="N127" s="39" t="n">
        <f aca="false">N134-N120</f>
        <v>500</v>
      </c>
      <c r="O127" s="39" t="n">
        <f aca="false">O134-O120</f>
        <v>0</v>
      </c>
      <c r="P127" s="38"/>
    </row>
    <row r="128" customFormat="false" ht="12.75" hidden="false" customHeight="false" outlineLevel="1" collapsed="false">
      <c r="A128" s="62"/>
      <c r="B128" s="55" t="s">
        <v>37</v>
      </c>
      <c r="C128" s="56"/>
      <c r="D128" s="56" t="n">
        <f aca="false">E105-D105</f>
        <v>1478</v>
      </c>
      <c r="E128" s="56" t="n">
        <f aca="false">F105-E105</f>
        <v>322</v>
      </c>
      <c r="F128" s="56" t="n">
        <f aca="false">G105-F105</f>
        <v>-1750</v>
      </c>
      <c r="G128" s="56" t="n">
        <f aca="false">H105-G105</f>
        <v>-37</v>
      </c>
      <c r="H128" s="56" t="n">
        <f aca="false">I105-H105</f>
        <v>-518</v>
      </c>
      <c r="I128" s="57" t="n">
        <f aca="false">I135-I121</f>
        <v>0</v>
      </c>
      <c r="J128" s="57" t="n">
        <f aca="false">J135-J121</f>
        <v>919</v>
      </c>
      <c r="K128" s="57" t="n">
        <f aca="false">K135-K121</f>
        <v>2980</v>
      </c>
      <c r="L128" s="57" t="n">
        <f aca="false">L135-L121</f>
        <v>1552</v>
      </c>
      <c r="M128" s="57" t="n">
        <f aca="false">M135-M121</f>
        <v>0</v>
      </c>
      <c r="N128" s="57" t="n">
        <f aca="false">N135-N121</f>
        <v>225</v>
      </c>
      <c r="O128" s="57" t="n">
        <f aca="false">O135-O121</f>
        <v>225</v>
      </c>
      <c r="P128" s="38"/>
    </row>
    <row r="129" customFormat="false" ht="12.75" hidden="false" customHeight="false" outlineLevel="1" collapsed="false">
      <c r="A129" s="62"/>
      <c r="B129" s="37" t="s">
        <v>38</v>
      </c>
      <c r="C129" s="38"/>
      <c r="D129" s="38" t="n">
        <f aca="false">SUM(D125:D128)</f>
        <v>1697</v>
      </c>
      <c r="E129" s="38" t="n">
        <f aca="false">SUM(E125:E128)</f>
        <v>1004</v>
      </c>
      <c r="F129" s="38" t="n">
        <f aca="false">SUM(F125:F128)</f>
        <v>301</v>
      </c>
      <c r="G129" s="38" t="n">
        <f aca="false">SUM(G125:G128)</f>
        <v>242</v>
      </c>
      <c r="H129" s="38" t="n">
        <f aca="false">SUM(H125:H128)</f>
        <v>208</v>
      </c>
      <c r="I129" s="39" t="n">
        <f aca="false">SUM(I125:I128)</f>
        <v>1837</v>
      </c>
      <c r="J129" s="39" t="n">
        <f aca="false">SUM(J125:J128)</f>
        <v>4089</v>
      </c>
      <c r="K129" s="39" t="n">
        <f aca="false">SUM(K125:K128)</f>
        <v>9762</v>
      </c>
      <c r="L129" s="39" t="n">
        <f aca="false">SUM(L125:L128)</f>
        <v>6870</v>
      </c>
      <c r="M129" s="39" t="n">
        <f aca="false">SUM(M125:M128)</f>
        <v>385</v>
      </c>
      <c r="N129" s="39" t="n">
        <f aca="false">SUM(N125:N128)</f>
        <v>743</v>
      </c>
      <c r="O129" s="39" t="n">
        <f aca="false">SUM(O125:O128)</f>
        <v>677</v>
      </c>
      <c r="P129" s="38"/>
    </row>
    <row r="130" customFormat="false" ht="12.75" hidden="false" customHeight="false" outlineLevel="1" collapsed="false">
      <c r="A130" s="62"/>
      <c r="B130" s="37"/>
      <c r="C130" s="38"/>
      <c r="D130" s="38"/>
      <c r="E130" s="38"/>
      <c r="F130" s="38"/>
      <c r="G130" s="38"/>
      <c r="H130" s="38"/>
      <c r="I130" s="39"/>
      <c r="J130" s="39"/>
      <c r="K130" s="39"/>
      <c r="L130" s="39"/>
      <c r="M130" s="39"/>
      <c r="N130" s="39"/>
      <c r="O130" s="39"/>
      <c r="P130" s="38"/>
      <c r="Q130" s="0" t="s">
        <v>45</v>
      </c>
    </row>
    <row r="131" customFormat="false" ht="12.75" hidden="false" customHeight="false" outlineLevel="0" collapsed="false">
      <c r="A131" s="62"/>
      <c r="B131" s="54" t="s">
        <v>43</v>
      </c>
      <c r="C131" s="38"/>
      <c r="D131" s="38"/>
      <c r="E131" s="38"/>
      <c r="F131" s="38"/>
      <c r="G131" s="38"/>
      <c r="H131" s="38"/>
      <c r="I131" s="38"/>
      <c r="J131" s="39"/>
      <c r="K131" s="39"/>
      <c r="L131" s="39"/>
      <c r="M131" s="39"/>
      <c r="N131" s="39"/>
      <c r="O131" s="39"/>
      <c r="P131" s="38"/>
      <c r="Q131" s="63" t="n">
        <v>2000</v>
      </c>
      <c r="R131" s="63" t="n">
        <v>2001</v>
      </c>
    </row>
    <row r="132" customFormat="false" ht="12.75" hidden="false" customHeight="false" outlineLevel="0" collapsed="false">
      <c r="A132" s="62"/>
      <c r="B132" s="37" t="s">
        <v>34</v>
      </c>
      <c r="C132" s="38"/>
      <c r="D132" s="38"/>
      <c r="E132" s="38"/>
      <c r="F132" s="38"/>
      <c r="G132" s="38"/>
      <c r="H132" s="38"/>
      <c r="I132" s="64" t="n">
        <v>812</v>
      </c>
      <c r="J132" s="39" t="n">
        <v>1073</v>
      </c>
      <c r="K132" s="39" t="n">
        <v>1360</v>
      </c>
      <c r="L132" s="39" t="n">
        <v>832</v>
      </c>
      <c r="M132" s="39" t="n">
        <v>51</v>
      </c>
      <c r="N132" s="39" t="n">
        <v>-67</v>
      </c>
      <c r="O132" s="39" t="n">
        <v>208</v>
      </c>
      <c r="P132" s="38"/>
      <c r="Q132" s="0" t="n">
        <v>1416</v>
      </c>
      <c r="R132" s="0" t="n">
        <v>1073</v>
      </c>
    </row>
    <row r="133" customFormat="false" ht="12.75" hidden="false" customHeight="false" outlineLevel="0" collapsed="false">
      <c r="A133" s="62"/>
      <c r="B133" s="37" t="s">
        <v>35</v>
      </c>
      <c r="C133" s="38"/>
      <c r="D133" s="38"/>
      <c r="E133" s="38"/>
      <c r="F133" s="38"/>
      <c r="G133" s="38"/>
      <c r="H133" s="38"/>
      <c r="I133" s="64" t="n">
        <v>414</v>
      </c>
      <c r="J133" s="39" t="n">
        <v>236</v>
      </c>
      <c r="K133" s="39" t="n">
        <v>733</v>
      </c>
      <c r="L133" s="39" t="n">
        <v>649</v>
      </c>
      <c r="M133" s="39" t="n">
        <v>335</v>
      </c>
      <c r="N133" s="39" t="n">
        <v>85</v>
      </c>
      <c r="O133" s="39" t="n">
        <v>269</v>
      </c>
      <c r="P133" s="38"/>
      <c r="Q133" s="0" t="n">
        <v>347</v>
      </c>
      <c r="R133" s="0" t="n">
        <v>236</v>
      </c>
    </row>
    <row r="134" customFormat="false" ht="12.75" hidden="false" customHeight="false" outlineLevel="0" collapsed="false">
      <c r="A134" s="62"/>
      <c r="B134" s="37" t="s">
        <v>36</v>
      </c>
      <c r="C134" s="38"/>
      <c r="D134" s="38"/>
      <c r="E134" s="38"/>
      <c r="F134" s="38"/>
      <c r="G134" s="38"/>
      <c r="H134" s="38"/>
      <c r="I134" s="64" t="n">
        <v>632</v>
      </c>
      <c r="J134" s="39" t="n">
        <v>1911</v>
      </c>
      <c r="K134" s="39" t="n">
        <v>4725</v>
      </c>
      <c r="L134" s="39" t="n">
        <v>3995</v>
      </c>
      <c r="M134" s="39" t="n">
        <v>0</v>
      </c>
      <c r="N134" s="39" t="n">
        <v>500</v>
      </c>
      <c r="O134" s="39" t="n">
        <v>0</v>
      </c>
      <c r="P134" s="38"/>
      <c r="Q134" s="0" t="n">
        <v>132</v>
      </c>
      <c r="R134" s="0" t="n">
        <v>1911</v>
      </c>
    </row>
    <row r="135" customFormat="false" ht="12.75" hidden="false" customHeight="false" outlineLevel="0" collapsed="false">
      <c r="A135" s="62"/>
      <c r="B135" s="55" t="s">
        <v>37</v>
      </c>
      <c r="C135" s="56"/>
      <c r="D135" s="56" t="n">
        <f aca="false">E112-D112</f>
        <v>1557</v>
      </c>
      <c r="E135" s="56" t="n">
        <f aca="false">F112-E112</f>
        <v>471</v>
      </c>
      <c r="F135" s="56" t="n">
        <f aca="false">G112-F112</f>
        <v>-1767</v>
      </c>
      <c r="G135" s="56" t="n">
        <f aca="false">H112-G112</f>
        <v>-54</v>
      </c>
      <c r="H135" s="56" t="n">
        <f aca="false">I112-H112</f>
        <v>-838</v>
      </c>
      <c r="I135" s="65" t="n">
        <v>0</v>
      </c>
      <c r="J135" s="66" t="n">
        <v>919</v>
      </c>
      <c r="K135" s="57" t="n">
        <v>2980</v>
      </c>
      <c r="L135" s="57" t="n">
        <v>1552</v>
      </c>
      <c r="M135" s="57" t="n">
        <v>0</v>
      </c>
      <c r="N135" s="57" t="n">
        <v>225</v>
      </c>
      <c r="O135" s="57" t="n">
        <v>225</v>
      </c>
      <c r="P135" s="38"/>
      <c r="Q135" s="63" t="n">
        <v>590</v>
      </c>
      <c r="R135" s="63" t="n">
        <v>2505</v>
      </c>
    </row>
    <row r="136" customFormat="false" ht="12.75" hidden="false" customHeight="false" outlineLevel="0" collapsed="false">
      <c r="A136" s="62"/>
      <c r="B136" s="37" t="s">
        <v>38</v>
      </c>
      <c r="C136" s="38"/>
      <c r="D136" s="38" t="n">
        <f aca="false">E113-D113</f>
        <v>2716</v>
      </c>
      <c r="E136" s="38" t="n">
        <f aca="false">F113-E113</f>
        <v>1287</v>
      </c>
      <c r="F136" s="38" t="n">
        <f aca="false">G113-F113</f>
        <v>278</v>
      </c>
      <c r="G136" s="38" t="n">
        <f aca="false">H113-G113</f>
        <v>483</v>
      </c>
      <c r="H136" s="38" t="n">
        <f aca="false">I113-H113</f>
        <v>106</v>
      </c>
      <c r="I136" s="64" t="n">
        <f aca="false">SUM(I132:I135)</f>
        <v>1858</v>
      </c>
      <c r="J136" s="39" t="n">
        <f aca="false">SUM(J132:J135)</f>
        <v>4139</v>
      </c>
      <c r="K136" s="39" t="n">
        <f aca="false">SUM(K132:K135)</f>
        <v>9798</v>
      </c>
      <c r="L136" s="39" t="n">
        <f aca="false">SUM(L132:L135)</f>
        <v>7028</v>
      </c>
      <c r="M136" s="39" t="n">
        <f aca="false">SUM(M132:M135)</f>
        <v>386</v>
      </c>
      <c r="N136" s="39" t="n">
        <f aca="false">SUM(N132:N135)</f>
        <v>743</v>
      </c>
      <c r="O136" s="39" t="n">
        <f aca="false">SUM(O132:O135)</f>
        <v>702</v>
      </c>
      <c r="P136" s="38"/>
      <c r="Q136" s="0" t="n">
        <v>2485</v>
      </c>
      <c r="R136" s="0" t="n">
        <v>4139</v>
      </c>
    </row>
    <row r="137" customFormat="false" ht="12.75" hidden="false" customHeight="false" outlineLevel="0" collapsed="false"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</row>
    <row r="138" customFormat="false" ht="12.75" hidden="false" customHeight="false" outlineLevel="0" collapsed="false">
      <c r="C138" s="38"/>
      <c r="D138" s="38"/>
      <c r="E138" s="38"/>
      <c r="F138" s="38"/>
      <c r="G138" s="38"/>
      <c r="H138" s="38"/>
      <c r="I138" s="5"/>
      <c r="J138" s="38" t="s">
        <v>3</v>
      </c>
      <c r="K138" s="38"/>
      <c r="L138" s="38"/>
      <c r="M138" s="38"/>
      <c r="N138" s="38"/>
      <c r="O138" s="38"/>
      <c r="P138" s="38"/>
    </row>
    <row r="139" customFormat="false" ht="12.75" hidden="false" customHeight="false" outlineLevel="0" collapsed="false">
      <c r="C139" s="38"/>
      <c r="D139" s="38"/>
      <c r="E139" s="38"/>
      <c r="F139" s="38"/>
      <c r="G139" s="38"/>
      <c r="H139" s="38"/>
      <c r="I139" s="7"/>
      <c r="J139" s="38" t="s">
        <v>4</v>
      </c>
      <c r="K139" s="38"/>
      <c r="L139" s="38"/>
      <c r="M139" s="38"/>
      <c r="N139" s="38"/>
      <c r="O139" s="38"/>
      <c r="P139" s="38"/>
    </row>
    <row r="140" customFormat="false" ht="12.75" hidden="false" customHeight="false" outlineLevel="0" collapsed="false"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</row>
    <row r="141" customFormat="false" ht="12.75" hidden="false" customHeight="false" outlineLevel="0" collapsed="false"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</row>
    <row r="142" customFormat="false" ht="12.75" hidden="false" customHeight="false" outlineLevel="0" collapsed="false"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</row>
    <row r="143" customFormat="false" ht="12.75" hidden="false" customHeight="false" outlineLevel="0" collapsed="false"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</row>
    <row r="144" customFormat="false" ht="12.75" hidden="false" customHeight="false" outlineLevel="0" collapsed="false">
      <c r="C144" s="38"/>
      <c r="E144" s="38"/>
      <c r="F144" s="67" t="s">
        <v>46</v>
      </c>
      <c r="G144" s="38"/>
      <c r="H144" s="38"/>
      <c r="I144" s="38"/>
      <c r="J144" s="38"/>
      <c r="K144" s="38"/>
      <c r="L144" s="38"/>
      <c r="M144" s="38"/>
      <c r="N144" s="38"/>
      <c r="O144" s="38"/>
      <c r="P144" s="38"/>
    </row>
    <row r="145" customFormat="false" ht="12.75" hidden="false" customHeight="false" outlineLevel="0" collapsed="false">
      <c r="B145" s="4" t="s">
        <v>47</v>
      </c>
      <c r="C145" s="38"/>
      <c r="D145" s="8" t="n">
        <v>1995</v>
      </c>
      <c r="E145" s="8" t="n">
        <v>1996</v>
      </c>
      <c r="F145" s="8" t="n">
        <v>1997</v>
      </c>
      <c r="G145" s="8" t="n">
        <v>1998</v>
      </c>
      <c r="H145" s="8" t="n">
        <v>1999</v>
      </c>
      <c r="I145" s="8" t="n">
        <v>2000</v>
      </c>
      <c r="J145" s="9" t="n">
        <v>2001</v>
      </c>
      <c r="K145" s="9" t="n">
        <v>2002</v>
      </c>
      <c r="L145" s="9" t="n">
        <v>2003</v>
      </c>
      <c r="M145" s="9" t="n">
        <v>2004</v>
      </c>
      <c r="N145" s="9" t="n">
        <v>2005</v>
      </c>
      <c r="O145" s="9" t="n">
        <v>2006</v>
      </c>
      <c r="P145" s="38"/>
    </row>
    <row r="146" customFormat="false" ht="12.75" hidden="false" customHeight="false" outlineLevel="0" collapsed="false">
      <c r="B146" s="4" t="s">
        <v>48</v>
      </c>
      <c r="C146" s="68" t="s">
        <v>49</v>
      </c>
      <c r="D146" s="38" t="n">
        <f aca="false">E113-D113</f>
        <v>2716</v>
      </c>
      <c r="E146" s="38" t="n">
        <f aca="false">F113-E113</f>
        <v>1287</v>
      </c>
      <c r="F146" s="38" t="n">
        <f aca="false">G113-F113</f>
        <v>278</v>
      </c>
      <c r="G146" s="38" t="n">
        <f aca="false">H113-G113</f>
        <v>483</v>
      </c>
      <c r="H146" s="38" t="n">
        <f aca="false">I113-H113</f>
        <v>106</v>
      </c>
      <c r="I146" s="64" t="n">
        <f aca="false">I136</f>
        <v>1858</v>
      </c>
      <c r="J146" s="39"/>
      <c r="K146" s="39"/>
      <c r="L146" s="39"/>
      <c r="M146" s="39"/>
      <c r="N146" s="39"/>
      <c r="O146" s="39"/>
      <c r="P146" s="38"/>
    </row>
    <row r="147" customFormat="false" ht="12.75" hidden="false" customHeight="false" outlineLevel="0" collapsed="false">
      <c r="J147" s="39"/>
      <c r="K147" s="39"/>
      <c r="L147" s="39"/>
      <c r="M147" s="39"/>
      <c r="N147" s="39"/>
      <c r="O147" s="39"/>
      <c r="P147" s="38"/>
    </row>
    <row r="148" customFormat="false" ht="12.75" hidden="false" customHeight="false" outlineLevel="0" collapsed="false">
      <c r="B148" s="37" t="s">
        <v>50</v>
      </c>
      <c r="C148" s="69" t="n">
        <v>2000</v>
      </c>
      <c r="D148" s="38"/>
      <c r="E148" s="38"/>
      <c r="F148" s="38"/>
      <c r="G148" s="38"/>
      <c r="H148" s="38"/>
      <c r="I148" s="38" t="n">
        <f aca="false">1416+347+132+590</f>
        <v>2485</v>
      </c>
      <c r="J148" s="39"/>
      <c r="K148" s="39"/>
      <c r="L148" s="39"/>
      <c r="M148" s="39"/>
      <c r="N148" s="39"/>
      <c r="O148" s="39"/>
      <c r="P148" s="38"/>
    </row>
    <row r="149" customFormat="false" ht="12.75" hidden="false" customHeight="false" outlineLevel="0" collapsed="false">
      <c r="B149" s="37" t="s">
        <v>51</v>
      </c>
      <c r="C149" s="69" t="n">
        <v>1999</v>
      </c>
      <c r="D149" s="38"/>
      <c r="E149" s="38"/>
      <c r="F149" s="38"/>
      <c r="G149" s="38"/>
      <c r="H149" s="38" t="n">
        <f aca="false">303+313+493+165</f>
        <v>1274</v>
      </c>
      <c r="I149" s="38" t="n">
        <f aca="false">407+192+7+817</f>
        <v>1423</v>
      </c>
      <c r="J149" s="39"/>
      <c r="K149" s="39"/>
      <c r="L149" s="39"/>
      <c r="M149" s="39"/>
      <c r="N149" s="39"/>
      <c r="O149" s="39"/>
      <c r="P149" s="38"/>
    </row>
    <row r="150" customFormat="false" ht="12.75" hidden="false" customHeight="false" outlineLevel="0" collapsed="false">
      <c r="B150" s="37" t="s">
        <v>52</v>
      </c>
      <c r="C150" s="69" t="n">
        <v>1998</v>
      </c>
      <c r="D150" s="38"/>
      <c r="E150" s="38"/>
      <c r="F150" s="38"/>
      <c r="G150" s="38" t="n">
        <f aca="false">141+109+2+0</f>
        <v>252</v>
      </c>
      <c r="H150" s="38" t="n">
        <f aca="false">569+249+81+150</f>
        <v>1049</v>
      </c>
      <c r="I150" s="38" t="n">
        <f aca="false">210+192+207+717</f>
        <v>1326</v>
      </c>
      <c r="J150" s="39"/>
      <c r="K150" s="39"/>
      <c r="L150" s="39"/>
      <c r="M150" s="39"/>
      <c r="N150" s="39"/>
      <c r="O150" s="39"/>
      <c r="P150" s="38"/>
    </row>
    <row r="151" customFormat="false" ht="12.75" hidden="false" customHeight="false" outlineLevel="0" collapsed="false">
      <c r="B151" s="37" t="s">
        <v>53</v>
      </c>
      <c r="C151" s="69" t="n">
        <v>1997</v>
      </c>
      <c r="D151" s="38"/>
      <c r="E151" s="38"/>
      <c r="F151" s="38" t="n">
        <f aca="false">384+51+11+118</f>
        <v>564</v>
      </c>
      <c r="G151" s="38" t="n">
        <f aca="false">-413+121+2+164</f>
        <v>-126</v>
      </c>
      <c r="H151" s="38" t="n">
        <f aca="false">851+328+81+252</f>
        <v>1512</v>
      </c>
      <c r="I151" s="38" t="n">
        <f aca="false">1287-16+12+109</f>
        <v>1392</v>
      </c>
      <c r="J151" s="39"/>
      <c r="K151" s="39"/>
      <c r="L151" s="39"/>
      <c r="M151" s="39"/>
      <c r="N151" s="39"/>
      <c r="O151" s="39"/>
      <c r="P151" s="38"/>
    </row>
    <row r="152" customFormat="false" ht="12.75" hidden="false" customHeight="false" outlineLevel="0" collapsed="false">
      <c r="C152" s="69" t="n">
        <v>1996</v>
      </c>
      <c r="D152" s="38"/>
      <c r="E152" s="38" t="n">
        <f aca="false">842+162-16+395</f>
        <v>1383</v>
      </c>
      <c r="F152" s="38" t="n">
        <f aca="false">272+49+5+644</f>
        <v>970</v>
      </c>
      <c r="G152" s="38" t="n">
        <f aca="false">329+268+2+27</f>
        <v>626</v>
      </c>
      <c r="H152" s="38" t="n">
        <f aca="false">1307+102+6+628</f>
        <v>2043</v>
      </c>
      <c r="I152" s="38" t="n">
        <f aca="false">600+307+91+47</f>
        <v>1045</v>
      </c>
      <c r="J152" s="39"/>
      <c r="K152" s="39"/>
      <c r="L152" s="39"/>
      <c r="M152" s="39"/>
      <c r="N152" s="39"/>
      <c r="O152" s="39"/>
      <c r="P152" s="38"/>
    </row>
    <row r="153" customFormat="false" ht="12.75" hidden="false" customHeight="false" outlineLevel="0" collapsed="false">
      <c r="C153" s="69" t="n">
        <v>1995</v>
      </c>
      <c r="D153" s="38" t="n">
        <v>1024</v>
      </c>
      <c r="E153" s="38" t="n">
        <v>1528</v>
      </c>
      <c r="F153" s="38" t="n">
        <v>2501</v>
      </c>
      <c r="G153" s="38" t="n">
        <v>1905</v>
      </c>
      <c r="H153" s="38" t="n">
        <v>1530</v>
      </c>
      <c r="I153" s="38" t="n">
        <v>1244</v>
      </c>
      <c r="J153" s="39"/>
      <c r="K153" s="39"/>
      <c r="L153" s="39"/>
      <c r="M153" s="39"/>
      <c r="N153" s="39"/>
      <c r="O153" s="39"/>
      <c r="P153" s="38"/>
    </row>
    <row r="154" customFormat="false" ht="12.75" hidden="false" customHeight="false" outlineLevel="0" collapsed="false"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</row>
    <row r="155" customFormat="false" ht="12.75" hidden="false" customHeight="false" outlineLevel="0" collapsed="false"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</row>
    <row r="156" customFormat="false" ht="12.75" hidden="false" customHeight="false" outlineLevel="0" collapsed="false">
      <c r="P156" s="38"/>
    </row>
    <row r="157" customFormat="false" ht="12.75" hidden="false" customHeight="false" outlineLevel="0" collapsed="false">
      <c r="P157" s="38"/>
    </row>
    <row r="158" customFormat="false" ht="12.75" hidden="false" customHeight="false" outlineLevel="0" collapsed="false">
      <c r="P158" s="38"/>
    </row>
    <row r="159" customFormat="false" ht="12.75" hidden="false" customHeight="false" outlineLevel="0" collapsed="false">
      <c r="P159" s="38"/>
    </row>
    <row r="160" customFormat="false" ht="12.75" hidden="false" customHeight="false" outlineLevel="0" collapsed="false">
      <c r="P160" s="38"/>
    </row>
    <row r="161" customFormat="false" ht="12.75" hidden="false" customHeight="false" outlineLevel="0" collapsed="false">
      <c r="P161" s="38"/>
    </row>
    <row r="162" customFormat="false" ht="12.75" hidden="false" customHeight="false" outlineLevel="0" collapsed="false">
      <c r="P162" s="38"/>
    </row>
    <row r="163" customFormat="false" ht="12.75" hidden="false" customHeight="false" outlineLevel="0" collapsed="false">
      <c r="P163" s="38"/>
    </row>
    <row r="164" customFormat="false" ht="12.75" hidden="false" customHeight="false" outlineLevel="0" collapsed="false">
      <c r="P164" s="38"/>
    </row>
    <row r="165" customFormat="false" ht="12.75" hidden="false" customHeight="false" outlineLevel="0" collapsed="false">
      <c r="P165" s="38"/>
    </row>
    <row r="166" customFormat="false" ht="12.75" hidden="false" customHeight="false" outlineLevel="0" collapsed="false">
      <c r="P166" s="38"/>
    </row>
    <row r="167" customFormat="false" ht="12.75" hidden="false" customHeight="false" outlineLevel="0" collapsed="false">
      <c r="P167" s="38"/>
    </row>
    <row r="168" customFormat="false" ht="12.75" hidden="false" customHeight="false" outlineLevel="0" collapsed="false"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</row>
    <row r="169" customFormat="false" ht="12.75" hidden="false" customHeight="false" outlineLevel="0" collapsed="false"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</row>
    <row r="170" customFormat="false" ht="12.75" hidden="false" customHeight="false" outlineLevel="0" collapsed="false"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</row>
    <row r="171" customFormat="false" ht="12.75" hidden="false" customHeight="false" outlineLevel="0" collapsed="false"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</row>
    <row r="172" customFormat="false" ht="12.75" hidden="false" customHeight="false" outlineLevel="0" collapsed="false">
      <c r="C172" s="3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38"/>
    </row>
    <row r="173" customFormat="false" ht="12.75" hidden="false" customHeight="false" outlineLevel="0" collapsed="false"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</row>
    <row r="174" customFormat="false" ht="12.75" hidden="false" customHeight="false" outlineLevel="0" collapsed="false"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</row>
    <row r="175" customFormat="false" ht="12.75" hidden="false" customHeight="false" outlineLevel="0" collapsed="false">
      <c r="C175" s="3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38"/>
    </row>
    <row r="176" customFormat="false" ht="12.75" hidden="false" customHeight="false" outlineLevel="0" collapsed="false">
      <c r="C176" s="3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38"/>
    </row>
    <row r="177" customFormat="false" ht="12.75" hidden="false" customHeight="false" outlineLevel="0" collapsed="false"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</row>
    <row r="178" customFormat="false" ht="12.75" hidden="false" customHeight="false" outlineLevel="0" collapsed="false"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</row>
    <row r="179" customFormat="false" ht="12.75" hidden="false" customHeight="false" outlineLevel="0" collapsed="false"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  <row r="180" customFormat="false" ht="12.75" hidden="false" customHeight="false" outlineLevel="0" collapsed="false"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</row>
    <row r="181" customFormat="false" ht="12.75" hidden="false" customHeight="false" outlineLevel="0" collapsed="false"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</row>
    <row r="182" customFormat="false" ht="12.75" hidden="false" customHeight="false" outlineLevel="0" collapsed="false"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</row>
    <row r="183" customFormat="false" ht="12.75" hidden="false" customHeight="false" outlineLevel="0" collapsed="false"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</row>
    <row r="184" customFormat="false" ht="12.75" hidden="false" customHeight="false" outlineLevel="0" collapsed="false"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</row>
    <row r="185" customFormat="false" ht="12.75" hidden="false" customHeight="false" outlineLevel="0" collapsed="false"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</row>
    <row r="186" customFormat="false" ht="12.75" hidden="false" customHeight="false" outlineLevel="0" collapsed="false"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</row>
    <row r="187" customFormat="false" ht="12.75" hidden="false" customHeight="false" outlineLevel="0" collapsed="false"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</row>
    <row r="188" customFormat="false" ht="12.75" hidden="false" customHeight="false" outlineLevel="0" collapsed="false"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</row>
    <row r="189" customFormat="false" ht="12.75" hidden="false" customHeight="false" outlineLevel="0" collapsed="false"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2000-12-05T19:46:29Z</dcterms:created>
  <dc:creator>sswain</dc:creator>
  <dc:description/>
  <dc:language>en-US</dc:language>
  <cp:lastModifiedBy>sswain</cp:lastModifiedBy>
  <cp:lastPrinted>2001-01-26T06:00:55Z</cp:lastPrinted>
  <cp:revision>0</cp:revision>
  <dc:subject/>
  <dc:title/>
</cp:coreProperties>
</file>