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Skew" sheetId="1" state="visible" r:id="rId3"/>
    <sheet name="Distribution" sheetId="2" state="visible" r:id="rId4"/>
    <sheet name="St Dist" sheetId="3" state="visible" r:id="rId5"/>
    <sheet name="Shimko" sheetId="4" state="visible" r:id="rId6"/>
    <sheet name="expiry" sheetId="5" state="visible" r:id="rId7"/>
  </sheets>
  <definedNames>
    <definedName function="false" hidden="false" localSheetId="0" name="_xlnm.Print_Area" vbProcedure="false">VolSkew!$A$1:$O$27</definedName>
    <definedName function="false" hidden="false" name="Alpha1" vbProcedure="false">Shimko!$AQ$13</definedName>
    <definedName function="false" hidden="false" name="Alpha2" vbProcedure="false">Shimko!$AR$13</definedName>
    <definedName function="false" hidden="false" name="AlphaA" vbProcedure="false">Shimko!$AQ$27</definedName>
    <definedName function="false" hidden="false" name="AlphaB" vbProcedure="false">Shimko!$AR$27</definedName>
    <definedName function="false" hidden="false" name="anscount" vbProcedure="false">1</definedName>
    <definedName function="false" hidden="false" name="ATMImpVol" vbProcedure="false">VolSkew!$K$2</definedName>
    <definedName function="false" hidden="false" name="Commodity" vbProcedure="false">VolSkew!$K$4</definedName>
    <definedName function="false" hidden="false" name="Contract" vbProcedure="false">VolSkew!$K$5</definedName>
    <definedName function="false" hidden="false" name="ENAEquFit" vbProcedure="false">VolSkew!$AN$36</definedName>
    <definedName function="false" hidden="false" name="ENAVolCoef" vbProcedure="false">VolSkew!$AO$29</definedName>
    <definedName function="false" hidden="false" name="ENAVolFit" vbProcedure="false">VolSkew!$AN$28</definedName>
    <definedName function="false" hidden="false" name="ENAVolTable" vbProcedure="false">VolSkew!$AG$30:$AK$49</definedName>
    <definedName function="false" hidden="false" name="equation_fit" vbProcedure="false">VolSkew!$W$17</definedName>
    <definedName function="false" hidden="false" name="Expiry" vbProcedure="false">VolSkew!$C$4</definedName>
    <definedName function="false" hidden="false" name="ExpiryTable" vbProcedure="false">expiry!$A$3:$E$434</definedName>
    <definedName function="false" hidden="false" name="FixedATM" vbProcedure="false">VolSkew!$Q$7</definedName>
    <definedName function="false" hidden="false" name="Gamma2" vbProcedure="false">Shimko!$AQ$14</definedName>
    <definedName function="false" hidden="false" name="gammaSkew" vbProcedure="false">#REF!</definedName>
    <definedName function="false" hidden="false" name="gammaSmile" vbProcedure="false">#REF!</definedName>
    <definedName function="false" hidden="false" name="ImpVolBot" vbProcedure="false">OFFSET(ImpVolTop,NoDataPts-1,0)</definedName>
    <definedName function="false" hidden="false" name="ImpVolTop" vbProcedure="false">VolSkew!$N$9</definedName>
    <definedName function="false" hidden="false" name="NoDataPts" vbProcedure="false">VolSkew!$W$30</definedName>
    <definedName function="false" hidden="false" name="ImpVolFit" vbProcedure="false">ImpVolFitTop:OFFSET(ImpVolFitTop,NumToFit,0)</definedName>
    <definedName function="false" hidden="false" name="ImpVolFitTop" vbProcedure="false">VolSkew!$AA$32</definedName>
    <definedName function="false" hidden="false" name="NumToFit" vbProcedure="false">VolSkew!$X$29</definedName>
    <definedName function="false" hidden="false" name="ImpVolRange" vbProcedure="false">ImpVolTop:ImpVolBot</definedName>
    <definedName function="false" hidden="false" name="ImpVolTable" vbProcedure="false">VolSkew!$Z$32:$AA$127</definedName>
    <definedName function="false" hidden="false" name="impvol_order" vbProcedure="false">VolSkew!$W$7</definedName>
    <definedName function="false" hidden="false" name="IntRate" vbProcedure="false">VolSkew!$C$6</definedName>
    <definedName function="false" hidden="false" name="LTFactor" vbProcedure="false">Shimko!$C$115</definedName>
    <definedName function="false" hidden="false" name="LTpdf" vbProcedure="false">Shimko!$W$115:$W$136</definedName>
    <definedName function="false" hidden="false" name="LTStandard" vbProcedure="false">Shimko!$AG$115:$AG$136</definedName>
    <definedName function="false" hidden="false" name="LTStrikes" vbProcedure="false">Shimko!$D$115:$D$136</definedName>
    <definedName function="false" hidden="false" name="MaxMoneyness" vbProcedure="false">VolSkew!$W$29</definedName>
    <definedName function="false" hidden="false" name="MaxPDF" vbProcedure="false">Shimko!$W$113</definedName>
    <definedName function="false" hidden="false" name="MaxStandard" vbProcedure="false">Shimko!$AG$113</definedName>
    <definedName function="false" hidden="false" name="MaxStrike" vbProcedure="false">Shimko!$D$113</definedName>
    <definedName function="false" hidden="false" name="MinMoneyness" vbProcedure="false">VolSkew!$Z$32</definedName>
    <definedName function="false" hidden="false" name="MinPDF" vbProcedure="false">Shimko!$W$13</definedName>
    <definedName function="false" hidden="false" name="MinStandard" vbProcedure="false">Shimko!$AG$13</definedName>
    <definedName function="false" hidden="false" name="MinStrike" vbProcedure="false">Shimko!$D$13</definedName>
    <definedName function="false" hidden="false" name="MoneynessBot" vbProcedure="false">OFFSET(MoneynessTop,NoDataPts-1,0)</definedName>
    <definedName function="false" hidden="false" name="MoneynessTop" vbProcedure="false">VolSkew!$M$9</definedName>
    <definedName function="false" hidden="false" name="MoneynessFit" vbProcedure="false">MoneynessFitTop:OFFSET(MoneynessFitTop,NumToFit,0)</definedName>
    <definedName function="false" hidden="false" name="MoneynessFitTop" vbProcedure="false">VolSkew!$Z$32</definedName>
    <definedName function="false" hidden="false" name="MoneynessRange" vbProcedure="false">MoneynessTop:MoneynessBot</definedName>
    <definedName function="false" hidden="false" name="NumStrikeToFit" vbProcedure="false">VolSkew!$X$28</definedName>
    <definedName function="false" hidden="false" name="NumToFit2" vbProcedure="false">Shimko!$AQ$16</definedName>
    <definedName function="false" hidden="false" name="OldData" vbProcedure="false">VolSkew!$B$55:$G$55</definedName>
    <definedName function="false" hidden="false" name="PastableRange" vbProcedure="false">VolSkew!$A$20:$G$26,VolSkew!$I$8:$O$14,VolSkew!$A$47:$G$53</definedName>
    <definedName function="false" hidden="false" name="pdfCoef" vbProcedure="false">VolSkew!$AD$10</definedName>
    <definedName function="false" hidden="false" name="PremiumTop" vbProcedure="false">VolSkew!$J$9</definedName>
    <definedName function="false" hidden="false" name="RangeToPaste" vbProcedure="false">VolSkew!$Q$10:$U$10</definedName>
    <definedName function="false" hidden="false" name="sencount" vbProcedure="false">1</definedName>
    <definedName function="false" hidden="false" name="sigmaATM" vbProcedure="false">VolSkew!$AH$7</definedName>
    <definedName function="false" hidden="false" name="sigmaSmile" vbProcedure="false">#REF!</definedName>
    <definedName function="false" hidden="false" name="StrikeRange" vbProcedure="false">StrikeTop:OFFSET(StrikeTop,NoDataPts-1,0)</definedName>
    <definedName function="false" hidden="false" name="StrikeTop" vbProcedure="false">VolSkew!$K$9</definedName>
    <definedName function="false" hidden="false" name="T" vbProcedure="false">Shimko!$D$6</definedName>
    <definedName function="false" hidden="false" name="Target" vbProcedure="false">Shimko!$AQ$31</definedName>
    <definedName function="false" hidden="false" name="Target2" vbProcedure="false">Shimko!$AQ$17</definedName>
    <definedName function="false" hidden="false" name="thetaSkew" vbProcedure="false">#REF!</definedName>
    <definedName function="false" hidden="false" name="thetaSmile" vbProcedure="false">#REF!</definedName>
    <definedName function="false" hidden="false" name="Today" vbProcedure="false">VolSkew!$C$3</definedName>
    <definedName function="false" hidden="false" name="UnderlyingPrice" vbProcedure="false">VolSkew!$C$5</definedName>
    <definedName function="false" hidden="false" name="UTFactor" vbProcedure="false">Shimko!$C$141</definedName>
    <definedName function="false" hidden="false" name="UTpdf" vbProcedure="false">Shimko!$W$141:$W$161</definedName>
    <definedName function="false" hidden="false" name="UTStandard" vbProcedure="false">Shimko!$AG$141:$AG$161</definedName>
    <definedName function="false" hidden="false" name="UTStrikes" vbProcedure="false">Shimko!$D$141:$D$161</definedName>
    <definedName function="false" hidden="false" name="VolSkewCoef" vbProcedure="false">VolSkew!$X$10</definedName>
    <definedName function="false" hidden="false" name="VolSkewTableGasoline" vbProcedure="false">VolSkew!$A$47:$G$53</definedName>
    <definedName function="false" hidden="false" name="Yield" vbProcedure="false">VolSkew!$C$7</definedName>
    <definedName function="false" hidden="false" localSheetId="3" name="Gamma" vbProcedure="false">Shimko!$AQ$28</definedName>
    <definedName function="false" hidden="false" localSheetId="4" name="Excel_BuiltIn__FilterDatabase" vbProcedure="false">#REF!</definedName>
    <definedName function="true" hidden="false" name="IMPVOLAB" vbProcedure="true"/>
    <definedName function="true" hidden="false" name="EURO" vbProcedure="true"/>
  </definedNames>
  <calcPr iterateCount="100" refMode="A1" iterate="false" iterateDelta="1E-007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<sst xmlns="http://schemas.openxmlformats.org/spreadsheetml/2006/main" count="199" uniqueCount="124">
  <si>
    <t xml:space="preserve">Volatility Skew Calculator</t>
  </si>
  <si>
    <t xml:space="preserve">ATM calc.</t>
  </si>
  <si>
    <t xml:space="preserve">Second</t>
  </si>
  <si>
    <t xml:space="preserve">Date</t>
  </si>
  <si>
    <t xml:space="preserve">Polynomial Order</t>
  </si>
  <si>
    <t xml:space="preserve">ENA ATM</t>
  </si>
  <si>
    <t xml:space="preserve">Third</t>
  </si>
  <si>
    <t xml:space="preserve">Expiration</t>
  </si>
  <si>
    <t xml:space="preserve">Commodity</t>
  </si>
  <si>
    <t xml:space="preserve">NG</t>
  </si>
  <si>
    <t xml:space="preserve">Fourth</t>
  </si>
  <si>
    <t xml:space="preserve">Underlying</t>
  </si>
  <si>
    <t xml:space="preserve">Contract</t>
  </si>
  <si>
    <t xml:space="preserve">Fifth</t>
  </si>
  <si>
    <t xml:space="preserve">Int Rate</t>
  </si>
  <si>
    <t xml:space="preserve">Yield</t>
  </si>
  <si>
    <t xml:space="preserve">Skew Fit</t>
  </si>
  <si>
    <t xml:space="preserve">Premium</t>
  </si>
  <si>
    <t xml:space="preserve">Strike</t>
  </si>
  <si>
    <t xml:space="preserve">Put/Call (0/1)</t>
  </si>
  <si>
    <t xml:space="preserve">Money-ness</t>
  </si>
  <si>
    <t xml:space="preserve">Implied Vol</t>
  </si>
  <si>
    <t xml:space="preserve">0.044</t>
  </si>
  <si>
    <t xml:space="preserve">Vol Fit</t>
  </si>
  <si>
    <t xml:space="preserve">pdf Fit</t>
  </si>
  <si>
    <t xml:space="preserve">0.244</t>
  </si>
  <si>
    <t xml:space="preserve">A</t>
  </si>
  <si>
    <t xml:space="preserve">0.440</t>
  </si>
  <si>
    <t xml:space="preserve">B</t>
  </si>
  <si>
    <t xml:space="preserve">0.567</t>
  </si>
  <si>
    <t xml:space="preserve">C</t>
  </si>
  <si>
    <t xml:space="preserve">0.715</t>
  </si>
  <si>
    <t xml:space="preserve">D</t>
  </si>
  <si>
    <t xml:space="preserve">0.979</t>
  </si>
  <si>
    <t xml:space="preserve">E</t>
  </si>
  <si>
    <t xml:space="preserve">F</t>
  </si>
  <si>
    <t xml:space="preserve">y</t>
  </si>
  <si>
    <t xml:space="preserve">=</t>
  </si>
  <si>
    <t xml:space="preserve">+</t>
  </si>
  <si>
    <t xml:space="preserve">-</t>
  </si>
  <si>
    <t xml:space="preserve">0.116</t>
  </si>
  <si>
    <t xml:space="preserve">ENA Skew</t>
  </si>
  <si>
    <t xml:space="preserve">ENA Vol Fit</t>
  </si>
  <si>
    <t xml:space="preserve">$ from ATM</t>
  </si>
  <si>
    <t xml:space="preserve">ENA vol</t>
  </si>
  <si>
    <t xml:space="preserve">slope</t>
  </si>
  <si>
    <t xml:space="preserve">Curve</t>
  </si>
  <si>
    <t xml:space="preserve">Fit</t>
  </si>
  <si>
    <t xml:space="preserve">Diff</t>
  </si>
  <si>
    <t xml:space="preserve">Money.</t>
  </si>
  <si>
    <t xml:space="preserve">ImpVol</t>
  </si>
  <si>
    <t xml:space="preserve">Untransformed variables</t>
  </si>
  <si>
    <t xml:space="preserve">Shimko's Method</t>
  </si>
  <si>
    <t xml:space="preserve">At b</t>
  </si>
  <si>
    <t xml:space="preserve">At a</t>
  </si>
  <si>
    <t xml:space="preserve">Descriptions</t>
  </si>
  <si>
    <r>
      <rPr>
        <sz val="8"/>
        <rFont val="Arial"/>
        <family val="0"/>
      </rPr>
      <t xml:space="preserve">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</t>
    </r>
  </si>
  <si>
    <t xml:space="preserve">Square root of pi</t>
  </si>
  <si>
    <t xml:space="preserve">x</t>
  </si>
  <si>
    <t xml:space="preserve">Upper and lower boundaries</t>
  </si>
  <si>
    <t xml:space="preserve">Time to Mat.</t>
  </si>
  <si>
    <t xml:space="preserve">Sum of Probs</t>
  </si>
  <si>
    <t xml:space="preserve">s</t>
  </si>
  <si>
    <t xml:space="preserve">Volatilities</t>
  </si>
  <si>
    <t xml:space="preserve">IR</t>
  </si>
  <si>
    <t xml:space="preserve">T</t>
  </si>
  <si>
    <t xml:space="preserve">Time to expiration (in years)</t>
  </si>
  <si>
    <t xml:space="preserve">Epsilon</t>
  </si>
  <si>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</si>
  <si>
    <r>
      <rPr>
        <sz val="8"/>
        <rFont val="Arial"/>
        <family val="0"/>
      </rPr>
      <t xml:space="preserve">= </t>
    </r>
    <r>
      <rPr>
        <sz val="8"/>
        <rFont val="Symbol"/>
        <family val="1"/>
        <charset val="2"/>
      </rPr>
      <t xml:space="preserve">s </t>
    </r>
    <r>
      <rPr>
        <sz val="8"/>
        <rFont val="Arial"/>
        <family val="2"/>
      </rPr>
      <t xml:space="preserve">√T</t>
    </r>
  </si>
  <si>
    <t xml:space="preserve">DF</t>
  </si>
  <si>
    <t xml:space="preserve">w</t>
  </si>
  <si>
    <r>
      <rPr>
        <sz val="8"/>
        <rFont val="Arial"/>
        <family val="0"/>
      </rPr>
      <t xml:space="preserve">= [(ln(x/S</t>
    </r>
    <r>
      <rPr>
        <vertAlign val="subscript"/>
        <sz val="8"/>
        <rFont val="Arial"/>
        <family val="2"/>
      </rPr>
      <t xml:space="preserve">0</t>
    </r>
    <r>
      <rPr>
        <sz val="8"/>
        <rFont val="Arial"/>
        <family val="2"/>
      </rPr>
      <t xml:space="preserve">) + ½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 ²) /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'] </t>
    </r>
    <r>
      <rPr>
        <sz val="8"/>
        <rFont val="Symbol"/>
        <family val="1"/>
        <charset val="2"/>
      </rPr>
      <t xml:space="preserve">g</t>
    </r>
  </si>
  <si>
    <t xml:space="preserve">Premium K(1+Epsilon)</t>
  </si>
  <si>
    <t xml:space="preserve">Premium K(1-Epsilon)</t>
  </si>
  <si>
    <r>
      <rPr>
        <sz val="8"/>
        <rFont val="Arial"/>
        <family val="0"/>
      </rPr>
      <t xml:space="preserve">w</t>
    </r>
    <r>
      <rPr>
        <vertAlign val="superscript"/>
        <sz val="8"/>
        <rFont val="Arial"/>
        <family val="2"/>
      </rPr>
      <t xml:space="preserve">2</t>
    </r>
  </si>
  <si>
    <t xml:space="preserve">Call</t>
  </si>
  <si>
    <t xml:space="preserve">Put</t>
  </si>
  <si>
    <t xml:space="preserve">Adj. Sec.</t>
  </si>
  <si>
    <t xml:space="preserve">Converted</t>
  </si>
  <si>
    <t xml:space="preserve">Theoretical</t>
  </si>
  <si>
    <t xml:space="preserve">f(x)</t>
  </si>
  <si>
    <t xml:space="preserve">Lognormal pdf values of x</t>
  </si>
  <si>
    <t xml:space="preserve">ENA to Market</t>
  </si>
  <si>
    <t xml:space="preserve">moneyness</t>
  </si>
  <si>
    <t xml:space="preserve">m +e</t>
  </si>
  <si>
    <t xml:space="preserve">m-e</t>
  </si>
  <si>
    <t xml:space="preserve">imp vol +e</t>
  </si>
  <si>
    <t xml:space="preserve">imp vol</t>
  </si>
  <si>
    <t xml:space="preserve">imp vol -e</t>
  </si>
  <si>
    <t xml:space="preserve">Derivative</t>
  </si>
  <si>
    <t xml:space="preserve">PDF Calculation</t>
  </si>
  <si>
    <t xml:space="preserve">PDF</t>
  </si>
  <si>
    <t xml:space="preserve">x+</t>
  </si>
  <si>
    <t xml:space="preserve">x-</t>
  </si>
  <si>
    <t xml:space="preserve">N(x)</t>
  </si>
  <si>
    <t xml:space="preserve">N(w)</t>
  </si>
  <si>
    <t xml:space="preserve">Cumulative normal values of w</t>
  </si>
  <si>
    <t xml:space="preserve">ENA Vol</t>
  </si>
  <si>
    <t xml:space="preserve">vol+e</t>
  </si>
  <si>
    <t xml:space="preserve">vol-e</t>
  </si>
  <si>
    <t xml:space="preserve">call at vol</t>
  </si>
  <si>
    <t xml:space="preserve">call at vol+e</t>
  </si>
  <si>
    <t xml:space="preserve">call at vol-e</t>
  </si>
  <si>
    <t xml:space="preserve">2nd d</t>
  </si>
  <si>
    <t xml:space="preserve">premium difference</t>
  </si>
  <si>
    <t xml:space="preserve">Alpha</t>
  </si>
  <si>
    <r>
      <rPr>
        <sz val="8"/>
        <rFont val="Arial"/>
        <family val="0"/>
      </rPr>
      <t xml:space="preserve">= f(x) x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  <r>
      <rPr>
        <sz val="8"/>
        <rFont val="Arial"/>
        <family val="0"/>
      </rPr>
      <t xml:space="preserve"> 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 exp(w²/2)</t>
    </r>
  </si>
  <si>
    <t xml:space="preserve">Gamma</t>
  </si>
  <si>
    <t xml:space="preserve">Value used in goal seeking</t>
  </si>
  <si>
    <t xml:space="preserve">Area A</t>
  </si>
  <si>
    <t xml:space="preserve">Area under lognormal pdf</t>
  </si>
  <si>
    <t xml:space="preserve">1 - A</t>
  </si>
  <si>
    <t xml:space="preserve">TARGET</t>
  </si>
  <si>
    <t xml:space="preserve">Transformed variables</t>
  </si>
  <si>
    <r>
      <rPr>
        <sz val="8"/>
        <rFont val="Arial"/>
        <family val="0"/>
      </rPr>
      <t xml:space="preserve">2</t>
    </r>
    <r>
      <rPr>
        <sz val="8"/>
        <rFont val="Symbol"/>
        <family val="1"/>
        <charset val="2"/>
      </rPr>
      <t xml:space="preserve">p</t>
    </r>
  </si>
  <si>
    <r>
      <rPr>
        <sz val="8"/>
        <rFont val="Arial"/>
        <family val="0"/>
      </rPr>
      <t xml:space="preserve">N(y</t>
    </r>
    <r>
      <rPr>
        <sz val="8"/>
        <rFont val="Arial"/>
        <family val="2"/>
      </rPr>
      <t xml:space="preserve">/</t>
    </r>
    <r>
      <rPr>
        <sz val="8"/>
        <rFont val="Symbol"/>
        <family val="1"/>
        <charset val="2"/>
      </rPr>
      <t xml:space="preserve">g</t>
    </r>
    <r>
      <rPr>
        <sz val="8"/>
        <rFont val="Arial"/>
        <family val="2"/>
      </rPr>
      <t xml:space="preserve">)</t>
    </r>
  </si>
  <si>
    <r>
      <rPr>
        <sz val="8"/>
        <rFont val="Arial"/>
        <family val="0"/>
      </rPr>
      <t xml:space="preserve">exp(</t>
    </r>
    <r>
      <rPr>
        <sz val="8"/>
        <rFont val="Symbol"/>
        <family val="1"/>
        <charset val="2"/>
      </rPr>
      <t xml:space="preserve">g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y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/2)</t>
    </r>
  </si>
  <si>
    <t xml:space="preserve">lower tail</t>
  </si>
  <si>
    <t xml:space="preserve">upper tail</t>
  </si>
  <si>
    <t xml:space="preserve">Expiration Dates</t>
  </si>
  <si>
    <t xml:space="preserve">Last BD</t>
  </si>
  <si>
    <t xml:space="preserve">WTI</t>
  </si>
  <si>
    <t xml:space="preserve">BRENT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</si>
</sst>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.00%"/>
    <numFmt numFmtId="166" formatCode="[$-409]m/d/yyyy"/>
    <numFmt numFmtId="167" formatCode="\$#,##0.000"/>
    <numFmt numFmtId="168" formatCode="0%"/>
    <numFmt numFmtId="169" formatCode="[$-409]mmm\-yy"/>
    <numFmt numFmtId="170" formatCode="0.0000"/>
    <numFmt numFmtId="171" formatCode="0.000000"/>
    <numFmt numFmtId="172" formatCode="0.000"/>
    <numFmt numFmtId="173" formatCode="0.00E+00"/>
    <numFmt numFmtId="174" formatCode="0.00"/>
    <numFmt numFmtId="175" formatCode="\$#,##0.00"/>
    <numFmt numFmtId="176" formatCode="#,##0.00"/>
    <numFmt numFmtId="177" formatCode="0.0%"/>
    <numFmt numFmtId="178" formatCode="#,##0.0000"/>
    <numFmt numFmtId="179" formatCode="#,##0.000"/>
    <numFmt numFmtId="180" formatCode="#,##0.000000"/>
    <numFmt numFmtId="181" formatCode="0.000E+00"/>
    <numFmt numFmtId="182" formatCode="0.00000E+00"/>
    <numFmt numFmtId="183" formatCode="0.00000000"/>
    <numFmt numFmtId="184" formatCode="0.0000%"/>
    <numFmt numFmtId="185" formatCode="m/d/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sz val="10"/>
      <name val="Arial"/>
      <family val="2"/>
    </font>
    <font>
      <b val="true"/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b val="true"/>
      <sz val="10"/>
      <color rgb="FF800080"/>
      <name val="Arial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12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20"/>
      <color rgb="FFFF0000"/>
      <name val="Arial"/>
      <family val="2"/>
    </font>
    <font>
      <sz val="8"/>
      <color rgb="FF0000FF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b val="true"/>
      <sz val="8"/>
      <name val="Arial"/>
      <family val="2"/>
    </font>
    <font>
      <sz val="8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3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3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imko" xfId="20"/>
    <cellStyle name="Normal_VolSkew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7669553848668"/>
          <c:y val="0.077023309685826"/>
          <c:w val="0.89875796698807"/>
          <c:h val="0.868539163167801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ser>
          <c:idx val="1"/>
          <c:order val="1"/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smooth val="1"/>
        </c:ser>
        <c:ser>
          <c:idx val="2"/>
          <c:order val="2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VolSkew!$AG$36:$AG$43</c:f>
              <c:numCache>
                <c:formatCode>General</c:formatCode>
                <c:ptCount val="8"/>
                <c:pt idx="0">
                  <c:v>-0.412796697626419</c:v>
                </c:pt>
                <c:pt idx="1">
                  <c:v>-0.309597523219814</c:v>
                </c:pt>
                <c:pt idx="2">
                  <c:v>-0.103199174406605</c:v>
                </c:pt>
                <c:pt idx="3">
                  <c:v>0</c:v>
                </c:pt>
                <c:pt idx="4">
                  <c:v>0.103199174406605</c:v>
                </c:pt>
                <c:pt idx="5">
                  <c:v>0.20639834881321</c:v>
                </c:pt>
                <c:pt idx="6">
                  <c:v>0.309597523219814</c:v>
                </c:pt>
                <c:pt idx="7">
                  <c:v>0.412796697626419</c:v>
                </c:pt>
              </c:numCache>
            </c:numRef>
          </c:xVal>
          <c:yVal>
            <c:numRef>
              <c:f>VolSkew!$AJ$36:$AJ$43</c:f>
              <c:numCache>
                <c:formatCode>0.00</c:formatCode>
                <c:ptCount val="8"/>
                <c:pt idx="0">
                  <c:v>0.5225</c:v>
                </c:pt>
                <c:pt idx="1">
                  <c:v>0.52</c:v>
                </c:pt>
                <c:pt idx="2">
                  <c:v>0.52</c:v>
                </c:pt>
                <c:pt idx="3">
                  <c:v>0.525</c:v>
                </c:pt>
                <c:pt idx="4">
                  <c:v>0.537</c:v>
                </c:pt>
                <c:pt idx="5">
                  <c:v>0.54871416</c:v>
                </c:pt>
                <c:pt idx="6">
                  <c:v>0.559602555888</c:v>
                </c:pt>
                <c:pt idx="7">
                  <c:v>0.5695</c:v>
                </c:pt>
              </c:numCache>
            </c:numRef>
          </c:yVal>
          <c:smooth val="1"/>
        </c:ser>
        <c:axId val="67782280"/>
        <c:axId val="95353806"/>
      </c:scatterChart>
      <c:valAx>
        <c:axId val="67782280"/>
        <c:scaling>
          <c:orientation val="minMax"/>
          <c:min val="-0.5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Put Option Moneyness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53806"/>
        <c:crossesAt val="0"/>
        <c:crossBetween val="midCat"/>
        <c:majorUnit val="0.2"/>
      </c:valAx>
      <c:valAx>
        <c:axId val="953538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</a:t>
                </a:r>
              </a:p>
            </c:rich>
          </c:tx>
          <c:layout>
            <c:manualLayout>
              <c:xMode val="edge"/>
              <c:yMode val="edge"/>
              <c:x val="0.0225527046903089"/>
              <c:y val="0.35398870710873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82280"/>
        <c:crossesAt val="-4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Oct-01 Natural Gas Price Distributions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08408985488039"/>
          <c:w val="0.941777420422835"/>
          <c:h val="0.790802465045391"/>
        </c:manualLayout>
      </c:layout>
      <c:scatterChart>
        <c:scatterStyle val="lineMarker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</c:v>
                </c:pt>
                <c:pt idx="1">
                  <c:v>3.035</c:v>
                </c:pt>
                <c:pt idx="2">
                  <c:v>3.07</c:v>
                </c:pt>
                <c:pt idx="3">
                  <c:v>3.105</c:v>
                </c:pt>
                <c:pt idx="4">
                  <c:v>3.14</c:v>
                </c:pt>
                <c:pt idx="5">
                  <c:v>3.175</c:v>
                </c:pt>
                <c:pt idx="6">
                  <c:v>3.21</c:v>
                </c:pt>
                <c:pt idx="7">
                  <c:v>3.245</c:v>
                </c:pt>
                <c:pt idx="8">
                  <c:v>3.28</c:v>
                </c:pt>
                <c:pt idx="9">
                  <c:v>3.315</c:v>
                </c:pt>
                <c:pt idx="10">
                  <c:v>3.35</c:v>
                </c:pt>
                <c:pt idx="11">
                  <c:v>3.385</c:v>
                </c:pt>
                <c:pt idx="12">
                  <c:v>3.42</c:v>
                </c:pt>
                <c:pt idx="13">
                  <c:v>3.455</c:v>
                </c:pt>
                <c:pt idx="14">
                  <c:v>3.49</c:v>
                </c:pt>
                <c:pt idx="15">
                  <c:v>3.525</c:v>
                </c:pt>
                <c:pt idx="16">
                  <c:v>3.56</c:v>
                </c:pt>
                <c:pt idx="17">
                  <c:v>3.595</c:v>
                </c:pt>
                <c:pt idx="18">
                  <c:v>3.63</c:v>
                </c:pt>
                <c:pt idx="19">
                  <c:v>3.665</c:v>
                </c:pt>
                <c:pt idx="20">
                  <c:v>3.7</c:v>
                </c:pt>
                <c:pt idx="21">
                  <c:v>3.735</c:v>
                </c:pt>
                <c:pt idx="22">
                  <c:v>3.77</c:v>
                </c:pt>
                <c:pt idx="23">
                  <c:v>3.805</c:v>
                </c:pt>
                <c:pt idx="24">
                  <c:v>3.84</c:v>
                </c:pt>
                <c:pt idx="25">
                  <c:v>3.875</c:v>
                </c:pt>
                <c:pt idx="26">
                  <c:v>3.91</c:v>
                </c:pt>
                <c:pt idx="27">
                  <c:v>3.945</c:v>
                </c:pt>
                <c:pt idx="28">
                  <c:v>3.98</c:v>
                </c:pt>
                <c:pt idx="29">
                  <c:v>4.015</c:v>
                </c:pt>
                <c:pt idx="30">
                  <c:v>4.05</c:v>
                </c:pt>
                <c:pt idx="31">
                  <c:v>4.085</c:v>
                </c:pt>
                <c:pt idx="32">
                  <c:v>4.12</c:v>
                </c:pt>
                <c:pt idx="33">
                  <c:v>4.15500000000001</c:v>
                </c:pt>
                <c:pt idx="34">
                  <c:v>4.19000000000001</c:v>
                </c:pt>
                <c:pt idx="35">
                  <c:v>4.22500000000001</c:v>
                </c:pt>
                <c:pt idx="36">
                  <c:v>4.26000000000001</c:v>
                </c:pt>
                <c:pt idx="37">
                  <c:v>4.29500000000001</c:v>
                </c:pt>
                <c:pt idx="38">
                  <c:v>4.33000000000001</c:v>
                </c:pt>
                <c:pt idx="39">
                  <c:v>4.36500000000001</c:v>
                </c:pt>
                <c:pt idx="40">
                  <c:v>4.40000000000001</c:v>
                </c:pt>
                <c:pt idx="41">
                  <c:v>4.43500000000001</c:v>
                </c:pt>
                <c:pt idx="42">
                  <c:v>4.47000000000001</c:v>
                </c:pt>
                <c:pt idx="43">
                  <c:v>4.50500000000001</c:v>
                </c:pt>
                <c:pt idx="44">
                  <c:v>4.54000000000001</c:v>
                </c:pt>
                <c:pt idx="45">
                  <c:v>4.57500000000001</c:v>
                </c:pt>
                <c:pt idx="46">
                  <c:v>4.61000000000001</c:v>
                </c:pt>
                <c:pt idx="47">
                  <c:v>4.64500000000001</c:v>
                </c:pt>
                <c:pt idx="48">
                  <c:v>4.68000000000001</c:v>
                </c:pt>
                <c:pt idx="49">
                  <c:v>4.71500000000001</c:v>
                </c:pt>
                <c:pt idx="50">
                  <c:v>4.75000000000001</c:v>
                </c:pt>
                <c:pt idx="51">
                  <c:v>4.78500000000001</c:v>
                </c:pt>
                <c:pt idx="52">
                  <c:v>4.82000000000001</c:v>
                </c:pt>
                <c:pt idx="53">
                  <c:v>4.85500000000001</c:v>
                </c:pt>
                <c:pt idx="54">
                  <c:v>4.89000000000001</c:v>
                </c:pt>
                <c:pt idx="55">
                  <c:v>4.92500000000001</c:v>
                </c:pt>
                <c:pt idx="56">
                  <c:v>4.96000000000001</c:v>
                </c:pt>
                <c:pt idx="57">
                  <c:v>4.99500000000001</c:v>
                </c:pt>
                <c:pt idx="58">
                  <c:v>5.03000000000001</c:v>
                </c:pt>
                <c:pt idx="59">
                  <c:v>5.06500000000001</c:v>
                </c:pt>
                <c:pt idx="60">
                  <c:v>5.10000000000001</c:v>
                </c:pt>
                <c:pt idx="61">
                  <c:v>5.13500000000001</c:v>
                </c:pt>
                <c:pt idx="62">
                  <c:v>5.17000000000001</c:v>
                </c:pt>
                <c:pt idx="63">
                  <c:v>5.20500000000001</c:v>
                </c:pt>
                <c:pt idx="64">
                  <c:v>5.24000000000001</c:v>
                </c:pt>
                <c:pt idx="65">
                  <c:v>5.27500000000001</c:v>
                </c:pt>
                <c:pt idx="66">
                  <c:v>5.31000000000001</c:v>
                </c:pt>
                <c:pt idx="67">
                  <c:v>5.34500000000001</c:v>
                </c:pt>
                <c:pt idx="68">
                  <c:v>5.38000000000001</c:v>
                </c:pt>
                <c:pt idx="69">
                  <c:v>5.41500000000001</c:v>
                </c:pt>
                <c:pt idx="70">
                  <c:v>5.45000000000001</c:v>
                </c:pt>
                <c:pt idx="71">
                  <c:v>5.48500000000001</c:v>
                </c:pt>
                <c:pt idx="72">
                  <c:v>5.52000000000001</c:v>
                </c:pt>
                <c:pt idx="73">
                  <c:v>5.55500000000001</c:v>
                </c:pt>
                <c:pt idx="74">
                  <c:v>5.59000000000001</c:v>
                </c:pt>
                <c:pt idx="75">
                  <c:v>5.62500000000001</c:v>
                </c:pt>
                <c:pt idx="76">
                  <c:v>5.66000000000001</c:v>
                </c:pt>
                <c:pt idx="77">
                  <c:v>5.69500000000001</c:v>
                </c:pt>
                <c:pt idx="78">
                  <c:v>5.73000000000001</c:v>
                </c:pt>
                <c:pt idx="79">
                  <c:v>5.76500000000001</c:v>
                </c:pt>
                <c:pt idx="80">
                  <c:v>5.80000000000001</c:v>
                </c:pt>
                <c:pt idx="81">
                  <c:v>5.83500000000001</c:v>
                </c:pt>
                <c:pt idx="82">
                  <c:v>5.87000000000001</c:v>
                </c:pt>
                <c:pt idx="83">
                  <c:v>5.90500000000001</c:v>
                </c:pt>
                <c:pt idx="84">
                  <c:v>5.94000000000001</c:v>
                </c:pt>
                <c:pt idx="85">
                  <c:v>5.97500000000001</c:v>
                </c:pt>
                <c:pt idx="86">
                  <c:v>6.01000000000001</c:v>
                </c:pt>
                <c:pt idx="87">
                  <c:v>6.04500000000001</c:v>
                </c:pt>
                <c:pt idx="88">
                  <c:v>6.08000000000001</c:v>
                </c:pt>
                <c:pt idx="89">
                  <c:v>6.11500000000001</c:v>
                </c:pt>
                <c:pt idx="90">
                  <c:v>6.15000000000001</c:v>
                </c:pt>
                <c:pt idx="91">
                  <c:v>6.18500000000001</c:v>
                </c:pt>
                <c:pt idx="92">
                  <c:v>6.22000000000001</c:v>
                </c:pt>
                <c:pt idx="93">
                  <c:v>6.25500000000001</c:v>
                </c:pt>
                <c:pt idx="94">
                  <c:v>6.29000000000001</c:v>
                </c:pt>
                <c:pt idx="95">
                  <c:v>6.32500000000001</c:v>
                </c:pt>
                <c:pt idx="96">
                  <c:v>6.36000000000001</c:v>
                </c:pt>
                <c:pt idx="97">
                  <c:v>6.39500000000001</c:v>
                </c:pt>
                <c:pt idx="98">
                  <c:v>6.43000000000001</c:v>
                </c:pt>
                <c:pt idx="99">
                  <c:v>6.46500000000001</c:v>
                </c:pt>
                <c:pt idx="100">
                  <c:v>6.50000000000001</c:v>
                </c:pt>
              </c:numCache>
            </c:numRef>
          </c:xVal>
          <c:yVal>
            <c:numRef>
              <c:f>Shimko!$W$13:$W$113</c:f>
              <c:numCache>
                <c:formatCode>0.000E+00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</c:v>
                </c:pt>
                <c:pt idx="1">
                  <c:v>3.035</c:v>
                </c:pt>
                <c:pt idx="2">
                  <c:v>3.07</c:v>
                </c:pt>
                <c:pt idx="3">
                  <c:v>3.105</c:v>
                </c:pt>
                <c:pt idx="4">
                  <c:v>3.14</c:v>
                </c:pt>
                <c:pt idx="5">
                  <c:v>3.175</c:v>
                </c:pt>
                <c:pt idx="6">
                  <c:v>3.21</c:v>
                </c:pt>
                <c:pt idx="7">
                  <c:v>3.245</c:v>
                </c:pt>
                <c:pt idx="8">
                  <c:v>3.28</c:v>
                </c:pt>
                <c:pt idx="9">
                  <c:v>3.315</c:v>
                </c:pt>
                <c:pt idx="10">
                  <c:v>3.35</c:v>
                </c:pt>
                <c:pt idx="11">
                  <c:v>3.385</c:v>
                </c:pt>
                <c:pt idx="12">
                  <c:v>3.42</c:v>
                </c:pt>
                <c:pt idx="13">
                  <c:v>3.455</c:v>
                </c:pt>
                <c:pt idx="14">
                  <c:v>3.49</c:v>
                </c:pt>
                <c:pt idx="15">
                  <c:v>3.525</c:v>
                </c:pt>
                <c:pt idx="16">
                  <c:v>3.56</c:v>
                </c:pt>
                <c:pt idx="17">
                  <c:v>3.595</c:v>
                </c:pt>
                <c:pt idx="18">
                  <c:v>3.63</c:v>
                </c:pt>
                <c:pt idx="19">
                  <c:v>3.665</c:v>
                </c:pt>
                <c:pt idx="20">
                  <c:v>3.7</c:v>
                </c:pt>
                <c:pt idx="21">
                  <c:v>3.735</c:v>
                </c:pt>
                <c:pt idx="22">
                  <c:v>3.77</c:v>
                </c:pt>
                <c:pt idx="23">
                  <c:v>3.805</c:v>
                </c:pt>
                <c:pt idx="24">
                  <c:v>3.84</c:v>
                </c:pt>
                <c:pt idx="25">
                  <c:v>3.875</c:v>
                </c:pt>
                <c:pt idx="26">
                  <c:v>3.91</c:v>
                </c:pt>
                <c:pt idx="27">
                  <c:v>3.945</c:v>
                </c:pt>
                <c:pt idx="28">
                  <c:v>3.98</c:v>
                </c:pt>
                <c:pt idx="29">
                  <c:v>4.015</c:v>
                </c:pt>
                <c:pt idx="30">
                  <c:v>4.05</c:v>
                </c:pt>
                <c:pt idx="31">
                  <c:v>4.085</c:v>
                </c:pt>
                <c:pt idx="32">
                  <c:v>4.12</c:v>
                </c:pt>
                <c:pt idx="33">
                  <c:v>4.15500000000001</c:v>
                </c:pt>
                <c:pt idx="34">
                  <c:v>4.19000000000001</c:v>
                </c:pt>
                <c:pt idx="35">
                  <c:v>4.22500000000001</c:v>
                </c:pt>
                <c:pt idx="36">
                  <c:v>4.26000000000001</c:v>
                </c:pt>
                <c:pt idx="37">
                  <c:v>4.29500000000001</c:v>
                </c:pt>
                <c:pt idx="38">
                  <c:v>4.33000000000001</c:v>
                </c:pt>
                <c:pt idx="39">
                  <c:v>4.36500000000001</c:v>
                </c:pt>
                <c:pt idx="40">
                  <c:v>4.40000000000001</c:v>
                </c:pt>
                <c:pt idx="41">
                  <c:v>4.43500000000001</c:v>
                </c:pt>
                <c:pt idx="42">
                  <c:v>4.47000000000001</c:v>
                </c:pt>
                <c:pt idx="43">
                  <c:v>4.50500000000001</c:v>
                </c:pt>
                <c:pt idx="44">
                  <c:v>4.54000000000001</c:v>
                </c:pt>
                <c:pt idx="45">
                  <c:v>4.57500000000001</c:v>
                </c:pt>
                <c:pt idx="46">
                  <c:v>4.61000000000001</c:v>
                </c:pt>
                <c:pt idx="47">
                  <c:v>4.64500000000001</c:v>
                </c:pt>
                <c:pt idx="48">
                  <c:v>4.68000000000001</c:v>
                </c:pt>
                <c:pt idx="49">
                  <c:v>4.71500000000001</c:v>
                </c:pt>
                <c:pt idx="50">
                  <c:v>4.75000000000001</c:v>
                </c:pt>
                <c:pt idx="51">
                  <c:v>4.78500000000001</c:v>
                </c:pt>
                <c:pt idx="52">
                  <c:v>4.82000000000001</c:v>
                </c:pt>
                <c:pt idx="53">
                  <c:v>4.85500000000001</c:v>
                </c:pt>
                <c:pt idx="54">
                  <c:v>4.89000000000001</c:v>
                </c:pt>
                <c:pt idx="55">
                  <c:v>4.92500000000001</c:v>
                </c:pt>
                <c:pt idx="56">
                  <c:v>4.96000000000001</c:v>
                </c:pt>
                <c:pt idx="57">
                  <c:v>4.99500000000001</c:v>
                </c:pt>
                <c:pt idx="58">
                  <c:v>5.03000000000001</c:v>
                </c:pt>
                <c:pt idx="59">
                  <c:v>5.06500000000001</c:v>
                </c:pt>
                <c:pt idx="60">
                  <c:v>5.10000000000001</c:v>
                </c:pt>
                <c:pt idx="61">
                  <c:v>5.13500000000001</c:v>
                </c:pt>
                <c:pt idx="62">
                  <c:v>5.17000000000001</c:v>
                </c:pt>
                <c:pt idx="63">
                  <c:v>5.20500000000001</c:v>
                </c:pt>
                <c:pt idx="64">
                  <c:v>5.24000000000001</c:v>
                </c:pt>
                <c:pt idx="65">
                  <c:v>5.27500000000001</c:v>
                </c:pt>
                <c:pt idx="66">
                  <c:v>5.31000000000001</c:v>
                </c:pt>
                <c:pt idx="67">
                  <c:v>5.34500000000001</c:v>
                </c:pt>
                <c:pt idx="68">
                  <c:v>5.38000000000001</c:v>
                </c:pt>
                <c:pt idx="69">
                  <c:v>5.41500000000001</c:v>
                </c:pt>
                <c:pt idx="70">
                  <c:v>5.45000000000001</c:v>
                </c:pt>
                <c:pt idx="71">
                  <c:v>5.48500000000001</c:v>
                </c:pt>
                <c:pt idx="72">
                  <c:v>5.52000000000001</c:v>
                </c:pt>
                <c:pt idx="73">
                  <c:v>5.55500000000001</c:v>
                </c:pt>
                <c:pt idx="74">
                  <c:v>5.59000000000001</c:v>
                </c:pt>
                <c:pt idx="75">
                  <c:v>5.62500000000001</c:v>
                </c:pt>
                <c:pt idx="76">
                  <c:v>5.66000000000001</c:v>
                </c:pt>
                <c:pt idx="77">
                  <c:v>5.69500000000001</c:v>
                </c:pt>
                <c:pt idx="78">
                  <c:v>5.73000000000001</c:v>
                </c:pt>
                <c:pt idx="79">
                  <c:v>5.76500000000001</c:v>
                </c:pt>
                <c:pt idx="80">
                  <c:v>5.80000000000001</c:v>
                </c:pt>
                <c:pt idx="81">
                  <c:v>5.83500000000001</c:v>
                </c:pt>
                <c:pt idx="82">
                  <c:v>5.87000000000001</c:v>
                </c:pt>
                <c:pt idx="83">
                  <c:v>5.90500000000001</c:v>
                </c:pt>
                <c:pt idx="84">
                  <c:v>5.94000000000001</c:v>
                </c:pt>
                <c:pt idx="85">
                  <c:v>5.97500000000001</c:v>
                </c:pt>
                <c:pt idx="86">
                  <c:v>6.01000000000001</c:v>
                </c:pt>
                <c:pt idx="87">
                  <c:v>6.04500000000001</c:v>
                </c:pt>
                <c:pt idx="88">
                  <c:v>6.08000000000001</c:v>
                </c:pt>
                <c:pt idx="89">
                  <c:v>6.11500000000001</c:v>
                </c:pt>
                <c:pt idx="90">
                  <c:v>6.15000000000001</c:v>
                </c:pt>
                <c:pt idx="91">
                  <c:v>6.18500000000001</c:v>
                </c:pt>
                <c:pt idx="92">
                  <c:v>6.22000000000001</c:v>
                </c:pt>
                <c:pt idx="93">
                  <c:v>6.25500000000001</c:v>
                </c:pt>
                <c:pt idx="94">
                  <c:v>6.29000000000001</c:v>
                </c:pt>
                <c:pt idx="95">
                  <c:v>6.32500000000001</c:v>
                </c:pt>
                <c:pt idx="96">
                  <c:v>6.36000000000001</c:v>
                </c:pt>
                <c:pt idx="97">
                  <c:v>6.39500000000001</c:v>
                </c:pt>
                <c:pt idx="98">
                  <c:v>6.43000000000001</c:v>
                </c:pt>
                <c:pt idx="99">
                  <c:v>6.46500000000001</c:v>
                </c:pt>
                <c:pt idx="100">
                  <c:v>6.50000000000001</c:v>
                </c:pt>
              </c:numCache>
            </c:numRef>
          </c:xVal>
          <c:yVal>
            <c:numRef>
              <c:f>Shimko!$AE$13:$AE$113</c:f>
              <c:numCache>
                <c:formatCode>0.00000E+00</c:formatCode>
                <c:ptCount val="101"/>
                <c:pt idx="0">
                  <c:v>0.174722539308006</c:v>
                </c:pt>
                <c:pt idx="1">
                  <c:v>0.180705297556044</c:v>
                </c:pt>
                <c:pt idx="2">
                  <c:v>0.186591234192837</c:v>
                </c:pt>
                <c:pt idx="3">
                  <c:v>0.192367595726797</c:v>
                </c:pt>
                <c:pt idx="4">
                  <c:v>0.19802224421695</c:v>
                </c:pt>
                <c:pt idx="5">
                  <c:v>0.203543691382196</c:v>
                </c:pt>
                <c:pt idx="6">
                  <c:v>0.208921127039219</c:v>
                </c:pt>
                <c:pt idx="7">
                  <c:v>0.214144442051555</c:v>
                </c:pt>
                <c:pt idx="8">
                  <c:v>0.219204246005022</c:v>
                </c:pt>
                <c:pt idx="9">
                  <c:v>0.224091879851931</c:v>
                </c:pt>
                <c:pt idx="10">
                  <c:v>0.228799423788519</c:v>
                </c:pt>
                <c:pt idx="11">
                  <c:v>0.233319700647218</c:v>
                </c:pt>
                <c:pt idx="12">
                  <c:v>0.237646275098077</c:v>
                </c:pt>
                <c:pt idx="13">
                  <c:v>0.241773448962282</c:v>
                </c:pt>
                <c:pt idx="14">
                  <c:v>0.245696252945556</c:v>
                </c:pt>
                <c:pt idx="15">
                  <c:v>0.249410435100749</c:v>
                </c:pt>
                <c:pt idx="16">
                  <c:v>0.252912446327493</c:v>
                </c:pt>
                <c:pt idx="17">
                  <c:v>0.256199423212638</c:v>
                </c:pt>
                <c:pt idx="18">
                  <c:v>0.259269168508877</c:v>
                </c:pt>
                <c:pt idx="19">
                  <c:v>0.262120129540573</c:v>
                </c:pt>
                <c:pt idx="20">
                  <c:v>0.264751374815843</c:v>
                </c:pt>
                <c:pt idx="21">
                  <c:v>0.26716256911259</c:v>
                </c:pt>
                <c:pt idx="22">
                  <c:v>0.269353947293712</c:v>
                </c:pt>
                <c:pt idx="23">
                  <c:v>0.271326287093433</c:v>
                </c:pt>
                <c:pt idx="24">
                  <c:v>0.273080881102726</c:v>
                </c:pt>
                <c:pt idx="25">
                  <c:v>0.274619508167468</c:v>
                </c:pt>
                <c:pt idx="26">
                  <c:v>0.275944404398324</c:v>
                </c:pt>
                <c:pt idx="27">
                  <c:v>0.277058233976648</c:v>
                </c:pt>
                <c:pt idx="28">
                  <c:v>0.277964059926064</c:v>
                </c:pt>
                <c:pt idx="29">
                  <c:v>0.278665315004874</c:v>
                </c:pt>
                <c:pt idx="30">
                  <c:v>0.279165772860287</c:v>
                </c:pt>
                <c:pt idx="31">
                  <c:v>0.279469519571601</c:v>
                </c:pt>
                <c:pt idx="32">
                  <c:v>0.279580925696129</c:v>
                </c:pt>
                <c:pt idx="33">
                  <c:v>0.27950461891879</c:v>
                </c:pt>
                <c:pt idx="34">
                  <c:v>0.279245457393957</c:v>
                </c:pt>
                <c:pt idx="35">
                  <c:v>0.278808503856496</c:v>
                </c:pt>
                <c:pt idx="36">
                  <c:v>0.278199000567792</c:v>
                </c:pt>
                <c:pt idx="37">
                  <c:v>0.277422345152178</c:v>
                </c:pt>
                <c:pt idx="38">
                  <c:v>0.276484067369343</c:v>
                </c:pt>
                <c:pt idx="39">
                  <c:v>0.275389806859224</c:v>
                </c:pt>
                <c:pt idx="40">
                  <c:v>0.274145291887376</c:v>
                </c:pt>
                <c:pt idx="41">
                  <c:v>0.27275631911101</c:v>
                </c:pt>
                <c:pt idx="42">
                  <c:v>0.271228734378711</c:v>
                </c:pt>
                <c:pt idx="43">
                  <c:v>0.269568414570247</c:v>
                </c:pt>
                <c:pt idx="44">
                  <c:v>0.267781250476954</c:v>
                </c:pt>
                <c:pt idx="45">
                  <c:v>0.265873130717744</c:v>
                </c:pt>
                <c:pt idx="46">
                  <c:v>0.263849926680974</c:v>
                </c:pt>
                <c:pt idx="47">
                  <c:v>0.261717478478078</c:v>
                </c:pt>
                <c:pt idx="48">
                  <c:v>0.259481581891065</c:v>
                </c:pt>
                <c:pt idx="49">
                  <c:v>0.257147976292628</c:v>
                </c:pt>
                <c:pt idx="50">
                  <c:v>0.254722333514717</c:v>
                </c:pt>
                <c:pt idx="51">
                  <c:v>0.252210247638945</c:v>
                </c:pt>
                <c:pt idx="52">
                  <c:v>0.249617225680088</c:v>
                </c:pt>
                <c:pt idx="53">
                  <c:v>0.246948679132235</c:v>
                </c:pt>
                <c:pt idx="54">
                  <c:v>0.244209916345685</c:v>
                </c:pt>
                <c:pt idx="55">
                  <c:v>0.241406135701661</c:v>
                </c:pt>
                <c:pt idx="56">
                  <c:v>0.238542419551033</c:v>
                </c:pt>
                <c:pt idx="57">
                  <c:v>0.235623728882718</c:v>
                </c:pt>
                <c:pt idx="58">
                  <c:v>0.232654898687103</c:v>
                </c:pt>
                <c:pt idx="59">
                  <c:v>0.229640633979682</c:v>
                </c:pt>
                <c:pt idx="60">
                  <c:v>0.226585506450237</c:v>
                </c:pt>
                <c:pt idx="61">
                  <c:v>0.223493951703059</c:v>
                </c:pt>
                <c:pt idx="62">
                  <c:v>0.220370267054179</c:v>
                </c:pt>
                <c:pt idx="63">
                  <c:v>0.217218609852031</c:v>
                </c:pt>
                <c:pt idx="64">
                  <c:v>0.214042996288669</c:v>
                </c:pt>
                <c:pt idx="65">
                  <c:v>0.210847300669356</c:v>
                </c:pt>
                <c:pt idx="66">
                  <c:v>0.207635255109213</c:v>
                </c:pt>
                <c:pt idx="67">
                  <c:v>0.204410449626464</c:v>
                </c:pt>
                <c:pt idx="68">
                  <c:v>0.20117633260283</c:v>
                </c:pt>
                <c:pt idx="69">
                  <c:v>0.197936211582575</c:v>
                </c:pt>
                <c:pt idx="70">
                  <c:v>0.194693254382796</c:v>
                </c:pt>
                <c:pt idx="71">
                  <c:v>0.191450490488602</c:v>
                </c:pt>
                <c:pt idx="72">
                  <c:v>0.18821081270792</c:v>
                </c:pt>
                <c:pt idx="73">
                  <c:v>0.184976979061786</c:v>
                </c:pt>
                <c:pt idx="74">
                  <c:v>0.181751614887072</c:v>
                </c:pt>
                <c:pt idx="75">
                  <c:v>0.178537215129728</c:v>
                </c:pt>
                <c:pt idx="76">
                  <c:v>0.175336146807719</c:v>
                </c:pt>
                <c:pt idx="77">
                  <c:v>0.172150651623913</c:v>
                </c:pt>
                <c:pt idx="78">
                  <c:v>0.16898284871028</c:v>
                </c:pt>
                <c:pt idx="79">
                  <c:v>0.165834737485805</c:v>
                </c:pt>
                <c:pt idx="80">
                  <c:v>0.162708200611551</c:v>
                </c:pt>
                <c:pt idx="81">
                  <c:v>0.15960500702733</c:v>
                </c:pt>
                <c:pt idx="82">
                  <c:v>0.156526815055419</c:v>
                </c:pt>
                <c:pt idx="83">
                  <c:v>0.153475175557695</c:v>
                </c:pt>
                <c:pt idx="84">
                  <c:v>0.150451535133528</c:v>
                </c:pt>
                <c:pt idx="85">
                  <c:v>0.147457239346594</c:v>
                </c:pt>
                <c:pt idx="86">
                  <c:v>0.144493535969709</c:v>
                </c:pt>
                <c:pt idx="87">
                  <c:v>0.14156157823753</c:v>
                </c:pt>
                <c:pt idx="88">
                  <c:v>0.13866242809781</c:v>
                </c:pt>
                <c:pt idx="89">
                  <c:v>0.13579705945263</c:v>
                </c:pt>
                <c:pt idx="90">
                  <c:v>0.132966361381754</c:v>
                </c:pt>
                <c:pt idx="91">
                  <c:v>0.130171141340923</c:v>
                </c:pt>
                <c:pt idx="92">
                  <c:v>0.127412128328593</c:v>
                </c:pt>
                <c:pt idx="93">
                  <c:v>0.124689976015197</c:v>
                </c:pt>
                <c:pt idx="94">
                  <c:v>0.12200526582963</c:v>
                </c:pt>
                <c:pt idx="95">
                  <c:v>0.119358509998195</c:v>
                </c:pt>
                <c:pt idx="96">
                  <c:v>0.116750154531759</c:v>
                </c:pt>
                <c:pt idx="97">
                  <c:v>0.114180582157396</c:v>
                </c:pt>
                <c:pt idx="98">
                  <c:v>0.111650115191208</c:v>
                </c:pt>
                <c:pt idx="99">
                  <c:v>0.10915901834949</c:v>
                </c:pt>
                <c:pt idx="100">
                  <c:v>0.106707501495784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3</c:v>
                </c:pt>
                <c:pt idx="1">
                  <c:v>2.895</c:v>
                </c:pt>
                <c:pt idx="2">
                  <c:v>2.79</c:v>
                </c:pt>
                <c:pt idx="3">
                  <c:v>2.685</c:v>
                </c:pt>
                <c:pt idx="4">
                  <c:v>2.58</c:v>
                </c:pt>
                <c:pt idx="5">
                  <c:v>2.475</c:v>
                </c:pt>
                <c:pt idx="6">
                  <c:v>2.37</c:v>
                </c:pt>
                <c:pt idx="7">
                  <c:v>2.265</c:v>
                </c:pt>
                <c:pt idx="8">
                  <c:v>2.16</c:v>
                </c:pt>
                <c:pt idx="9">
                  <c:v>2.055</c:v>
                </c:pt>
                <c:pt idx="10">
                  <c:v>1.95</c:v>
                </c:pt>
                <c:pt idx="11">
                  <c:v>1.845</c:v>
                </c:pt>
                <c:pt idx="12">
                  <c:v>1.74</c:v>
                </c:pt>
                <c:pt idx="13">
                  <c:v>1.635</c:v>
                </c:pt>
                <c:pt idx="14">
                  <c:v>1.53</c:v>
                </c:pt>
                <c:pt idx="15">
                  <c:v>1.425</c:v>
                </c:pt>
                <c:pt idx="16">
                  <c:v>1.32</c:v>
                </c:pt>
                <c:pt idx="17">
                  <c:v>1.215</c:v>
                </c:pt>
                <c:pt idx="18">
                  <c:v>1.11</c:v>
                </c:pt>
                <c:pt idx="19">
                  <c:v>1.005</c:v>
                </c:pt>
                <c:pt idx="20">
                  <c:v>0.9</c:v>
                </c:pt>
                <c:pt idx="21">
                  <c:v>0.795</c:v>
                </c:pt>
                <c:pt idx="22">
                  <c:v>0.69</c:v>
                </c:pt>
                <c:pt idx="23">
                  <c:v>0.585</c:v>
                </c:pt>
                <c:pt idx="24">
                  <c:v>0.48</c:v>
                </c:pt>
                <c:pt idx="25">
                  <c:v>0.375</c:v>
                </c:pt>
              </c:numCache>
            </c:numRef>
          </c:xVal>
          <c:yVal>
            <c:numRef>
              <c:f>Shimko!$W$114:$W$139</c:f>
              <c:numCache>
                <c:formatCode>0.000E+00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6.50000000000001</c:v>
                </c:pt>
                <c:pt idx="1">
                  <c:v>6.85000000000001</c:v>
                </c:pt>
                <c:pt idx="2">
                  <c:v>7.20000000000001</c:v>
                </c:pt>
                <c:pt idx="3">
                  <c:v>7.55000000000001</c:v>
                </c:pt>
                <c:pt idx="4">
                  <c:v>7.90000000000001</c:v>
                </c:pt>
                <c:pt idx="5">
                  <c:v>8.25000000000001</c:v>
                </c:pt>
                <c:pt idx="6">
                  <c:v>8.60000000000001</c:v>
                </c:pt>
                <c:pt idx="7">
                  <c:v>8.95000000000001</c:v>
                </c:pt>
                <c:pt idx="8">
                  <c:v>9.30000000000001</c:v>
                </c:pt>
                <c:pt idx="9">
                  <c:v>9.65000000000001</c:v>
                </c:pt>
                <c:pt idx="10">
                  <c:v>10</c:v>
                </c:pt>
                <c:pt idx="11">
                  <c:v>10.35</c:v>
                </c:pt>
                <c:pt idx="12">
                  <c:v>10.7</c:v>
                </c:pt>
                <c:pt idx="13">
                  <c:v>11.05</c:v>
                </c:pt>
                <c:pt idx="14">
                  <c:v>11.4</c:v>
                </c:pt>
                <c:pt idx="15">
                  <c:v>11.75</c:v>
                </c:pt>
                <c:pt idx="16">
                  <c:v>12.1</c:v>
                </c:pt>
                <c:pt idx="17">
                  <c:v>12.45</c:v>
                </c:pt>
                <c:pt idx="18">
                  <c:v>12.8</c:v>
                </c:pt>
                <c:pt idx="19">
                  <c:v>13.15</c:v>
                </c:pt>
                <c:pt idx="20">
                  <c:v>13.5</c:v>
                </c:pt>
                <c:pt idx="21">
                  <c:v>13.85</c:v>
                </c:pt>
                <c:pt idx="22">
                  <c:v>14.2</c:v>
                </c:pt>
                <c:pt idx="23">
                  <c:v>14.55</c:v>
                </c:pt>
                <c:pt idx="24">
                  <c:v>14.9</c:v>
                </c:pt>
              </c:numCache>
            </c:numRef>
          </c:xVal>
          <c:yVal>
            <c:numRef>
              <c:f>Shimko!$W$140:$W$164</c:f>
              <c:numCache>
                <c:formatCode>0.000E+00</c:formatCode>
                <c:ptCount val="25"/>
              </c:numCache>
            </c:numRef>
          </c:yVal>
          <c:smooth val="1"/>
        </c:ser>
        <c:ser>
          <c:idx val="4"/>
          <c:order val="4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3</c:v>
                </c:pt>
                <c:pt idx="1">
                  <c:v>2.895</c:v>
                </c:pt>
                <c:pt idx="2">
                  <c:v>2.79</c:v>
                </c:pt>
                <c:pt idx="3">
                  <c:v>2.685</c:v>
                </c:pt>
                <c:pt idx="4">
                  <c:v>2.58</c:v>
                </c:pt>
                <c:pt idx="5">
                  <c:v>2.475</c:v>
                </c:pt>
                <c:pt idx="6">
                  <c:v>2.37</c:v>
                </c:pt>
                <c:pt idx="7">
                  <c:v>2.265</c:v>
                </c:pt>
                <c:pt idx="8">
                  <c:v>2.16</c:v>
                </c:pt>
                <c:pt idx="9">
                  <c:v>2.055</c:v>
                </c:pt>
                <c:pt idx="10">
                  <c:v>1.95</c:v>
                </c:pt>
                <c:pt idx="11">
                  <c:v>1.845</c:v>
                </c:pt>
                <c:pt idx="12">
                  <c:v>1.74</c:v>
                </c:pt>
                <c:pt idx="13">
                  <c:v>1.635</c:v>
                </c:pt>
                <c:pt idx="14">
                  <c:v>1.53</c:v>
                </c:pt>
                <c:pt idx="15">
                  <c:v>1.425</c:v>
                </c:pt>
                <c:pt idx="16">
                  <c:v>1.32</c:v>
                </c:pt>
                <c:pt idx="17">
                  <c:v>1.215</c:v>
                </c:pt>
                <c:pt idx="18">
                  <c:v>1.11</c:v>
                </c:pt>
                <c:pt idx="19">
                  <c:v>1.005</c:v>
                </c:pt>
                <c:pt idx="20">
                  <c:v>0.9</c:v>
                </c:pt>
                <c:pt idx="21">
                  <c:v>0.795</c:v>
                </c:pt>
                <c:pt idx="22">
                  <c:v>0.69</c:v>
                </c:pt>
                <c:pt idx="23">
                  <c:v>0.585</c:v>
                </c:pt>
                <c:pt idx="24">
                  <c:v>0.48</c:v>
                </c:pt>
                <c:pt idx="25">
                  <c:v>0.375</c:v>
                </c:pt>
              </c:numCache>
            </c:numRef>
          </c:xVal>
          <c:yVal>
            <c:numRef>
              <c:f>Shimko!$AE$114:$AE$139</c:f>
              <c:numCache>
                <c:formatCode>0.00000E+00</c:formatCode>
                <c:ptCount val="26"/>
                <c:pt idx="0">
                  <c:v>0.174722539308006</c:v>
                </c:pt>
                <c:pt idx="1">
                  <c:v>0.156329223199128</c:v>
                </c:pt>
                <c:pt idx="2">
                  <c:v>0.137573184457077</c:v>
                </c:pt>
                <c:pt idx="3">
                  <c:v>0.118868226453982</c:v>
                </c:pt>
                <c:pt idx="4">
                  <c:v>0.10063833400635</c:v>
                </c:pt>
                <c:pt idx="5">
                  <c:v>0.0832961790667491</c:v>
                </c:pt>
                <c:pt idx="6">
                  <c:v>0.067219458080313</c:v>
                </c:pt>
                <c:pt idx="7">
                  <c:v>0.0527269030587528</c:v>
                </c:pt>
                <c:pt idx="8">
                  <c:v>0.0400563474394085</c:v>
                </c:pt>
                <c:pt idx="9">
                  <c:v>0.0293475781417994</c:v>
                </c:pt>
                <c:pt idx="10">
                  <c:v>0.0206327169619833</c:v>
                </c:pt>
                <c:pt idx="11">
                  <c:v>0.0138364018527626</c:v>
                </c:pt>
                <c:pt idx="12">
                  <c:v>0.00878698637751599</c:v>
                </c:pt>
                <c:pt idx="13">
                  <c:v>0.00523836045245383</c:v>
                </c:pt>
                <c:pt idx="14">
                  <c:v>0.00290000989771726</c:v>
                </c:pt>
                <c:pt idx="15">
                  <c:v>0.0014709814863</c:v>
                </c:pt>
                <c:pt idx="16">
                  <c:v>0.000672090062127366</c:v>
                </c:pt>
                <c:pt idx="17">
                  <c:v>0.000270618251508451</c:v>
                </c:pt>
                <c:pt idx="18">
                  <c:v>9.33121524954418E-005</c:v>
                </c:pt>
                <c:pt idx="19">
                  <c:v>2.65132842872466E-005</c:v>
                </c:pt>
                <c:pt idx="20">
                  <c:v>5.88720593171591E-006</c:v>
                </c:pt>
                <c:pt idx="21">
                  <c:v>9.47286599675641E-007</c:v>
                </c:pt>
                <c:pt idx="22">
                  <c:v>9.87447024310243E-008</c:v>
                </c:pt>
                <c:pt idx="23">
                  <c:v>5.59628488988457E-009</c:v>
                </c:pt>
                <c:pt idx="24">
                  <c:v>1.28546451703926E-010</c:v>
                </c:pt>
                <c:pt idx="25">
                  <c:v>6.95634738854072E-013</c:v>
                </c:pt>
              </c:numCache>
            </c:numRef>
          </c:yVal>
          <c:smooth val="1"/>
        </c:ser>
        <c:ser>
          <c:idx val="5"/>
          <c:order val="5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6.50000000000001</c:v>
                </c:pt>
                <c:pt idx="1">
                  <c:v>6.85000000000001</c:v>
                </c:pt>
                <c:pt idx="2">
                  <c:v>7.20000000000001</c:v>
                </c:pt>
                <c:pt idx="3">
                  <c:v>7.55000000000001</c:v>
                </c:pt>
                <c:pt idx="4">
                  <c:v>7.90000000000001</c:v>
                </c:pt>
                <c:pt idx="5">
                  <c:v>8.25000000000001</c:v>
                </c:pt>
                <c:pt idx="6">
                  <c:v>8.60000000000001</c:v>
                </c:pt>
                <c:pt idx="7">
                  <c:v>8.95000000000001</c:v>
                </c:pt>
                <c:pt idx="8">
                  <c:v>9.30000000000001</c:v>
                </c:pt>
                <c:pt idx="9">
                  <c:v>9.65000000000001</c:v>
                </c:pt>
                <c:pt idx="10">
                  <c:v>10</c:v>
                </c:pt>
                <c:pt idx="11">
                  <c:v>10.35</c:v>
                </c:pt>
                <c:pt idx="12">
                  <c:v>10.7</c:v>
                </c:pt>
                <c:pt idx="13">
                  <c:v>11.05</c:v>
                </c:pt>
                <c:pt idx="14">
                  <c:v>11.4</c:v>
                </c:pt>
                <c:pt idx="15">
                  <c:v>11.75</c:v>
                </c:pt>
                <c:pt idx="16">
                  <c:v>12.1</c:v>
                </c:pt>
                <c:pt idx="17">
                  <c:v>12.45</c:v>
                </c:pt>
                <c:pt idx="18">
                  <c:v>12.8</c:v>
                </c:pt>
                <c:pt idx="19">
                  <c:v>13.15</c:v>
                </c:pt>
                <c:pt idx="20">
                  <c:v>13.5</c:v>
                </c:pt>
                <c:pt idx="21">
                  <c:v>13.85</c:v>
                </c:pt>
                <c:pt idx="22">
                  <c:v>14.2</c:v>
                </c:pt>
                <c:pt idx="23">
                  <c:v>14.55</c:v>
                </c:pt>
                <c:pt idx="24">
                  <c:v>14.9</c:v>
                </c:pt>
              </c:numCache>
            </c:numRef>
          </c:xVal>
          <c:yVal>
            <c:numRef>
              <c:f>Shimko!$AE$140:$AE$164</c:f>
              <c:numCache>
                <c:formatCode>0.00000E+00</c:formatCode>
                <c:ptCount val="25"/>
                <c:pt idx="0">
                  <c:v>0.106707501495784</c:v>
                </c:pt>
                <c:pt idx="1">
                  <c:v>0.0843813419093104</c:v>
                </c:pt>
                <c:pt idx="2">
                  <c:v>0.0659309573495514</c:v>
                </c:pt>
                <c:pt idx="3">
                  <c:v>0.0510147194755483</c:v>
                </c:pt>
                <c:pt idx="4">
                  <c:v>0.0391617438319668</c:v>
                </c:pt>
                <c:pt idx="5">
                  <c:v>0.0298708357201275</c:v>
                </c:pt>
                <c:pt idx="6">
                  <c:v>0.0226672355377142</c:v>
                </c:pt>
                <c:pt idx="7">
                  <c:v>0.0171305922085315</c:v>
                </c:pt>
                <c:pt idx="8">
                  <c:v>0.0129048236630167</c:v>
                </c:pt>
                <c:pt idx="9">
                  <c:v>0.00969751571539943</c:v>
                </c:pt>
                <c:pt idx="10">
                  <c:v>0.00727395421642025</c:v>
                </c:pt>
                <c:pt idx="11">
                  <c:v>0.00544896158664906</c:v>
                </c:pt>
                <c:pt idx="12">
                  <c:v>0.00407837212241786</c:v>
                </c:pt>
                <c:pt idx="13">
                  <c:v>0.00305110807788724</c:v>
                </c:pt>
                <c:pt idx="14">
                  <c:v>0.00228228124101432</c:v>
                </c:pt>
                <c:pt idx="15">
                  <c:v>0.00170743418106383</c:v>
                </c:pt>
                <c:pt idx="16">
                  <c:v>0.00127787031307013</c:v>
                </c:pt>
                <c:pt idx="17">
                  <c:v>0.000956945674227429</c:v>
                </c:pt>
                <c:pt idx="18">
                  <c:v>0.000717170276653325</c:v>
                </c:pt>
                <c:pt idx="19">
                  <c:v>0.000537969323190886</c:v>
                </c:pt>
                <c:pt idx="20">
                  <c:v>0.000403970063275299</c:v>
                </c:pt>
                <c:pt idx="21">
                  <c:v>0.000303700343503853</c:v>
                </c:pt>
                <c:pt idx="22">
                  <c:v>0.000228605508475257</c:v>
                </c:pt>
                <c:pt idx="23">
                  <c:v>0.000172309061937106</c:v>
                </c:pt>
                <c:pt idx="24">
                  <c:v>0.000130058554388409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"ENA"</c:f>
              <c:strCache>
                <c:ptCount val="1"/>
                <c:pt idx="0">
                  <c:v>ENA</c:v>
                </c:pt>
              </c:strCache>
            </c:strRef>
          </c:tx>
          <c:spPr>
            <a:solidFill>
              <a:srgbClr val="008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</c:v>
                </c:pt>
                <c:pt idx="1">
                  <c:v>3.035</c:v>
                </c:pt>
                <c:pt idx="2">
                  <c:v>3.07</c:v>
                </c:pt>
                <c:pt idx="3">
                  <c:v>3.105</c:v>
                </c:pt>
                <c:pt idx="4">
                  <c:v>3.14</c:v>
                </c:pt>
                <c:pt idx="5">
                  <c:v>3.175</c:v>
                </c:pt>
                <c:pt idx="6">
                  <c:v>3.21</c:v>
                </c:pt>
                <c:pt idx="7">
                  <c:v>3.245</c:v>
                </c:pt>
                <c:pt idx="8">
                  <c:v>3.28</c:v>
                </c:pt>
                <c:pt idx="9">
                  <c:v>3.315</c:v>
                </c:pt>
                <c:pt idx="10">
                  <c:v>3.35</c:v>
                </c:pt>
                <c:pt idx="11">
                  <c:v>3.385</c:v>
                </c:pt>
                <c:pt idx="12">
                  <c:v>3.42</c:v>
                </c:pt>
                <c:pt idx="13">
                  <c:v>3.455</c:v>
                </c:pt>
                <c:pt idx="14">
                  <c:v>3.49</c:v>
                </c:pt>
                <c:pt idx="15">
                  <c:v>3.525</c:v>
                </c:pt>
                <c:pt idx="16">
                  <c:v>3.56</c:v>
                </c:pt>
                <c:pt idx="17">
                  <c:v>3.595</c:v>
                </c:pt>
                <c:pt idx="18">
                  <c:v>3.63</c:v>
                </c:pt>
                <c:pt idx="19">
                  <c:v>3.665</c:v>
                </c:pt>
                <c:pt idx="20">
                  <c:v>3.7</c:v>
                </c:pt>
                <c:pt idx="21">
                  <c:v>3.735</c:v>
                </c:pt>
                <c:pt idx="22">
                  <c:v>3.77</c:v>
                </c:pt>
                <c:pt idx="23">
                  <c:v>3.805</c:v>
                </c:pt>
                <c:pt idx="24">
                  <c:v>3.84</c:v>
                </c:pt>
                <c:pt idx="25">
                  <c:v>3.875</c:v>
                </c:pt>
                <c:pt idx="26">
                  <c:v>3.91</c:v>
                </c:pt>
                <c:pt idx="27">
                  <c:v>3.945</c:v>
                </c:pt>
                <c:pt idx="28">
                  <c:v>3.98</c:v>
                </c:pt>
                <c:pt idx="29">
                  <c:v>4.015</c:v>
                </c:pt>
                <c:pt idx="30">
                  <c:v>4.05</c:v>
                </c:pt>
                <c:pt idx="31">
                  <c:v>4.085</c:v>
                </c:pt>
                <c:pt idx="32">
                  <c:v>4.12</c:v>
                </c:pt>
                <c:pt idx="33">
                  <c:v>4.15500000000001</c:v>
                </c:pt>
                <c:pt idx="34">
                  <c:v>4.19000000000001</c:v>
                </c:pt>
                <c:pt idx="35">
                  <c:v>4.22500000000001</c:v>
                </c:pt>
                <c:pt idx="36">
                  <c:v>4.26000000000001</c:v>
                </c:pt>
                <c:pt idx="37">
                  <c:v>4.29500000000001</c:v>
                </c:pt>
                <c:pt idx="38">
                  <c:v>4.33000000000001</c:v>
                </c:pt>
                <c:pt idx="39">
                  <c:v>4.36500000000001</c:v>
                </c:pt>
                <c:pt idx="40">
                  <c:v>4.40000000000001</c:v>
                </c:pt>
                <c:pt idx="41">
                  <c:v>4.43500000000001</c:v>
                </c:pt>
                <c:pt idx="42">
                  <c:v>4.47000000000001</c:v>
                </c:pt>
                <c:pt idx="43">
                  <c:v>4.50500000000001</c:v>
                </c:pt>
                <c:pt idx="44">
                  <c:v>4.54000000000001</c:v>
                </c:pt>
                <c:pt idx="45">
                  <c:v>4.57500000000001</c:v>
                </c:pt>
                <c:pt idx="46">
                  <c:v>4.61000000000001</c:v>
                </c:pt>
                <c:pt idx="47">
                  <c:v>4.64500000000001</c:v>
                </c:pt>
                <c:pt idx="48">
                  <c:v>4.68000000000001</c:v>
                </c:pt>
                <c:pt idx="49">
                  <c:v>4.71500000000001</c:v>
                </c:pt>
                <c:pt idx="50">
                  <c:v>4.75000000000001</c:v>
                </c:pt>
                <c:pt idx="51">
                  <c:v>4.78500000000001</c:v>
                </c:pt>
                <c:pt idx="52">
                  <c:v>4.82000000000001</c:v>
                </c:pt>
                <c:pt idx="53">
                  <c:v>4.85500000000001</c:v>
                </c:pt>
                <c:pt idx="54">
                  <c:v>4.89000000000001</c:v>
                </c:pt>
                <c:pt idx="55">
                  <c:v>4.92500000000001</c:v>
                </c:pt>
                <c:pt idx="56">
                  <c:v>4.96000000000001</c:v>
                </c:pt>
                <c:pt idx="57">
                  <c:v>4.99500000000001</c:v>
                </c:pt>
                <c:pt idx="58">
                  <c:v>5.03000000000001</c:v>
                </c:pt>
                <c:pt idx="59">
                  <c:v>5.06500000000001</c:v>
                </c:pt>
                <c:pt idx="60">
                  <c:v>5.10000000000001</c:v>
                </c:pt>
                <c:pt idx="61">
                  <c:v>5.13500000000001</c:v>
                </c:pt>
                <c:pt idx="62">
                  <c:v>5.17000000000001</c:v>
                </c:pt>
                <c:pt idx="63">
                  <c:v>5.20500000000001</c:v>
                </c:pt>
                <c:pt idx="64">
                  <c:v>5.24000000000001</c:v>
                </c:pt>
                <c:pt idx="65">
                  <c:v>5.27500000000001</c:v>
                </c:pt>
                <c:pt idx="66">
                  <c:v>5.31000000000001</c:v>
                </c:pt>
                <c:pt idx="67">
                  <c:v>5.34500000000001</c:v>
                </c:pt>
                <c:pt idx="68">
                  <c:v>5.38000000000001</c:v>
                </c:pt>
                <c:pt idx="69">
                  <c:v>5.41500000000001</c:v>
                </c:pt>
                <c:pt idx="70">
                  <c:v>5.45000000000001</c:v>
                </c:pt>
                <c:pt idx="71">
                  <c:v>5.48500000000001</c:v>
                </c:pt>
                <c:pt idx="72">
                  <c:v>5.52000000000001</c:v>
                </c:pt>
                <c:pt idx="73">
                  <c:v>5.55500000000001</c:v>
                </c:pt>
                <c:pt idx="74">
                  <c:v>5.59000000000001</c:v>
                </c:pt>
                <c:pt idx="75">
                  <c:v>5.62500000000001</c:v>
                </c:pt>
                <c:pt idx="76">
                  <c:v>5.66000000000001</c:v>
                </c:pt>
                <c:pt idx="77">
                  <c:v>5.69500000000001</c:v>
                </c:pt>
                <c:pt idx="78">
                  <c:v>5.73000000000001</c:v>
                </c:pt>
                <c:pt idx="79">
                  <c:v>5.76500000000001</c:v>
                </c:pt>
                <c:pt idx="80">
                  <c:v>5.80000000000001</c:v>
                </c:pt>
                <c:pt idx="81">
                  <c:v>5.83500000000001</c:v>
                </c:pt>
                <c:pt idx="82">
                  <c:v>5.87000000000001</c:v>
                </c:pt>
                <c:pt idx="83">
                  <c:v>5.90500000000001</c:v>
                </c:pt>
                <c:pt idx="84">
                  <c:v>5.94000000000001</c:v>
                </c:pt>
                <c:pt idx="85">
                  <c:v>5.97500000000001</c:v>
                </c:pt>
                <c:pt idx="86">
                  <c:v>6.01000000000001</c:v>
                </c:pt>
                <c:pt idx="87">
                  <c:v>6.04500000000001</c:v>
                </c:pt>
                <c:pt idx="88">
                  <c:v>6.08000000000001</c:v>
                </c:pt>
                <c:pt idx="89">
                  <c:v>6.11500000000001</c:v>
                </c:pt>
                <c:pt idx="90">
                  <c:v>6.15000000000001</c:v>
                </c:pt>
                <c:pt idx="91">
                  <c:v>6.18500000000001</c:v>
                </c:pt>
                <c:pt idx="92">
                  <c:v>6.22000000000001</c:v>
                </c:pt>
                <c:pt idx="93">
                  <c:v>6.25500000000001</c:v>
                </c:pt>
                <c:pt idx="94">
                  <c:v>6.29000000000001</c:v>
                </c:pt>
                <c:pt idx="95">
                  <c:v>6.32500000000001</c:v>
                </c:pt>
                <c:pt idx="96">
                  <c:v>6.36000000000001</c:v>
                </c:pt>
                <c:pt idx="97">
                  <c:v>6.39500000000001</c:v>
                </c:pt>
                <c:pt idx="98">
                  <c:v>6.43000000000001</c:v>
                </c:pt>
                <c:pt idx="99">
                  <c:v>6.46500000000001</c:v>
                </c:pt>
                <c:pt idx="100">
                  <c:v>6.50000000000001</c:v>
                </c:pt>
              </c:numCache>
            </c:numRef>
          </c:xVal>
          <c:yVal>
            <c:numRef>
              <c:f>Shimko!$BG$13:$BG$113</c:f>
              <c:numCache>
                <c:formatCode>General</c:formatCode>
                <c:ptCount val="101"/>
              </c:numCache>
            </c:numRef>
          </c:yVal>
          <c:smooth val="1"/>
        </c:ser>
        <c:axId val="20627761"/>
        <c:axId val="15006929"/>
      </c:scatterChart>
      <c:valAx>
        <c:axId val="206277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06929"/>
        <c:crossesAt val="0"/>
        <c:crossBetween val="midCat"/>
      </c:valAx>
      <c:valAx>
        <c:axId val="150069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27761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64437402449983"/>
          <c:y val="0.922536611225234"/>
          <c:w val="0.500543915243816"/>
          <c:h val="0.06076469418858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Implied Normal Probability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Shimko!$AG$13:$AG$113</c:f>
              <c:numCache>
                <c:formatCode>0.000</c:formatCode>
                <c:ptCount val="101"/>
                <c:pt idx="0">
                  <c:v>-1.29759270502319</c:v>
                </c:pt>
                <c:pt idx="1">
                  <c:v>-1.26222501182009</c:v>
                </c:pt>
                <c:pt idx="2">
                  <c:v>-1.22726285393029</c:v>
                </c:pt>
                <c:pt idx="3">
                  <c:v>-1.19269703673209</c:v>
                </c:pt>
                <c:pt idx="4">
                  <c:v>-1.15851867480362</c:v>
                </c:pt>
                <c:pt idx="5">
                  <c:v>-1.1247191782125</c:v>
                </c:pt>
                <c:pt idx="6">
                  <c:v>-1.09129023955719</c:v>
                </c:pt>
                <c:pt idx="7">
                  <c:v>-1.05822382171097</c:v>
                </c:pt>
                <c:pt idx="8">
                  <c:v>-1.0255121462233</c:v>
                </c:pt>
                <c:pt idx="9">
                  <c:v>-0.993147682336953</c:v>
                </c:pt>
                <c:pt idx="10">
                  <c:v>-0.96112313658169</c:v>
                </c:pt>
                <c:pt idx="11">
                  <c:v>-0.929431442908939</c:v>
                </c:pt>
                <c:pt idx="12">
                  <c:v>-0.898065753333808</c:v>
                </c:pt>
                <c:pt idx="13">
                  <c:v>-0.867019429053557</c:v>
                </c:pt>
                <c:pt idx="14">
                  <c:v>-0.836286032013687</c:v>
                </c:pt>
                <c:pt idx="15">
                  <c:v>-0.805859316894835</c:v>
                </c:pt>
                <c:pt idx="16">
                  <c:v>-0.775733223495552</c:v>
                </c:pt>
                <c:pt idx="17">
                  <c:v>-0.745901869487695</c:v>
                </c:pt>
                <c:pt idx="18">
                  <c:v>-0.716359543522793</c:v>
                </c:pt>
                <c:pt idx="19">
                  <c:v>-0.687100698669173</c:v>
                </c:pt>
                <c:pt idx="20">
                  <c:v>-0.658119946160979</c:v>
                </c:pt>
                <c:pt idx="21">
                  <c:v>-0.629412049441466</c:v>
                </c:pt>
                <c:pt idx="22">
                  <c:v>-0.600971918484105</c:v>
                </c:pt>
                <c:pt idx="23">
                  <c:v>-0.572794604376086</c:v>
                </c:pt>
                <c:pt idx="24">
                  <c:v>-0.544875294149811</c:v>
                </c:pt>
                <c:pt idx="25">
                  <c:v>-0.517209305848871</c:v>
                </c:pt>
                <c:pt idx="26">
                  <c:v>-0.489792083815854</c:v>
                </c:pt>
                <c:pt idx="27">
                  <c:v>-0.462619194190133</c:v>
                </c:pt>
                <c:pt idx="28">
                  <c:v>-0.435686320604491</c:v>
                </c:pt>
                <c:pt idx="29">
                  <c:v>-0.408989260070144</c:v>
                </c:pt>
                <c:pt idx="30">
                  <c:v>-0.382523919040356</c:v>
                </c:pt>
                <c:pt idx="31">
                  <c:v>-0.356286309643412</c:v>
                </c:pt>
                <c:pt idx="32">
                  <c:v>-0.330272546076296</c:v>
                </c:pt>
                <c:pt idx="33">
                  <c:v>-0.304478841150895</c:v>
                </c:pt>
                <c:pt idx="34">
                  <c:v>-0.278901502985075</c:v>
                </c:pt>
                <c:pt idx="35">
                  <c:v>-0.253536931831388</c:v>
                </c:pt>
                <c:pt idx="36">
                  <c:v>-0.228381617036588</c:v>
                </c:pt>
                <c:pt idx="37">
                  <c:v>-0.203432134125554</c:v>
                </c:pt>
                <c:pt idx="38">
                  <c:v>-0.178685142003543</c:v>
                </c:pt>
                <c:pt idx="39">
                  <c:v>-0.154137380271065</c:v>
                </c:pt>
                <c:pt idx="40">
                  <c:v>-0.129785666645988</c:v>
                </c:pt>
                <c:pt idx="41">
                  <c:v>-0.105626894487765</c:v>
                </c:pt>
                <c:pt idx="42">
                  <c:v>-0.0816580304189695</c:v>
                </c:pt>
                <c:pt idx="43">
                  <c:v>-0.0578761120395975</c:v>
                </c:pt>
                <c:pt idx="44">
                  <c:v>-0.0342782457298046</c:v>
                </c:pt>
                <c:pt idx="45">
                  <c:v>-0.0108616045370268</c:v>
                </c:pt>
                <c:pt idx="46">
                  <c:v>0.0123765738563881</c:v>
                </c:pt>
                <c:pt idx="47">
                  <c:v>0.0354389890886871</c:v>
                </c:pt>
                <c:pt idx="48">
                  <c:v>0.0583282800008193</c:v>
                </c:pt>
                <c:pt idx="49">
                  <c:v>0.0810470264484248</c:v>
                </c:pt>
                <c:pt idx="50">
                  <c:v>0.10359775104682</c:v>
                </c:pt>
                <c:pt idx="51">
                  <c:v>0.125982920851925</c:v>
                </c:pt>
                <c:pt idx="52">
                  <c:v>0.148204948979939</c:v>
                </c:pt>
                <c:pt idx="53">
                  <c:v>0.170266196168422</c:v>
                </c:pt>
                <c:pt idx="54">
                  <c:v>0.192168972281303</c:v>
                </c:pt>
                <c:pt idx="55">
                  <c:v>0.213915537760229</c:v>
                </c:pt>
                <c:pt idx="56">
                  <c:v>0.235508105024511</c:v>
                </c:pt>
                <c:pt idx="57">
                  <c:v>0.256948839821858</c:v>
                </c:pt>
                <c:pt idx="58">
                  <c:v>0.278239862531951</c:v>
                </c:pt>
                <c:pt idx="59">
                  <c:v>0.299383249424818</c:v>
                </c:pt>
                <c:pt idx="60">
                  <c:v>0.320381033875881</c:v>
                </c:pt>
                <c:pt idx="61">
                  <c:v>0.341235207539452</c:v>
                </c:pt>
                <c:pt idx="62">
                  <c:v>0.361947721482369</c:v>
                </c:pt>
                <c:pt idx="63">
                  <c:v>0.382520487279393</c:v>
                </c:pt>
                <c:pt idx="64">
                  <c:v>0.402955378071891</c:v>
                </c:pt>
                <c:pt idx="65">
                  <c:v>0.42325422959129</c:v>
                </c:pt>
                <c:pt idx="66">
                  <c:v>0.443418841148677</c:v>
                </c:pt>
                <c:pt idx="67">
                  <c:v>0.463450976591899</c:v>
                </c:pt>
                <c:pt idx="68">
                  <c:v>0.483352365231429</c:v>
                </c:pt>
                <c:pt idx="69">
                  <c:v>0.503124702736205</c:v>
                </c:pt>
                <c:pt idx="70">
                  <c:v>0.522769652000619</c:v>
                </c:pt>
                <c:pt idx="71">
                  <c:v>0.542288843983753</c:v>
                </c:pt>
                <c:pt idx="72">
                  <c:v>0.561683878521918</c:v>
                </c:pt>
                <c:pt idx="73">
                  <c:v>0.58095632511552</c:v>
                </c:pt>
                <c:pt idx="74">
                  <c:v>0.600107723691214</c:v>
                </c:pt>
                <c:pt idx="75">
                  <c:v>0.619139585340272</c:v>
                </c:pt>
                <c:pt idx="76">
                  <c:v>0.638053393034046</c:v>
                </c:pt>
                <c:pt idx="77">
                  <c:v>0.656850602317384</c:v>
                </c:pt>
                <c:pt idx="78">
                  <c:v>0.675532641980799</c:v>
                </c:pt>
                <c:pt idx="79">
                  <c:v>0.694100914712171</c:v>
                </c:pt>
                <c:pt idx="80">
                  <c:v>0.712556797728729</c:v>
                </c:pt>
                <c:pt idx="81">
                  <c:v>0.730901643390021</c:v>
                </c:pt>
                <c:pt idx="82">
                  <c:v>0.749136779792549</c:v>
                </c:pt>
                <c:pt idx="83">
                  <c:v>0.767263511346739</c:v>
                </c:pt>
                <c:pt idx="84">
                  <c:v>0.785283119336849</c:v>
                </c:pt>
                <c:pt idx="85">
                  <c:v>0.803196862464445</c:v>
                </c:pt>
                <c:pt idx="86">
                  <c:v>0.821005977375994</c:v>
                </c:pt>
                <c:pt idx="87">
                  <c:v>0.838711679175141</c:v>
                </c:pt>
                <c:pt idx="88">
                  <c:v>0.856315161920201</c:v>
                </c:pt>
                <c:pt idx="89">
                  <c:v>0.873817599107373</c:v>
                </c:pt>
                <c:pt idx="90">
                  <c:v>0.89122014414016</c:v>
                </c:pt>
                <c:pt idx="91">
                  <c:v>0.908523930785473</c:v>
                </c:pt>
                <c:pt idx="92">
                  <c:v>0.925730073616866</c:v>
                </c:pt>
                <c:pt idx="93">
                  <c:v>0.942839668445335</c:v>
                </c:pt>
                <c:pt idx="94">
                  <c:v>0.959853792738095</c:v>
                </c:pt>
                <c:pt idx="95">
                  <c:v>0.97677350602574</c:v>
                </c:pt>
                <c:pt idx="96">
                  <c:v>0.993599850298174</c:v>
                </c:pt>
                <c:pt idx="97">
                  <c:v>1.01033385038966</c:v>
                </c:pt>
                <c:pt idx="98">
                  <c:v>1.0269765143534</c:v>
                </c:pt>
                <c:pt idx="99">
                  <c:v>1.04352883382588</c:v>
                </c:pt>
                <c:pt idx="100">
                  <c:v>1.05999178438145</c:v>
                </c:pt>
              </c:numCache>
            </c:numRef>
          </c:xVal>
          <c:yVal>
            <c:numRef>
              <c:f>Shimko!$AK$13:$AK$113</c:f>
              <c:numCache>
                <c:formatCode>0.000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Shimko!$AM$13:$AM$75</c:f>
              <c:numCache>
                <c:formatCode>0.000</c:formatCode>
                <c:ptCount val="63"/>
                <c:pt idx="0">
                  <c:v>-3.1</c:v>
                </c:pt>
                <c:pt idx="1">
                  <c:v>-3</c:v>
                </c:pt>
                <c:pt idx="2">
                  <c:v>-2.9</c:v>
                </c:pt>
                <c:pt idx="3">
                  <c:v>-2.8</c:v>
                </c:pt>
                <c:pt idx="4">
                  <c:v>-2.7</c:v>
                </c:pt>
                <c:pt idx="5">
                  <c:v>-2.6</c:v>
                </c:pt>
                <c:pt idx="6">
                  <c:v>-2.5</c:v>
                </c:pt>
                <c:pt idx="7">
                  <c:v>-2.4</c:v>
                </c:pt>
                <c:pt idx="8">
                  <c:v>-2.3</c:v>
                </c:pt>
                <c:pt idx="9">
                  <c:v>-2.2</c:v>
                </c:pt>
                <c:pt idx="10">
                  <c:v>-2.1</c:v>
                </c:pt>
                <c:pt idx="11">
                  <c:v>-2</c:v>
                </c:pt>
                <c:pt idx="12">
                  <c:v>-1.9</c:v>
                </c:pt>
                <c:pt idx="13">
                  <c:v>-1.8</c:v>
                </c:pt>
                <c:pt idx="14">
                  <c:v>-1.7</c:v>
                </c:pt>
                <c:pt idx="15">
                  <c:v>-1.6</c:v>
                </c:pt>
                <c:pt idx="16">
                  <c:v>-1.5</c:v>
                </c:pt>
                <c:pt idx="17">
                  <c:v>-1.4</c:v>
                </c:pt>
                <c:pt idx="18">
                  <c:v>-1.3</c:v>
                </c:pt>
                <c:pt idx="19">
                  <c:v>-1.2</c:v>
                </c:pt>
                <c:pt idx="20">
                  <c:v>-1.1</c:v>
                </c:pt>
                <c:pt idx="21">
                  <c:v>-1</c:v>
                </c:pt>
                <c:pt idx="22">
                  <c:v>-0.9</c:v>
                </c:pt>
                <c:pt idx="23">
                  <c:v>-0.8</c:v>
                </c:pt>
                <c:pt idx="24">
                  <c:v>-0.7</c:v>
                </c:pt>
                <c:pt idx="25">
                  <c:v>-0.6</c:v>
                </c:pt>
                <c:pt idx="26">
                  <c:v>-0.5</c:v>
                </c:pt>
                <c:pt idx="27">
                  <c:v>-0.4</c:v>
                </c:pt>
                <c:pt idx="28">
                  <c:v>-0.3</c:v>
                </c:pt>
                <c:pt idx="29">
                  <c:v>-0.2</c:v>
                </c:pt>
                <c:pt idx="30">
                  <c:v>-0.1</c:v>
                </c:pt>
                <c:pt idx="31">
                  <c:v>0</c:v>
                </c:pt>
                <c:pt idx="32">
                  <c:v>0.1</c:v>
                </c:pt>
                <c:pt idx="33">
                  <c:v>0.2</c:v>
                </c:pt>
                <c:pt idx="34">
                  <c:v>0.3</c:v>
                </c:pt>
                <c:pt idx="35">
                  <c:v>0.4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0.8</c:v>
                </c:pt>
                <c:pt idx="40">
                  <c:v>0.9</c:v>
                </c:pt>
                <c:pt idx="41">
                  <c:v>1</c:v>
                </c:pt>
                <c:pt idx="42">
                  <c:v>1.1</c:v>
                </c:pt>
                <c:pt idx="43">
                  <c:v>1.2</c:v>
                </c:pt>
                <c:pt idx="44">
                  <c:v>1.3</c:v>
                </c:pt>
                <c:pt idx="45">
                  <c:v>1.4</c:v>
                </c:pt>
                <c:pt idx="46">
                  <c:v>1.5</c:v>
                </c:pt>
                <c:pt idx="47">
                  <c:v>1.6</c:v>
                </c:pt>
                <c:pt idx="48">
                  <c:v>1.7</c:v>
                </c:pt>
                <c:pt idx="49">
                  <c:v>1.8</c:v>
                </c:pt>
                <c:pt idx="50">
                  <c:v>1.9</c:v>
                </c:pt>
                <c:pt idx="51">
                  <c:v>2</c:v>
                </c:pt>
                <c:pt idx="52">
                  <c:v>2.1</c:v>
                </c:pt>
                <c:pt idx="53">
                  <c:v>2.2</c:v>
                </c:pt>
                <c:pt idx="54">
                  <c:v>2.3</c:v>
                </c:pt>
                <c:pt idx="55">
                  <c:v>2.40000000000001</c:v>
                </c:pt>
                <c:pt idx="56">
                  <c:v>2.5</c:v>
                </c:pt>
                <c:pt idx="57">
                  <c:v>2.6</c:v>
                </c:pt>
                <c:pt idx="58">
                  <c:v>2.70000000000001</c:v>
                </c:pt>
                <c:pt idx="59">
                  <c:v>2.80000000000001</c:v>
                </c:pt>
                <c:pt idx="60">
                  <c:v>2.90000000000001</c:v>
                </c:pt>
                <c:pt idx="61">
                  <c:v>3</c:v>
                </c:pt>
                <c:pt idx="62">
                  <c:v>3.10000000000001</c:v>
                </c:pt>
              </c:numCache>
            </c:numRef>
          </c:xVal>
          <c:yVal>
            <c:numRef>
              <c:f>Shimko!$AN$13:$AN$75</c:f>
              <c:numCache>
                <c:formatCode>0.000</c:formatCode>
                <c:ptCount val="63"/>
                <c:pt idx="0">
                  <c:v>0.00326681905619992</c:v>
                </c:pt>
                <c:pt idx="1">
                  <c:v>0.00443184841193801</c:v>
                </c:pt>
                <c:pt idx="2">
                  <c:v>0.00595253241977585</c:v>
                </c:pt>
                <c:pt idx="3">
                  <c:v>0.00791545158297997</c:v>
                </c:pt>
                <c:pt idx="4">
                  <c:v>0.0104209348144226</c:v>
                </c:pt>
                <c:pt idx="5">
                  <c:v>0.0135829692336856</c:v>
                </c:pt>
                <c:pt idx="6">
                  <c:v>0.0175283004935685</c:v>
                </c:pt>
                <c:pt idx="7">
                  <c:v>0.0223945302948429</c:v>
                </c:pt>
                <c:pt idx="8">
                  <c:v>0.0283270377416012</c:v>
                </c:pt>
                <c:pt idx="9">
                  <c:v>0.0354745928462314</c:v>
                </c:pt>
                <c:pt idx="10">
                  <c:v>0.0439835959804272</c:v>
                </c:pt>
                <c:pt idx="11">
                  <c:v>0.0539909665131881</c:v>
                </c:pt>
                <c:pt idx="12">
                  <c:v>0.0656158147746766</c:v>
                </c:pt>
                <c:pt idx="13">
                  <c:v>0.0789501583008942</c:v>
                </c:pt>
                <c:pt idx="14">
                  <c:v>0.094049077376887</c:v>
                </c:pt>
                <c:pt idx="15">
                  <c:v>0.110920834679456</c:v>
                </c:pt>
                <c:pt idx="16">
                  <c:v>0.129517595665892</c:v>
                </c:pt>
                <c:pt idx="17">
                  <c:v>0.149727465635745</c:v>
                </c:pt>
                <c:pt idx="18">
                  <c:v>0.171368592047807</c:v>
                </c:pt>
                <c:pt idx="19">
                  <c:v>0.194186054983213</c:v>
                </c:pt>
                <c:pt idx="20">
                  <c:v>0.217852177032551</c:v>
                </c:pt>
                <c:pt idx="21">
                  <c:v>0.241970724519143</c:v>
                </c:pt>
                <c:pt idx="22">
                  <c:v>0.266085249898755</c:v>
                </c:pt>
                <c:pt idx="23">
                  <c:v>0.289691552761483</c:v>
                </c:pt>
                <c:pt idx="24">
                  <c:v>0.312253933366761</c:v>
                </c:pt>
                <c:pt idx="25">
                  <c:v>0.3332246028918</c:v>
                </c:pt>
                <c:pt idx="26">
                  <c:v>0.3520653267643</c:v>
                </c:pt>
                <c:pt idx="27">
                  <c:v>0.368270140303323</c:v>
                </c:pt>
                <c:pt idx="28">
                  <c:v>0.381387815460524</c:v>
                </c:pt>
                <c:pt idx="29">
                  <c:v>0.391042693975456</c:v>
                </c:pt>
                <c:pt idx="30">
                  <c:v>0.396952547477012</c:v>
                </c:pt>
                <c:pt idx="31">
                  <c:v>0.398942280401433</c:v>
                </c:pt>
                <c:pt idx="32">
                  <c:v>0.396952547477012</c:v>
                </c:pt>
                <c:pt idx="33">
                  <c:v>0.391042693975456</c:v>
                </c:pt>
                <c:pt idx="34">
                  <c:v>0.381387815460524</c:v>
                </c:pt>
                <c:pt idx="35">
                  <c:v>0.368270140303323</c:v>
                </c:pt>
                <c:pt idx="36">
                  <c:v>0.3520653267643</c:v>
                </c:pt>
                <c:pt idx="37">
                  <c:v>0.3332246028918</c:v>
                </c:pt>
                <c:pt idx="38">
                  <c:v>0.312253933366761</c:v>
                </c:pt>
                <c:pt idx="39">
                  <c:v>0.289691552761483</c:v>
                </c:pt>
                <c:pt idx="40">
                  <c:v>0.266085249898755</c:v>
                </c:pt>
                <c:pt idx="41">
                  <c:v>0.241970724519143</c:v>
                </c:pt>
                <c:pt idx="42">
                  <c:v>0.217852177032551</c:v>
                </c:pt>
                <c:pt idx="43">
                  <c:v>0.194186054983213</c:v>
                </c:pt>
                <c:pt idx="44">
                  <c:v>0.171368592047807</c:v>
                </c:pt>
                <c:pt idx="45">
                  <c:v>0.149727465635745</c:v>
                </c:pt>
                <c:pt idx="46">
                  <c:v>0.129517595665892</c:v>
                </c:pt>
                <c:pt idx="47">
                  <c:v>0.110920834679456</c:v>
                </c:pt>
                <c:pt idx="48">
                  <c:v>0.094049077376887</c:v>
                </c:pt>
                <c:pt idx="49">
                  <c:v>0.0789501583008942</c:v>
                </c:pt>
                <c:pt idx="50">
                  <c:v>0.0656158147746766</c:v>
                </c:pt>
                <c:pt idx="51">
                  <c:v>0.0539909665131881</c:v>
                </c:pt>
                <c:pt idx="52">
                  <c:v>0.0439835959804272</c:v>
                </c:pt>
                <c:pt idx="53">
                  <c:v>0.0354745928462314</c:v>
                </c:pt>
                <c:pt idx="54">
                  <c:v>0.0283270377416012</c:v>
                </c:pt>
                <c:pt idx="55">
                  <c:v>0.0223945302948424</c:v>
                </c:pt>
                <c:pt idx="56">
                  <c:v>0.0175283004935685</c:v>
                </c:pt>
                <c:pt idx="57">
                  <c:v>0.0135829692336856</c:v>
                </c:pt>
                <c:pt idx="58">
                  <c:v>0.0104209348144223</c:v>
                </c:pt>
                <c:pt idx="59">
                  <c:v>0.00791545158297974</c:v>
                </c:pt>
                <c:pt idx="60">
                  <c:v>0.00595253241977568</c:v>
                </c:pt>
                <c:pt idx="61">
                  <c:v>0.00443184841193801</c:v>
                </c:pt>
                <c:pt idx="62">
                  <c:v>0.00326681905619982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Shimko!$AG$114:$AG$139</c:f>
              <c:numCache>
                <c:formatCode>0.000</c:formatCode>
                <c:ptCount val="26"/>
                <c:pt idx="0">
                  <c:v>-1.29759270502319</c:v>
                </c:pt>
                <c:pt idx="1">
                  <c:v>-1.36832023970533</c:v>
                </c:pt>
                <c:pt idx="2">
                  <c:v>-1.43904777438747</c:v>
                </c:pt>
                <c:pt idx="3">
                  <c:v>-1.50977530906961</c:v>
                </c:pt>
                <c:pt idx="4">
                  <c:v>-1.58050284375175</c:v>
                </c:pt>
                <c:pt idx="5">
                  <c:v>-1.65123037843389</c:v>
                </c:pt>
                <c:pt idx="6">
                  <c:v>-1.72195791311603</c:v>
                </c:pt>
                <c:pt idx="7">
                  <c:v>-1.79268544779817</c:v>
                </c:pt>
                <c:pt idx="8">
                  <c:v>-1.86341298248031</c:v>
                </c:pt>
                <c:pt idx="9">
                  <c:v>-1.93414051716245</c:v>
                </c:pt>
                <c:pt idx="10">
                  <c:v>-2.00486805184458</c:v>
                </c:pt>
                <c:pt idx="11">
                  <c:v>-2.07559558652672</c:v>
                </c:pt>
                <c:pt idx="12">
                  <c:v>-2.14632312120886</c:v>
                </c:pt>
                <c:pt idx="13">
                  <c:v>-2.217050655891</c:v>
                </c:pt>
                <c:pt idx="14">
                  <c:v>-2.28777819057314</c:v>
                </c:pt>
                <c:pt idx="15">
                  <c:v>-2.35850572525528</c:v>
                </c:pt>
                <c:pt idx="16">
                  <c:v>-2.42923325993742</c:v>
                </c:pt>
                <c:pt idx="17">
                  <c:v>-2.49996079461956</c:v>
                </c:pt>
                <c:pt idx="18">
                  <c:v>-2.5706883293017</c:v>
                </c:pt>
                <c:pt idx="19">
                  <c:v>-2.64141586398384</c:v>
                </c:pt>
                <c:pt idx="20">
                  <c:v>-2.71214339866598</c:v>
                </c:pt>
                <c:pt idx="21">
                  <c:v>-2.78287093334812</c:v>
                </c:pt>
                <c:pt idx="22">
                  <c:v>-2.85359846803026</c:v>
                </c:pt>
                <c:pt idx="23">
                  <c:v>-2.92432600271239</c:v>
                </c:pt>
                <c:pt idx="24">
                  <c:v>-2.99505353739453</c:v>
                </c:pt>
                <c:pt idx="25">
                  <c:v>-3.06578107207667</c:v>
                </c:pt>
              </c:numCache>
            </c:numRef>
          </c:xVal>
          <c:yVal>
            <c:numRef>
              <c:f>Shimko!$AK$114:$AK$139</c:f>
              <c:numCache>
                <c:formatCode>0.000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Shimko!$AG$140:$AG$164</c:f>
              <c:numCache>
                <c:formatCode>0.000</c:formatCode>
                <c:ptCount val="25"/>
                <c:pt idx="0">
                  <c:v>1.05999178438145</c:v>
                </c:pt>
                <c:pt idx="1">
                  <c:v>1.29575023332191</c:v>
                </c:pt>
                <c:pt idx="2">
                  <c:v>1.53150868226237</c:v>
                </c:pt>
                <c:pt idx="3">
                  <c:v>1.76726713120284</c:v>
                </c:pt>
                <c:pt idx="4">
                  <c:v>2.0030255801433</c:v>
                </c:pt>
                <c:pt idx="5">
                  <c:v>2.23878402908377</c:v>
                </c:pt>
                <c:pt idx="6">
                  <c:v>2.47454247802423</c:v>
                </c:pt>
                <c:pt idx="7">
                  <c:v>2.71030092696469</c:v>
                </c:pt>
                <c:pt idx="8">
                  <c:v>2.94605937590516</c:v>
                </c:pt>
                <c:pt idx="9">
                  <c:v>3.18181782484562</c:v>
                </c:pt>
                <c:pt idx="10">
                  <c:v>3.41757627378609</c:v>
                </c:pt>
                <c:pt idx="11">
                  <c:v>3.65333472272655</c:v>
                </c:pt>
                <c:pt idx="12">
                  <c:v>3.88909317166701</c:v>
                </c:pt>
                <c:pt idx="13">
                  <c:v>4.12485162060748</c:v>
                </c:pt>
                <c:pt idx="14">
                  <c:v>4.36061006954794</c:v>
                </c:pt>
                <c:pt idx="15">
                  <c:v>4.59636851848841</c:v>
                </c:pt>
                <c:pt idx="16">
                  <c:v>4.83212696742887</c:v>
                </c:pt>
                <c:pt idx="17">
                  <c:v>5.06788541636933</c:v>
                </c:pt>
                <c:pt idx="18">
                  <c:v>5.3036438653098</c:v>
                </c:pt>
                <c:pt idx="19">
                  <c:v>5.53940231425026</c:v>
                </c:pt>
                <c:pt idx="20">
                  <c:v>5.77516076319073</c:v>
                </c:pt>
                <c:pt idx="21">
                  <c:v>6.01091921213119</c:v>
                </c:pt>
                <c:pt idx="22">
                  <c:v>6.24667766107165</c:v>
                </c:pt>
                <c:pt idx="23">
                  <c:v>6.48243611001212</c:v>
                </c:pt>
                <c:pt idx="24">
                  <c:v>6.71819455895258</c:v>
                </c:pt>
              </c:numCache>
            </c:numRef>
          </c:xVal>
          <c:yVal>
            <c:numRef>
              <c:f>Shimko!$AK$140:$AK$164</c:f>
              <c:numCache>
                <c:formatCode>0.000</c:formatCode>
                <c:ptCount val="25"/>
              </c:numCache>
            </c:numRef>
          </c:yVal>
          <c:smooth val="1"/>
        </c:ser>
        <c:axId val="92518101"/>
        <c:axId val="72644403"/>
      </c:scatterChart>
      <c:valAx>
        <c:axId val="925181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Transformed Variable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44403"/>
        <c:crossesAt val="0"/>
        <c:crossBetween val="midCat"/>
      </c:valAx>
      <c:valAx>
        <c:axId val="726444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18101"/>
        <c:crossesAt val="-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3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10</xdr:row>
      <xdr:rowOff>75960</xdr:rowOff>
    </xdr:from>
    <xdr:to>
      <xdr:col>7</xdr:col>
      <xdr:colOff>339840</xdr:colOff>
      <xdr:row>25</xdr:row>
      <xdr:rowOff>133200</xdr:rowOff>
    </xdr:to>
    <xdr:graphicFrame>
      <xdr:nvGraphicFramePr>
        <xdr:cNvPr id="0" name="Chart 1"/>
        <xdr:cNvGraphicFramePr/>
      </xdr:nvGraphicFramePr>
      <xdr:xfrm>
        <a:off x="150840" y="1942920"/>
        <a:ext cx="440532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608400</xdr:colOff>
          <xdr:row>3</xdr:row>
          <xdr:rowOff>37800</xdr:rowOff>
        </xdr:from>
        <xdr:to>
          <xdr:col>13</xdr:col>
          <xdr:colOff>609120</xdr:colOff>
          <xdr:row>6</xdr:row>
          <xdr:rowOff>75960</xdr:rowOff>
        </xdr:to>
        <xdr:sp>
          <xdr:nvSpPr>
            <xdr:cNvPr id="1001" name="Button 2" descr="Fit Polynomi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Polynomials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18720</xdr:rowOff>
        </xdr:from>
        <xdr:to>
          <xdr:col>5</xdr:col>
          <xdr:colOff>578880</xdr:colOff>
          <xdr:row>4</xdr:row>
          <xdr:rowOff>56880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677160</xdr:colOff>
      <xdr:row>6</xdr:row>
      <xdr:rowOff>32760</xdr:rowOff>
    </xdr:from>
    <xdr:to>
      <xdr:col>6</xdr:col>
      <xdr:colOff>276840</xdr:colOff>
      <xdr:row>8</xdr:row>
      <xdr:rowOff>32760</xdr:rowOff>
    </xdr:to>
    <xdr:sp>
      <xdr:nvSpPr>
        <xdr:cNvPr id="2" name="Text 1"/>
        <xdr:cNvSpPr/>
      </xdr:nvSpPr>
      <xdr:spPr>
        <a:xfrm>
          <a:off x="3928320" y="1008000"/>
          <a:ext cx="122544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Third-order polynomial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3" min="3" style="0" width="10.41"/>
    <col collapsed="false" customWidth="true" hidden="false" outlineLevel="0" max="15" min="15" style="0" width="2.28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3"/>
      <c r="K1" s="4"/>
      <c r="L1" s="1"/>
      <c r="M1" s="1"/>
      <c r="N1" s="1"/>
      <c r="O1" s="5"/>
      <c r="P1" s="1"/>
      <c r="R1" s="0" t="str">
        <f aca="false">TEXT(Contract,"mmm-yy")&amp;IF(Commodity="NG"," Natural Gas"," Nymex")&amp;" Price Distributions"</f>
        <v>Oct-01 Natural Gas Price Distributions</v>
      </c>
    </row>
    <row r="2" customFormat="false" ht="12.75" hidden="false" customHeight="false" outlineLevel="0" collapsed="false">
      <c r="A2" s="1"/>
      <c r="B2" s="6"/>
      <c r="C2" s="6"/>
      <c r="D2" s="6"/>
      <c r="E2" s="6"/>
      <c r="F2" s="6"/>
      <c r="G2" s="6"/>
      <c r="H2" s="6"/>
      <c r="I2" s="1"/>
      <c r="J2" s="7" t="s">
        <v>1</v>
      </c>
      <c r="K2" s="8" t="n">
        <f aca="false">VLOOKUP(0,ImpVolTable,2)</f>
        <v>0.51695810061</v>
      </c>
      <c r="L2" s="1"/>
      <c r="M2" s="1"/>
      <c r="N2" s="1"/>
      <c r="O2" s="5"/>
      <c r="P2" s="1"/>
      <c r="Q2" s="9"/>
      <c r="R2" s="0" t="str">
        <f aca="false">INDEX(W2:W5,W6,0)&amp;"-order polynomial"</f>
        <v>Third-order polynomial</v>
      </c>
      <c r="W2" s="0" t="s">
        <v>2</v>
      </c>
    </row>
    <row r="3" customFormat="false" ht="14.25" hidden="false" customHeight="false" outlineLevel="0" collapsed="false">
      <c r="A3" s="1"/>
      <c r="B3" s="10" t="s">
        <v>3</v>
      </c>
      <c r="C3" s="11" t="n">
        <v>37012</v>
      </c>
      <c r="D3" s="5"/>
      <c r="E3" s="12" t="s">
        <v>4</v>
      </c>
      <c r="F3" s="5"/>
      <c r="G3" s="5"/>
      <c r="H3" s="13"/>
      <c r="I3" s="3"/>
      <c r="J3" s="7" t="s">
        <v>5</v>
      </c>
      <c r="K3" s="8" t="n">
        <v>0.525</v>
      </c>
      <c r="L3" s="1"/>
      <c r="M3" s="1"/>
      <c r="N3" s="1"/>
      <c r="O3" s="5"/>
      <c r="P3" s="5"/>
      <c r="W3" s="0" t="s">
        <v>6</v>
      </c>
    </row>
    <row r="4" customFormat="false" ht="12.75" hidden="false" customHeight="false" outlineLevel="0" collapsed="false">
      <c r="A4" s="1"/>
      <c r="B4" s="10" t="s">
        <v>7</v>
      </c>
      <c r="C4" s="11" t="n">
        <f aca="false">VLOOKUP(Contract,ExpiryTable,MATCH(Commodity,expiry!C2:E2)+2)</f>
        <v>37159</v>
      </c>
      <c r="D4" s="5"/>
      <c r="E4" s="5"/>
      <c r="F4" s="5"/>
      <c r="G4" s="5"/>
      <c r="H4" s="14"/>
      <c r="I4" s="3"/>
      <c r="J4" s="10" t="s">
        <v>8</v>
      </c>
      <c r="K4" s="15" t="s">
        <v>9</v>
      </c>
      <c r="L4" s="1"/>
      <c r="M4" s="1"/>
      <c r="N4" s="1"/>
      <c r="O4" s="5"/>
      <c r="P4" s="5"/>
      <c r="W4" s="0" t="s">
        <v>10</v>
      </c>
    </row>
    <row r="5" customFormat="false" ht="12.75" hidden="false" customHeight="false" outlineLevel="0" collapsed="false">
      <c r="A5" s="1"/>
      <c r="B5" s="10" t="s">
        <v>11</v>
      </c>
      <c r="C5" s="16" t="n">
        <v>4.845</v>
      </c>
      <c r="D5" s="5"/>
      <c r="E5" s="5"/>
      <c r="F5" s="5"/>
      <c r="G5" s="5"/>
      <c r="H5" s="17"/>
      <c r="I5" s="18"/>
      <c r="J5" s="19" t="s">
        <v>12</v>
      </c>
      <c r="K5" s="20" t="n">
        <v>37165</v>
      </c>
      <c r="L5" s="5"/>
      <c r="M5" s="5"/>
      <c r="N5" s="5"/>
      <c r="O5" s="1"/>
      <c r="P5" s="5"/>
      <c r="W5" s="0" t="s">
        <v>13</v>
      </c>
    </row>
    <row r="6" customFormat="false" ht="12.75" hidden="false" customHeight="false" outlineLevel="0" collapsed="false">
      <c r="A6" s="1"/>
      <c r="B6" s="10" t="s">
        <v>14</v>
      </c>
      <c r="C6" s="21" t="n">
        <v>0.0431</v>
      </c>
      <c r="D6" s="22"/>
      <c r="E6" s="22"/>
      <c r="F6" s="22"/>
      <c r="G6" s="22"/>
      <c r="H6" s="22"/>
      <c r="I6" s="18"/>
      <c r="J6" s="5"/>
      <c r="K6" s="5"/>
      <c r="L6" s="5"/>
      <c r="M6" s="5"/>
      <c r="N6" s="5"/>
      <c r="O6" s="23"/>
      <c r="P6" s="1"/>
      <c r="W6" s="0" t="n">
        <v>2</v>
      </c>
    </row>
    <row r="7" customFormat="false" ht="12.75" hidden="false" customHeight="false" outlineLevel="0" collapsed="false">
      <c r="A7" s="1"/>
      <c r="B7" s="24" t="s">
        <v>15</v>
      </c>
      <c r="C7" s="21" t="n">
        <v>0.0431</v>
      </c>
      <c r="D7" s="25"/>
      <c r="E7" s="26"/>
      <c r="F7" s="26"/>
      <c r="G7" s="26"/>
      <c r="H7" s="26"/>
      <c r="I7" s="18"/>
      <c r="J7" s="5"/>
      <c r="K7" s="5"/>
      <c r="L7" s="5"/>
      <c r="M7" s="5"/>
      <c r="N7" s="5"/>
      <c r="O7" s="5"/>
      <c r="P7" s="1"/>
      <c r="W7" s="0" t="n">
        <f aca="false">+W6+1</f>
        <v>3</v>
      </c>
    </row>
    <row r="8" customFormat="false" ht="25.5" hidden="false" customHeight="false" outlineLevel="0" collapsed="false">
      <c r="A8" s="1"/>
      <c r="B8" s="27" t="s">
        <v>16</v>
      </c>
      <c r="C8" s="28"/>
      <c r="D8" s="28"/>
      <c r="E8" s="28"/>
      <c r="F8" s="28"/>
      <c r="G8" s="29"/>
      <c r="H8" s="26"/>
      <c r="I8" s="18"/>
      <c r="J8" s="30" t="s">
        <v>17</v>
      </c>
      <c r="K8" s="30" t="s">
        <v>18</v>
      </c>
      <c r="L8" s="30" t="s">
        <v>19</v>
      </c>
      <c r="M8" s="31" t="s">
        <v>20</v>
      </c>
      <c r="N8" s="31" t="s">
        <v>21</v>
      </c>
      <c r="O8" s="5"/>
      <c r="P8" s="1"/>
    </row>
    <row r="9" customFormat="false" ht="12.75" hidden="false" customHeight="false" outlineLevel="0" collapsed="false">
      <c r="A9" s="1"/>
      <c r="B9" s="32" t="n">
        <v>-0.3</v>
      </c>
      <c r="C9" s="32" t="n">
        <v>-0.2</v>
      </c>
      <c r="D9" s="32" t="n">
        <v>-0.1</v>
      </c>
      <c r="E9" s="32" t="n">
        <v>0.1</v>
      </c>
      <c r="F9" s="32" t="n">
        <v>0.2</v>
      </c>
      <c r="G9" s="32" t="n">
        <v>0.3</v>
      </c>
      <c r="H9" s="26"/>
      <c r="I9" s="18"/>
      <c r="J9" s="33" t="n">
        <v>0.508</v>
      </c>
      <c r="K9" s="33" t="n">
        <v>5.15</v>
      </c>
      <c r="L9" s="33" t="n">
        <v>1</v>
      </c>
      <c r="M9" s="34" t="n">
        <f aca="false">IF(J9,(K9/UnderlyingPrice-1),"")</f>
        <v>0.0629514963880291</v>
      </c>
      <c r="N9" s="34" t="e">
        <f aca="false">IF(J9,IMPVOLAB(J9,UnderlyingPrice,K9,IntRate,Yield,100,Expiry-Today,L9,100,0.0001),"")</f>
        <v>#NAME?</v>
      </c>
      <c r="O9" s="5"/>
      <c r="P9" s="5"/>
      <c r="Q9" s="0" t="s">
        <v>22</v>
      </c>
      <c r="R9" s="0" t="n">
        <v>3</v>
      </c>
      <c r="W9" s="35" t="s">
        <v>23</v>
      </c>
      <c r="X9" s="0" t="n">
        <v>2</v>
      </c>
      <c r="Y9" s="36" t="n">
        <v>3</v>
      </c>
      <c r="Z9" s="36" t="n">
        <v>4</v>
      </c>
      <c r="AA9" s="0" t="n">
        <v>5</v>
      </c>
      <c r="AC9" s="35" t="s">
        <v>24</v>
      </c>
      <c r="AD9" s="0" t="n">
        <v>2</v>
      </c>
      <c r="AE9" s="36" t="n">
        <v>3</v>
      </c>
      <c r="AF9" s="0" t="n">
        <v>4</v>
      </c>
      <c r="AG9" s="0" t="n">
        <v>5</v>
      </c>
    </row>
    <row r="10" customFormat="false" ht="12.75" hidden="false" customHeight="false" outlineLevel="0" collapsed="false">
      <c r="A10" s="1"/>
      <c r="B10" s="37" t="n">
        <f aca="false">VLOOKUP(B9,ImpVolTable,2)-ATMImpVol</f>
        <v>0.00708376938999999</v>
      </c>
      <c r="C10" s="37" t="n">
        <f aca="false">VLOOKUP(C9,ImpVolTable,2)-ATMImpVol</f>
        <v>-0.000662020610000091</v>
      </c>
      <c r="D10" s="37" t="n">
        <f aca="false">VLOOKUP(D9,ImpVolTable,2)-ATMImpVol</f>
        <v>-0.00252209060999997</v>
      </c>
      <c r="E10" s="37" t="n">
        <f aca="false">VLOOKUP(E9,ImpVolTable,2)-ATMImpVol</f>
        <v>0.00736828939000001</v>
      </c>
      <c r="F10" s="37" t="n">
        <f aca="false">VLOOKUP(F9,ImpVolTable,2)-ATMImpVol</f>
        <v>0.0170954193899999</v>
      </c>
      <c r="G10" s="37" t="n">
        <f aca="false">VLOOKUP(G9,ImpVolTable,2)-ATMImpVol</f>
        <v>0.0286616293900001</v>
      </c>
      <c r="H10" s="26"/>
      <c r="I10" s="18"/>
      <c r="J10" s="33" t="n">
        <v>0.431</v>
      </c>
      <c r="K10" s="33" t="n">
        <v>5.4</v>
      </c>
      <c r="L10" s="33" t="n">
        <v>1</v>
      </c>
      <c r="M10" s="34" t="n">
        <f aca="false">IF(J10,(K10/UnderlyingPrice-1),"")</f>
        <v>0.114551083591331</v>
      </c>
      <c r="N10" s="34" t="e">
        <f aca="false">IF(J10,IMPVOLAB(J10,UnderlyingPrice,K10,IntRate,Yield,100,Expiry-Today,L10,100,0.0001),"")</f>
        <v>#NAME?</v>
      </c>
      <c r="O10" s="5"/>
      <c r="P10" s="5"/>
      <c r="Q10" s="0" t="s">
        <v>25</v>
      </c>
      <c r="R10" s="0" t="n">
        <v>4</v>
      </c>
      <c r="W10" s="38" t="s">
        <v>26</v>
      </c>
      <c r="X10" s="39" t="n">
        <f aca="false">+VALUE(CONCATENATE(AC17,AD17))</f>
        <v>0.51782</v>
      </c>
      <c r="Y10" s="39" t="n">
        <f aca="false">+VALUE(CONCATENATE(AF18,AG18))</f>
        <v>0.51745</v>
      </c>
      <c r="Z10" s="39" t="n">
        <f aca="false">+VALUE(CONCATENATE(AI19,AJ19))</f>
        <v>0.51602</v>
      </c>
      <c r="AA10" s="39" t="n">
        <f aca="false">+VALUE(CONCATENATE(AL20,AM20))</f>
        <v>0.51589</v>
      </c>
      <c r="AC10" s="38" t="s">
        <v>26</v>
      </c>
      <c r="AD10" s="39" t="n">
        <f aca="false">+X12*2</f>
        <v>0.39524</v>
      </c>
      <c r="AE10" s="39" t="n">
        <f aca="false">+Y12*2</f>
        <v>0.38624</v>
      </c>
      <c r="AF10" s="39" t="n">
        <f aca="false">+Z12*2</f>
        <v>0.60638</v>
      </c>
      <c r="AG10" s="39" t="n">
        <f aca="false">+AA12*2</f>
        <v>0.58886</v>
      </c>
    </row>
    <row r="11" customFormat="false" ht="12.75" hidden="false" customHeight="false" outlineLevel="0" collapsed="false">
      <c r="A11" s="1"/>
      <c r="B11" s="40"/>
      <c r="C11" s="41"/>
      <c r="D11" s="26"/>
      <c r="E11" s="26"/>
      <c r="F11" s="26"/>
      <c r="G11" s="26"/>
      <c r="H11" s="26"/>
      <c r="I11" s="18"/>
      <c r="J11" s="33" t="n">
        <v>0.404</v>
      </c>
      <c r="K11" s="33" t="n">
        <v>5.5</v>
      </c>
      <c r="L11" s="33" t="n">
        <v>1</v>
      </c>
      <c r="M11" s="34" t="n">
        <f aca="false">IF(J11,(K11/UnderlyingPrice-1),"")</f>
        <v>0.135190918472652</v>
      </c>
      <c r="N11" s="34" t="e">
        <f aca="false">IF(J11,IMPVOLAB(J11,UnderlyingPrice,K11,IntRate,Yield,100,Expiry-Today,L11,100,0.0001),"")</f>
        <v>#NAME?</v>
      </c>
      <c r="O11" s="5"/>
      <c r="P11" s="5"/>
      <c r="Q11" s="0" t="s">
        <v>27</v>
      </c>
      <c r="R11" s="0" t="n">
        <v>4.5</v>
      </c>
      <c r="W11" s="38" t="s">
        <v>28</v>
      </c>
      <c r="X11" s="39" t="n">
        <f aca="false">+VALUE(CONCATENATE(AA17,AB17))</f>
        <v>0.035609</v>
      </c>
      <c r="Y11" s="39" t="n">
        <f aca="false">+VALUE(CONCATENATE(AD18,AE18))</f>
        <v>0.051138</v>
      </c>
      <c r="Z11" s="39" t="n">
        <f aca="false">+VALUE(CONCATENATE(AG19,AH19))</f>
        <v>0.053054</v>
      </c>
      <c r="AA11" s="39" t="n">
        <f aca="false">+VALUE(CONCATENATE(AJ20,AK20))</f>
        <v>0.063214</v>
      </c>
      <c r="AC11" s="38" t="s">
        <v>28</v>
      </c>
      <c r="AE11" s="39" t="n">
        <f aca="false">+Y13*6</f>
        <v>-1.01166</v>
      </c>
      <c r="AF11" s="39" t="n">
        <f aca="false">+Z13*6</f>
        <v>-1.33938</v>
      </c>
      <c r="AG11" s="39" t="n">
        <f aca="false">+AA13*6</f>
        <v>-3.3975</v>
      </c>
    </row>
    <row r="12" customFormat="false" ht="12.75" hidden="false" customHeight="false" outlineLevel="0" collapsed="false">
      <c r="A12" s="1"/>
      <c r="B12" s="5"/>
      <c r="C12" s="6"/>
      <c r="D12" s="6"/>
      <c r="E12" s="6"/>
      <c r="F12" s="6"/>
      <c r="G12" s="6"/>
      <c r="H12" s="6"/>
      <c r="I12" s="18"/>
      <c r="J12" s="33" t="n">
        <v>0.344</v>
      </c>
      <c r="K12" s="33" t="n">
        <v>5.75</v>
      </c>
      <c r="L12" s="33" t="n">
        <v>1</v>
      </c>
      <c r="M12" s="34" t="n">
        <f aca="false">IF(J12,(K12/UnderlyingPrice-1),"")</f>
        <v>0.186790505675955</v>
      </c>
      <c r="N12" s="34" t="e">
        <f aca="false">IF(J12,IMPVOLAB(J12,UnderlyingPrice,K12,IntRate,Yield,100,Expiry-Today,L12,100,0.0001),"")</f>
        <v>#NAME?</v>
      </c>
      <c r="O12" s="5"/>
      <c r="P12" s="5"/>
      <c r="Q12" s="0" t="s">
        <v>29</v>
      </c>
      <c r="R12" s="0" t="n">
        <v>4.75</v>
      </c>
      <c r="W12" s="38" t="s">
        <v>30</v>
      </c>
      <c r="X12" s="39" t="n">
        <f aca="false">+Y17</f>
        <v>0.19762</v>
      </c>
      <c r="Y12" s="39" t="n">
        <f aca="false">+VALUE(CONCATENATE(AA18,AB18))</f>
        <v>0.19312</v>
      </c>
      <c r="Z12" s="39" t="n">
        <f aca="false">+VALUE(CONCATENATE(AD19,AE19))</f>
        <v>0.30319</v>
      </c>
      <c r="AA12" s="39" t="n">
        <f aca="false">+VALUE(CONCATENATE(AG20,AH20))</f>
        <v>0.29443</v>
      </c>
      <c r="AC12" s="38" t="s">
        <v>30</v>
      </c>
      <c r="AE12" s="39"/>
      <c r="AF12" s="39" t="n">
        <f aca="false">12*Z14</f>
        <v>-10.45428</v>
      </c>
      <c r="AG12" s="39" t="n">
        <f aca="false">12*AA14</f>
        <v>-8.63772</v>
      </c>
    </row>
    <row r="13" customFormat="false" ht="12.75" hidden="false" customHeight="false" outlineLevel="0" collapsed="false">
      <c r="A13" s="1"/>
      <c r="B13" s="40"/>
      <c r="C13" s="1"/>
      <c r="D13" s="1"/>
      <c r="E13" s="1"/>
      <c r="F13" s="1"/>
      <c r="G13" s="1"/>
      <c r="H13" s="1"/>
      <c r="I13" s="18"/>
      <c r="J13" s="33" t="n">
        <v>0.292</v>
      </c>
      <c r="K13" s="33" t="n">
        <v>6</v>
      </c>
      <c r="L13" s="33" t="n">
        <v>1</v>
      </c>
      <c r="M13" s="34" t="n">
        <f aca="false">IF(J13,(K13/UnderlyingPrice-1),"")</f>
        <v>0.238390092879257</v>
      </c>
      <c r="N13" s="34" t="e">
        <f aca="false">IF(J13,IMPVOLAB(J13,UnderlyingPrice,K13,IntRate,Yield,100,Expiry-Today,L13,100,0.0001),"")</f>
        <v>#NAME?</v>
      </c>
      <c r="O13" s="5"/>
      <c r="P13" s="5"/>
      <c r="Q13" s="0" t="s">
        <v>31</v>
      </c>
      <c r="R13" s="0" t="n">
        <v>5</v>
      </c>
      <c r="W13" s="38" t="s">
        <v>32</v>
      </c>
      <c r="X13" s="39"/>
      <c r="Y13" s="39" t="n">
        <f aca="false">+Y18</f>
        <v>-0.16861</v>
      </c>
      <c r="Z13" s="39" t="n">
        <f aca="false">+VALUE(CONCATENATE(AA19,AB19))</f>
        <v>-0.22323</v>
      </c>
      <c r="AA13" s="39" t="n">
        <f aca="false">VALUE(CONCATENATE(AD20,AE20))</f>
        <v>-0.56625</v>
      </c>
      <c r="AC13" s="38" t="s">
        <v>32</v>
      </c>
      <c r="AE13" s="39"/>
      <c r="AF13" s="39"/>
      <c r="AG13" s="0" t="n">
        <f aca="false">+AA15*20</f>
        <v>42.972</v>
      </c>
    </row>
    <row r="14" customFormat="false" ht="12.75" hidden="false" customHeight="false" outlineLevel="0" collapsed="false">
      <c r="A14" s="1"/>
      <c r="B14" s="5"/>
      <c r="C14" s="1"/>
      <c r="D14" s="1"/>
      <c r="E14" s="1"/>
      <c r="F14" s="1"/>
      <c r="G14" s="1"/>
      <c r="H14" s="1"/>
      <c r="I14" s="18"/>
      <c r="J14" s="33" t="n">
        <v>0.249</v>
      </c>
      <c r="K14" s="33" t="n">
        <v>6.25</v>
      </c>
      <c r="L14" s="33" t="n">
        <v>1</v>
      </c>
      <c r="M14" s="34" t="n">
        <f aca="false">IF(J14,(K14/UnderlyingPrice-1),"")</f>
        <v>0.289989680082559</v>
      </c>
      <c r="N14" s="34" t="e">
        <f aca="false">IF(J14,IMPVOLAB(J14,UnderlyingPrice,K14,IntRate,Yield,100,Expiry-Today,L14,100,0.0001),"")</f>
        <v>#NAME?</v>
      </c>
      <c r="O14" s="5"/>
      <c r="P14" s="5"/>
      <c r="Q14" s="0" t="s">
        <v>33</v>
      </c>
      <c r="R14" s="0" t="n">
        <v>5.4</v>
      </c>
      <c r="W14" s="38" t="s">
        <v>34</v>
      </c>
      <c r="X14" s="36"/>
      <c r="Z14" s="39" t="n">
        <f aca="false">+Y19</f>
        <v>-0.87119</v>
      </c>
      <c r="AA14" s="39" t="n">
        <f aca="false">+VALUE(CONCATENATE(AA20,AB20))</f>
        <v>-0.71981</v>
      </c>
    </row>
    <row r="15" customFormat="false" ht="12.75" hidden="false" customHeight="false" outlineLevel="0" collapsed="false">
      <c r="A15" s="1"/>
      <c r="B15" s="40"/>
      <c r="C15" s="1"/>
      <c r="D15" s="1"/>
      <c r="E15" s="1"/>
      <c r="F15" s="1"/>
      <c r="G15" s="1"/>
      <c r="H15" s="1"/>
      <c r="I15" s="18"/>
      <c r="J15" s="33" t="n">
        <v>0.213</v>
      </c>
      <c r="K15" s="33" t="n">
        <v>6.5</v>
      </c>
      <c r="L15" s="33" t="n">
        <v>1</v>
      </c>
      <c r="M15" s="34" t="n">
        <f aca="false">IF(J15,(K15/UnderlyingPrice-1),"")</f>
        <v>0.341589267285862</v>
      </c>
      <c r="N15" s="34" t="e">
        <f aca="false">IF(J15,IMPVOLAB(J15,UnderlyingPrice,K15,IntRate,Yield,100,Expiry-Today,L15,100,0.0001),"")</f>
        <v>#NAME?</v>
      </c>
      <c r="O15" s="5"/>
      <c r="P15" s="5"/>
      <c r="W15" s="38" t="s">
        <v>35</v>
      </c>
      <c r="AA15" s="39" t="n">
        <f aca="false">+Y20</f>
        <v>2.1486</v>
      </c>
    </row>
    <row r="16" customFormat="false" ht="12.75" hidden="false" customHeight="false" outlineLevel="0" collapsed="false">
      <c r="A16" s="1"/>
      <c r="B16" s="40"/>
      <c r="C16" s="1"/>
      <c r="D16" s="1"/>
      <c r="E16" s="1"/>
      <c r="F16" s="1"/>
      <c r="G16" s="1"/>
      <c r="H16" s="1"/>
      <c r="I16" s="18"/>
      <c r="J16" s="33" t="n">
        <v>0.044</v>
      </c>
      <c r="K16" s="33" t="n">
        <v>3</v>
      </c>
      <c r="L16" s="33" t="n">
        <v>0</v>
      </c>
      <c r="M16" s="34" t="n">
        <f aca="false">IF(J16,(K16/UnderlyingPrice-1),"")</f>
        <v>-0.380804953560372</v>
      </c>
      <c r="N16" s="34" t="e">
        <f aca="false">IF(J16,IMPVOLAB(J16,UnderlyingPrice,K16,IntRate,Yield,100,Expiry-Today,L16,100,0.0001),"")</f>
        <v>#NAME?</v>
      </c>
      <c r="O16" s="5"/>
      <c r="P16" s="1"/>
    </row>
    <row r="17" customFormat="false" ht="12.75" hidden="false" customHeight="false" outlineLevel="0" collapsed="false">
      <c r="A17" s="1"/>
      <c r="B17" s="40"/>
      <c r="C17" s="1"/>
      <c r="D17" s="1"/>
      <c r="E17" s="1"/>
      <c r="F17" s="1"/>
      <c r="G17" s="1"/>
      <c r="H17" s="1"/>
      <c r="I17" s="18"/>
      <c r="J17" s="33" t="n">
        <v>0.244</v>
      </c>
      <c r="K17" s="33" t="n">
        <v>4</v>
      </c>
      <c r="L17" s="33" t="n">
        <v>0</v>
      </c>
      <c r="M17" s="34" t="n">
        <f aca="false">IF(J17,(K17/UnderlyingPrice-1),"")</f>
        <v>-0.174406604747162</v>
      </c>
      <c r="N17" s="34" t="e">
        <f aca="false">IF(J17,IMPVOLAB(J17,UnderlyingPrice,K17,IntRate,Yield,100,Expiry-Today,L17,100,0.0001),"")</f>
        <v>#NAME?</v>
      </c>
      <c r="O17" s="5"/>
      <c r="P17" s="1"/>
      <c r="W17" s="42" t="s">
        <v>36</v>
      </c>
      <c r="X17" s="0" t="s">
        <v>37</v>
      </c>
      <c r="Y17" s="43" t="n">
        <v>0.19762</v>
      </c>
      <c r="Z17" s="0" t="n">
        <v>2</v>
      </c>
      <c r="AA17" s="0" t="s">
        <v>38</v>
      </c>
      <c r="AB17" s="43" t="n">
        <v>0.035609</v>
      </c>
      <c r="AC17" s="0" t="s">
        <v>38</v>
      </c>
      <c r="AD17" s="43" t="n">
        <v>0.51782</v>
      </c>
    </row>
    <row r="18" customFormat="false" ht="12.75" hidden="false" customHeight="false" outlineLevel="0" collapsed="false">
      <c r="A18" s="1"/>
      <c r="B18" s="5"/>
      <c r="C18" s="1"/>
      <c r="D18" s="1"/>
      <c r="E18" s="1"/>
      <c r="F18" s="1"/>
      <c r="G18" s="1"/>
      <c r="H18" s="1"/>
      <c r="I18" s="18"/>
      <c r="J18" s="33" t="n">
        <v>0.44</v>
      </c>
      <c r="K18" s="33" t="n">
        <v>4.5</v>
      </c>
      <c r="L18" s="33" t="n">
        <v>0</v>
      </c>
      <c r="M18" s="34" t="n">
        <f aca="false">IF(J18,(K18/UnderlyingPrice-1),"")</f>
        <v>-0.0712074303405572</v>
      </c>
      <c r="N18" s="34" t="e">
        <f aca="false">IF(J18,IMPVOLAB(J18,UnderlyingPrice,K18,IntRate,Yield,100,Expiry-Today,L18,100,0.0001),"")</f>
        <v>#NAME?</v>
      </c>
      <c r="O18" s="1"/>
      <c r="P18" s="5"/>
      <c r="W18" s="42" t="s">
        <v>36</v>
      </c>
      <c r="X18" s="0" t="s">
        <v>37</v>
      </c>
      <c r="Y18" s="43" t="n">
        <v>-0.16861</v>
      </c>
      <c r="Z18" s="0" t="n">
        <v>3</v>
      </c>
      <c r="AA18" s="0" t="s">
        <v>38</v>
      </c>
      <c r="AB18" s="43" t="n">
        <v>0.19312</v>
      </c>
      <c r="AC18" s="0" t="n">
        <v>2</v>
      </c>
      <c r="AD18" s="0" t="s">
        <v>38</v>
      </c>
      <c r="AE18" s="43" t="n">
        <v>0.051138</v>
      </c>
      <c r="AF18" s="0" t="s">
        <v>38</v>
      </c>
      <c r="AG18" s="43" t="n">
        <v>0.51745</v>
      </c>
    </row>
    <row r="19" customFormat="false" ht="12.75" hidden="false" customHeight="false" outlineLevel="0" collapsed="false">
      <c r="A19" s="1"/>
      <c r="B19" s="40"/>
      <c r="C19" s="1"/>
      <c r="D19" s="1"/>
      <c r="E19" s="1"/>
      <c r="F19" s="1"/>
      <c r="G19" s="1"/>
      <c r="H19" s="1"/>
      <c r="I19" s="18"/>
      <c r="J19" s="33" t="n">
        <v>0.567</v>
      </c>
      <c r="K19" s="33" t="n">
        <v>4.75</v>
      </c>
      <c r="L19" s="33" t="n">
        <v>0</v>
      </c>
      <c r="M19" s="34" t="n">
        <f aca="false">IF(J19,(K19/UnderlyingPrice-1),"")</f>
        <v>-0.0196078431372548</v>
      </c>
      <c r="N19" s="34" t="e">
        <f aca="false">IF(J19,IMPVOLAB(J19,UnderlyingPrice,K19,IntRate,Yield,100,Expiry-Today,L19,100,0.0001),"")</f>
        <v>#NAME?</v>
      </c>
      <c r="O19" s="1"/>
      <c r="P19" s="5"/>
      <c r="W19" s="42" t="s">
        <v>36</v>
      </c>
      <c r="X19" s="0" t="s">
        <v>37</v>
      </c>
      <c r="Y19" s="43" t="n">
        <v>-0.87119</v>
      </c>
      <c r="Z19" s="0" t="n">
        <v>4</v>
      </c>
      <c r="AA19" s="0" t="s">
        <v>39</v>
      </c>
      <c r="AB19" s="43" t="n">
        <v>0.22323</v>
      </c>
      <c r="AC19" s="0" t="n">
        <v>3</v>
      </c>
      <c r="AD19" s="0" t="s">
        <v>38</v>
      </c>
      <c r="AE19" s="43" t="n">
        <v>0.30319</v>
      </c>
      <c r="AF19" s="0" t="n">
        <v>2</v>
      </c>
      <c r="AG19" s="0" t="s">
        <v>38</v>
      </c>
      <c r="AH19" s="43" t="n">
        <v>0.053054</v>
      </c>
      <c r="AI19" s="0" t="s">
        <v>38</v>
      </c>
      <c r="AJ19" s="43" t="n">
        <v>0.51602</v>
      </c>
    </row>
    <row r="20" customFormat="false" ht="12.75" hidden="false" customHeight="false" outlineLevel="0" collapsed="false">
      <c r="A20" s="1"/>
      <c r="B20" s="5"/>
      <c r="C20" s="1"/>
      <c r="D20" s="1"/>
      <c r="E20" s="1"/>
      <c r="F20" s="1"/>
      <c r="G20" s="1"/>
      <c r="H20" s="1"/>
      <c r="I20" s="18"/>
      <c r="J20" s="33" t="n">
        <v>0.715</v>
      </c>
      <c r="K20" s="33" t="n">
        <v>5</v>
      </c>
      <c r="L20" s="33" t="n">
        <v>0</v>
      </c>
      <c r="M20" s="34" t="n">
        <f aca="false">IF(J20,(K20/UnderlyingPrice-1),"")</f>
        <v>0.0319917440660475</v>
      </c>
      <c r="N20" s="34" t="e">
        <f aca="false">IF(J20,IMPVOLAB(J20,UnderlyingPrice,K20,IntRate,Yield,100,Expiry-Today,L20,100,0.0001),"")</f>
        <v>#NAME?</v>
      </c>
      <c r="O20" s="1"/>
      <c r="P20" s="5"/>
      <c r="W20" s="42" t="s">
        <v>36</v>
      </c>
      <c r="X20" s="0" t="s">
        <v>37</v>
      </c>
      <c r="Y20" s="43" t="n">
        <v>2.1486</v>
      </c>
      <c r="Z20" s="0" t="n">
        <v>5</v>
      </c>
      <c r="AA20" s="0" t="s">
        <v>39</v>
      </c>
      <c r="AB20" s="43" t="n">
        <v>0.71981</v>
      </c>
      <c r="AC20" s="0" t="n">
        <v>4</v>
      </c>
      <c r="AD20" s="0" t="s">
        <v>39</v>
      </c>
      <c r="AE20" s="43" t="n">
        <v>0.56625</v>
      </c>
      <c r="AF20" s="0" t="n">
        <v>3</v>
      </c>
      <c r="AG20" s="0" t="s">
        <v>38</v>
      </c>
      <c r="AH20" s="43" t="n">
        <v>0.29443</v>
      </c>
      <c r="AI20" s="0" t="n">
        <v>2</v>
      </c>
      <c r="AJ20" s="0" t="s">
        <v>38</v>
      </c>
      <c r="AK20" s="43" t="n">
        <v>0.063214</v>
      </c>
      <c r="AL20" s="0" t="s">
        <v>38</v>
      </c>
      <c r="AM20" s="43" t="n">
        <v>0.51589</v>
      </c>
    </row>
    <row r="21" customFormat="false" ht="12.75" hidden="false" customHeight="false" outlineLevel="0" collapsed="false">
      <c r="A21" s="1"/>
      <c r="B21" s="40"/>
      <c r="C21" s="1"/>
      <c r="D21" s="1"/>
      <c r="E21" s="1"/>
      <c r="F21" s="1"/>
      <c r="G21" s="1"/>
      <c r="H21" s="1"/>
      <c r="I21" s="18"/>
      <c r="J21" s="33" t="n">
        <v>0.979</v>
      </c>
      <c r="K21" s="33" t="n">
        <v>5.4</v>
      </c>
      <c r="L21" s="33" t="n">
        <v>0</v>
      </c>
      <c r="M21" s="34" t="n">
        <f aca="false">IF(J21,(K21/UnderlyingPrice-1),"")</f>
        <v>0.114551083591331</v>
      </c>
      <c r="N21" s="34" t="e">
        <f aca="false">IF(J21,IMPVOLAB(J21,UnderlyingPrice,K21,IntRate,Yield,100,Expiry-Today,L21,100,0.0001),"")</f>
        <v>#NAME?</v>
      </c>
      <c r="O21" s="5"/>
      <c r="P21" s="5"/>
    </row>
    <row r="22" customFormat="false" ht="12.75" hidden="false" customHeight="false" outlineLevel="0" collapsed="false">
      <c r="A22" s="1"/>
      <c r="B22" s="5"/>
      <c r="C22" s="1"/>
      <c r="D22" s="1"/>
      <c r="E22" s="1"/>
      <c r="F22" s="1"/>
      <c r="G22" s="1"/>
      <c r="H22" s="1"/>
      <c r="I22" s="1"/>
      <c r="J22" s="33" t="n">
        <v>0.116</v>
      </c>
      <c r="K22" s="33" t="n">
        <v>3.5</v>
      </c>
      <c r="L22" s="33" t="n">
        <v>0</v>
      </c>
      <c r="M22" s="34" t="n">
        <f aca="false">IF(J22,(K22/UnderlyingPrice-1),"")</f>
        <v>-0.277605779153767</v>
      </c>
      <c r="N22" s="34" t="e">
        <f aca="false">IF(J22,IMPVOLAB(J22,UnderlyingPrice,K22,IntRate,Yield,100,Expiry-Today,L22,100,0.0001),"")</f>
        <v>#NAME?</v>
      </c>
      <c r="O22" s="5"/>
      <c r="P22" s="5"/>
      <c r="Q22" s="0" t="s">
        <v>40</v>
      </c>
      <c r="R22" s="0" t="n">
        <v>3.5</v>
      </c>
    </row>
    <row r="23" customFormat="false" ht="12.75" hidden="false" customHeight="false" outlineLevel="0" collapsed="false">
      <c r="A23" s="1"/>
      <c r="B23" s="40"/>
      <c r="C23" s="1"/>
      <c r="D23" s="1"/>
      <c r="E23" s="1"/>
      <c r="F23" s="1"/>
      <c r="G23" s="1"/>
      <c r="H23" s="1"/>
      <c r="I23" s="1"/>
      <c r="J23" s="33"/>
      <c r="K23" s="33"/>
      <c r="L23" s="33"/>
      <c r="M23" s="34" t="str">
        <f aca="false">IF(J23,(K23/UnderlyingPrice-1),"")</f>
        <v/>
      </c>
      <c r="N23" s="34" t="str">
        <f aca="false">IF(J23,IMPVOLAB(J23,UnderlyingPrice,K23,IntRate,Yield,100,Expiry-Today,L23,100,0.0001),"")</f>
        <v/>
      </c>
      <c r="O23" s="5"/>
      <c r="P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33"/>
      <c r="K24" s="33"/>
      <c r="L24" s="33"/>
      <c r="M24" s="34" t="str">
        <f aca="false">IF(J24,(K24/UnderlyingPrice-1),"")</f>
        <v/>
      </c>
      <c r="N24" s="34" t="str">
        <f aca="false">IF(J24,IMPVOLAB(J24,UnderlyingPrice,K24,IntRate,Yield,100,Expiry-Today,L24,100,0.0001),"")</f>
        <v/>
      </c>
      <c r="O24" s="1"/>
      <c r="P24" s="1"/>
    </row>
    <row r="25" customFormat="false" ht="12.75" hidden="false" customHeight="false" outlineLevel="0" collapsed="false">
      <c r="A25" s="1"/>
      <c r="B25" s="5"/>
      <c r="C25" s="5"/>
      <c r="D25" s="5"/>
      <c r="E25" s="5"/>
      <c r="F25" s="5"/>
      <c r="G25" s="5"/>
      <c r="H25" s="1"/>
      <c r="I25" s="5"/>
      <c r="J25" s="33"/>
      <c r="K25" s="33"/>
      <c r="L25" s="33"/>
      <c r="M25" s="34" t="str">
        <f aca="false">IF(J25,(K25/UnderlyingPrice-1),"")</f>
        <v/>
      </c>
      <c r="N25" s="34" t="str">
        <f aca="false">IF(J25,IMPVOLAB(J25,UnderlyingPrice,K25,IntRate,Yield,100,Expiry-Today,L25,100,0.0001),"")</f>
        <v/>
      </c>
      <c r="O25" s="5"/>
      <c r="P25" s="5"/>
    </row>
    <row r="26" customFormat="false" ht="12.75" hidden="false" customHeight="false" outlineLevel="0" collapsed="false">
      <c r="A26" s="1"/>
      <c r="B26" s="5"/>
      <c r="C26" s="5"/>
      <c r="D26" s="1"/>
      <c r="E26" s="1"/>
      <c r="F26" s="1"/>
      <c r="G26" s="5"/>
      <c r="H26" s="1"/>
      <c r="I26" s="5"/>
      <c r="J26" s="33"/>
      <c r="K26" s="33"/>
      <c r="L26" s="33"/>
      <c r="M26" s="34" t="str">
        <f aca="false">IF(J26,(K26/UnderlyingPrice-1),"")</f>
        <v/>
      </c>
      <c r="N26" s="34" t="str">
        <f aca="false">IF(J26,IMPVOLAB(J26,UnderlyingPrice,K26,IntRate,Yield,100,Expiry-Today,L26,100,0.0001),"")</f>
        <v/>
      </c>
      <c r="O26" s="5"/>
      <c r="P26" s="5"/>
    </row>
    <row r="27" customFormat="false" ht="12.7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  <c r="N27" s="1"/>
      <c r="O27" s="5"/>
      <c r="P27" s="5"/>
    </row>
    <row r="28" customFormat="false" ht="12.7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X28" s="0" t="n">
        <f aca="true">ROUNDUP(MAX(StrikeRange),0)-ROUNDDOWN(MIN(StrikeRange),0)</f>
        <v>4</v>
      </c>
      <c r="AH28" s="0" t="s">
        <v>41</v>
      </c>
      <c r="AN28" s="0" t="s">
        <v>42</v>
      </c>
      <c r="AO28" s="0" t="n">
        <v>2</v>
      </c>
      <c r="AP28" s="36" t="n">
        <v>3</v>
      </c>
      <c r="AQ28" s="36" t="n">
        <v>4</v>
      </c>
      <c r="AR28" s="0" t="n">
        <v>5</v>
      </c>
    </row>
    <row r="29" customFormat="false" ht="12.7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W29" s="0" t="n">
        <f aca="true">ROUNDUP(MAX(MoneynessRange),2)</f>
        <v>0.35</v>
      </c>
      <c r="X29" s="0" t="n">
        <f aca="false">+(MaxMoneyness-MinMoneyness)*100</f>
        <v>74</v>
      </c>
      <c r="AF29" s="0" t="s">
        <v>43</v>
      </c>
      <c r="AH29" s="0" t="n">
        <v>37012</v>
      </c>
      <c r="AJ29" s="0" t="s">
        <v>44</v>
      </c>
      <c r="AK29" s="0" t="s">
        <v>45</v>
      </c>
      <c r="AN29" s="0" t="s">
        <v>26</v>
      </c>
      <c r="AO29" s="39" t="n">
        <f aca="false">+VALUE(CONCATENATE(AT36,AU36))</f>
        <v>0.49276</v>
      </c>
      <c r="AP29" s="39" t="n">
        <f aca="false">+VALUE(CONCATENATE(AW37,AX37))</f>
        <v>0.49163</v>
      </c>
      <c r="AQ29" s="39" t="n">
        <f aca="false">+VALUE(CONCATENATE(AZ38,BA38))</f>
        <v>0.49295</v>
      </c>
      <c r="AR29" s="39" t="n">
        <f aca="false">+VALUE(CONCATENATE(BC39,BD39))</f>
        <v>0.49245</v>
      </c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W30" s="0" t="n">
        <v>14</v>
      </c>
      <c r="Z30" s="44" t="s">
        <v>46</v>
      </c>
      <c r="AA30" s="44"/>
      <c r="AF30" s="0" t="n">
        <v>-8</v>
      </c>
      <c r="AG30" s="0" t="n">
        <f aca="false">+IF(+AF30+UnderlyingPrice&lt;0,-2,+AF30/UnderlyingPrice)</f>
        <v>-2</v>
      </c>
      <c r="AH30" s="0" t="n">
        <v>3</v>
      </c>
      <c r="AI30" s="45" t="n">
        <f aca="false">+AH30/100</f>
        <v>0.03</v>
      </c>
      <c r="AJ30" s="45" t="n">
        <f aca="false">+AI30+$K$3</f>
        <v>0.555</v>
      </c>
      <c r="AK30" s="0" t="str">
        <f aca="false">+IF(AG30=-2,"",(AJ31-AJ30)/(AG31-AG30))</f>
        <v/>
      </c>
      <c r="AM30" s="45"/>
      <c r="AN30" s="0" t="s">
        <v>28</v>
      </c>
      <c r="AO30" s="39" t="n">
        <f aca="false">+VALUE(CONCATENATE(AR36,AS36))</f>
        <v>0.023084</v>
      </c>
      <c r="AP30" s="39" t="n">
        <f aca="false">+VALUE(CONCATENATE(AU37,AV37))</f>
        <v>0.038129</v>
      </c>
      <c r="AQ30" s="39" t="n">
        <f aca="false">+VALUE(CONCATENATE(AX38,AY38))</f>
        <v>0.049613</v>
      </c>
      <c r="AR30" s="39" t="n">
        <f aca="false">+VALUE(CONCATENATE(BA39,BB39))</f>
        <v>0.05858</v>
      </c>
    </row>
    <row r="31" customFormat="false" ht="12.7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W31" s="38" t="s">
        <v>47</v>
      </c>
      <c r="X31" s="38" t="s">
        <v>48</v>
      </c>
      <c r="Z31" s="38" t="s">
        <v>49</v>
      </c>
      <c r="AA31" s="38" t="s">
        <v>50</v>
      </c>
      <c r="AF31" s="0" t="n">
        <v>-6.26</v>
      </c>
      <c r="AG31" s="0" t="n">
        <f aca="false">+IF(+AF31+UnderlyingPrice&lt;0,-2,+AF31/UnderlyingPrice)</f>
        <v>-2</v>
      </c>
      <c r="AH31" s="0" t="n">
        <v>3</v>
      </c>
      <c r="AI31" s="45" t="n">
        <f aca="false">+AH31/100</f>
        <v>0.03</v>
      </c>
      <c r="AJ31" s="45" t="n">
        <f aca="false">+AI31+$K$3</f>
        <v>0.555</v>
      </c>
      <c r="AK31" s="0" t="str">
        <f aca="false">+IF(AG31=-2,"",(AJ32-AJ31)/(AG32-AG31))</f>
        <v/>
      </c>
      <c r="AM31" s="45"/>
      <c r="AN31" s="0" t="s">
        <v>30</v>
      </c>
      <c r="AO31" s="39" t="n">
        <f aca="false">+AP36</f>
        <v>0.14289</v>
      </c>
      <c r="AP31" s="39" t="n">
        <f aca="false">+VALUE(CONCATENATE(AR37,AS37))</f>
        <v>0.15935</v>
      </c>
      <c r="AQ31" s="39" t="n">
        <f aca="false">+VALUE(CONCATENATE(AU38,AV38))</f>
        <v>0.083157</v>
      </c>
      <c r="AR31" s="39" t="n">
        <f aca="false">+VALUE(CONCATENATE(AX39,AY39))</f>
        <v>0.11314</v>
      </c>
    </row>
    <row r="32" customFormat="false" ht="12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W32" s="0" t="n">
        <f aca="true">OFFSET(VolSkewCoef,0,impvol_order-2)+OFFSET(VolSkewCoef,1,impvol_order-2)*M9+OFFSET(VolSkewCoef,2,impvol_order-2)*M9^2+IF(impvol_order&gt;2,OFFSET(VolSkewCoef,3,impvol_order-2)*M9^3,0)+IF(impvol_order&gt;3,OFFSET(VolSkewCoef,4,impvol_order-2)*M9^4,0)+IF(impvol_order&gt;4,OFFSET(VolSkewCoef,5,impvol_order-2)*M9^5,0)</f>
        <v>0.521392463990549</v>
      </c>
      <c r="X32" s="46" t="e">
        <f aca="false">+W32-N9</f>
        <v>#NAME?</v>
      </c>
      <c r="Z32" s="47" t="n">
        <f aca="true">ROUNDUP(MIN(MoneynessRange),2)</f>
        <v>-0.39</v>
      </c>
      <c r="AA32" s="0" t="n">
        <f aca="true">OFFSET(VolSkewCoef,0,impvol_order-2)+OFFSET(VolSkewCoef,1,impvol_order-2)*Z32+OFFSET(VolSkewCoef,2,impvol_order-2)*Z32^2+IF(impvol_order&gt;2,OFFSET(VolSkewCoef,3,impvol_order-2)*Z32^3,0)+IF(impvol_order&gt;3,OFFSET(VolSkewCoef,4,impvol_order-2)*Z32^4,0)+IF(impvol_order&gt;4,OFFSET(VolSkewCoef,5,impvol_order-2)*Z32^5,0)</f>
        <v>0.53688150859</v>
      </c>
      <c r="AF32" s="0" t="n">
        <v>-5</v>
      </c>
      <c r="AG32" s="0" t="n">
        <f aca="false">+IF(+AF32+UnderlyingPrice&lt;0,-2,+AF32/UnderlyingPrice)</f>
        <v>-2</v>
      </c>
      <c r="AH32" s="0" t="n">
        <v>3</v>
      </c>
      <c r="AI32" s="45" t="n">
        <f aca="false">+AH32/100</f>
        <v>0.03</v>
      </c>
      <c r="AJ32" s="45" t="n">
        <f aca="false">+AI32+$K$3</f>
        <v>0.555</v>
      </c>
      <c r="AK32" s="0" t="str">
        <f aca="false">+IF(AG32=-2,"",(AJ33-AJ32)/(AG33-AG32))</f>
        <v/>
      </c>
      <c r="AM32" s="45"/>
      <c r="AN32" s="0" t="s">
        <v>32</v>
      </c>
      <c r="AO32" s="39"/>
      <c r="AP32" s="39" t="n">
        <f aca="false">+AP37</f>
        <v>-0.10293</v>
      </c>
      <c r="AQ32" s="39" t="n">
        <f aca="false">+VALUE(CONCATENATE(AR38,AS38))</f>
        <v>-0.20403</v>
      </c>
      <c r="AR32" s="39" t="n">
        <f aca="false">VALUE(CONCATENATE(AU39,AV39))</f>
        <v>-0.39491</v>
      </c>
    </row>
    <row r="33" customFormat="false" ht="12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W33" s="0" t="n">
        <f aca="true">OFFSET(VolSkewCoef,0,impvol_order-2)+OFFSET(VolSkewCoef,1,impvol_order-2)*M10+OFFSET(VolSkewCoef,2,impvol_order-2)*M10^2+IF(impvol_order&gt;2,OFFSET(VolSkewCoef,3,impvol_order-2)*M10^3,0)+IF(impvol_order&gt;3,OFFSET(VolSkewCoef,4,impvol_order-2)*M10^4,0)+IF(impvol_order&gt;4,OFFSET(VolSkewCoef,5,impvol_order-2)*M10^5,0)</f>
        <v>0.525588581072552</v>
      </c>
      <c r="X33" s="46" t="e">
        <f aca="false">+W33-N10</f>
        <v>#NAME?</v>
      </c>
      <c r="Z33" s="47" t="n">
        <f aca="false">+Z32+0.01</f>
        <v>-0.38</v>
      </c>
      <c r="AA33" s="0" t="n">
        <f aca="true">OFFSET(VolSkewCoef,0,impvol_order-2)+OFFSET(VolSkewCoef,1,impvol_order-2)*Z33+OFFSET(VolSkewCoef,2,impvol_order-2)*Z33^2+IF(impvol_order&gt;2,OFFSET(VolSkewCoef,3,impvol_order-2)*Z33^3,0)+IF(impvol_order&gt;3,OFFSET(VolSkewCoef,4,impvol_order-2)*Z33^4,0)+IF(impvol_order&gt;4,OFFSET(VolSkewCoef,5,impvol_order-2)*Z33^5,0)</f>
        <v>0.53515605592</v>
      </c>
      <c r="AF33" s="0" t="n">
        <v>-4</v>
      </c>
      <c r="AG33" s="0" t="n">
        <f aca="false">+IF(+AF33+UnderlyingPrice&lt;0,-2,+AF33/UnderlyingPrice)</f>
        <v>-0.825593395252838</v>
      </c>
      <c r="AH33" s="0" t="n">
        <v>3</v>
      </c>
      <c r="AI33" s="45" t="n">
        <f aca="false">+AH33/100</f>
        <v>0.03</v>
      </c>
      <c r="AJ33" s="45" t="n">
        <f aca="false">+AI33+$K$3</f>
        <v>0.555</v>
      </c>
      <c r="AK33" s="0" t="n">
        <f aca="false">+IF(AG33=-2,"",(AJ34-AJ33)/(AG34-AG33))</f>
        <v>-0.0726750000000001</v>
      </c>
      <c r="AM33" s="45"/>
      <c r="AN33" s="0" t="s">
        <v>34</v>
      </c>
      <c r="AO33" s="36"/>
      <c r="AQ33" s="39" t="n">
        <f aca="false">+AP38</f>
        <v>0.41872</v>
      </c>
      <c r="AR33" s="39" t="n">
        <f aca="false">+VALUE(CONCATENATE(AR39,AS39))</f>
        <v>0.21973</v>
      </c>
    </row>
    <row r="34" customFormat="false" ht="12.7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W34" s="0" t="n">
        <f aca="true">OFFSET(VolSkewCoef,0,impvol_order-2)+OFFSET(VolSkewCoef,1,impvol_order-2)*M11+OFFSET(VolSkewCoef,2,impvol_order-2)*M11^2+IF(impvol_order&gt;2,OFFSET(VolSkewCoef,3,impvol_order-2)*M11^3,0)+IF(impvol_order&gt;3,OFFSET(VolSkewCoef,4,impvol_order-2)*M11^4,0)+IF(impvol_order&gt;4,OFFSET(VolSkewCoef,5,impvol_order-2)*M11^5,0)</f>
        <v>0.52747636082644</v>
      </c>
      <c r="X34" s="46" t="e">
        <f aca="false">+W34-N11</f>
        <v>#NAME?</v>
      </c>
      <c r="Z34" s="47" t="n">
        <f aca="false">+Z33+0.01</f>
        <v>-0.37</v>
      </c>
      <c r="AA34" s="0" t="n">
        <f aca="true">OFFSET(VolSkewCoef,0,impvol_order-2)+OFFSET(VolSkewCoef,1,impvol_order-2)*Z34+OFFSET(VolSkewCoef,2,impvol_order-2)*Z34^2+IF(impvol_order&gt;2,OFFSET(VolSkewCoef,3,impvol_order-2)*Z34^3,0)+IF(impvol_order&gt;3,OFFSET(VolSkewCoef,4,impvol_order-2)*Z34^4,0)+IF(impvol_order&gt;4,OFFSET(VolSkewCoef,5,impvol_order-2)*Z34^5,0)</f>
        <v>0.53350767033</v>
      </c>
      <c r="AF34" s="0" t="n">
        <v>-3</v>
      </c>
      <c r="AG34" s="0" t="n">
        <f aca="false">+IF(+AF34+UnderlyingPrice&lt;0,-2,+AF34/UnderlyingPrice)</f>
        <v>-0.619195046439629</v>
      </c>
      <c r="AH34" s="0" t="n">
        <v>1.5</v>
      </c>
      <c r="AI34" s="45" t="n">
        <f aca="false">+AH34/100</f>
        <v>0.015</v>
      </c>
      <c r="AJ34" s="45" t="n">
        <f aca="false">+AI34+$K$3</f>
        <v>0.54</v>
      </c>
      <c r="AK34" s="0" t="n">
        <f aca="false">+IF(AG34=-2,"",(AJ35-AJ34)/(AG35-AG34))</f>
        <v>-0.0969000000000001</v>
      </c>
      <c r="AM34" s="45"/>
      <c r="AN34" s="0" t="s">
        <v>35</v>
      </c>
      <c r="AR34" s="39" t="n">
        <f aca="false">+AP39</f>
        <v>0.80901</v>
      </c>
    </row>
    <row r="35" customFormat="false" ht="12.7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W35" s="0" t="n">
        <f aca="true">OFFSET(VolSkewCoef,0,impvol_order-2)+OFFSET(VolSkewCoef,1,impvol_order-2)*M12+OFFSET(VolSkewCoef,2,impvol_order-2)*M12^2+IF(impvol_order&gt;2,OFFSET(VolSkewCoef,3,impvol_order-2)*M12^3,0)+IF(impvol_order&gt;3,OFFSET(VolSkewCoef,4,impvol_order-2)*M12^4,0)+IF(impvol_order&gt;4,OFFSET(VolSkewCoef,5,impvol_order-2)*M12^5,0)</f>
        <v>0.5326413099588</v>
      </c>
      <c r="X35" s="46" t="e">
        <f aca="false">+W35-N12</f>
        <v>#NAME?</v>
      </c>
      <c r="Z35" s="47" t="n">
        <f aca="false">+Z34+0.01</f>
        <v>-0.36</v>
      </c>
      <c r="AA35" s="0" t="n">
        <f aca="true">OFFSET(VolSkewCoef,0,impvol_order-2)+OFFSET(VolSkewCoef,1,impvol_order-2)*Z35+OFFSET(VolSkewCoef,2,impvol_order-2)*Z35^2+IF(impvol_order&gt;2,OFFSET(VolSkewCoef,3,impvol_order-2)*Z35^3,0)+IF(impvol_order&gt;3,OFFSET(VolSkewCoef,4,impvol_order-2)*Z35^4,0)+IF(impvol_order&gt;4,OFFSET(VolSkewCoef,5,impvol_order-2)*Z35^5,0)</f>
        <v>0.53193534016</v>
      </c>
      <c r="AF35" s="0" t="n">
        <v>-2.5</v>
      </c>
      <c r="AG35" s="0" t="n">
        <f aca="false">+IF(+AF35+UnderlyingPrice&lt;0,-2,+AF35/UnderlyingPrice)</f>
        <v>-0.515995872033024</v>
      </c>
      <c r="AH35" s="0" t="n">
        <v>0.5</v>
      </c>
      <c r="AI35" s="45" t="n">
        <f aca="false">+AH35/100</f>
        <v>0.005</v>
      </c>
      <c r="AJ35" s="45" t="n">
        <f aca="false">+AI35+$K$3</f>
        <v>0.53</v>
      </c>
      <c r="AK35" s="0" t="n">
        <f aca="false">+IF(AG35=-2,"",(AJ36-AJ35)/(AG36-AG35))</f>
        <v>-0.0726749999999995</v>
      </c>
      <c r="AM35" s="45"/>
    </row>
    <row r="36" customFormat="false" ht="12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W36" s="0" t="n">
        <f aca="true">OFFSET(VolSkewCoef,0,impvol_order-2)+OFFSET(VolSkewCoef,1,impvol_order-2)*M13+OFFSET(VolSkewCoef,2,impvol_order-2)*M13^2+IF(impvol_order&gt;2,OFFSET(VolSkewCoef,3,impvol_order-2)*M13^3,0)+IF(impvol_order&gt;3,OFFSET(VolSkewCoef,4,impvol_order-2)*M13^4,0)+IF(impvol_order&gt;4,OFFSET(VolSkewCoef,5,impvol_order-2)*M13^5,0)</f>
        <v>0.538331497937683</v>
      </c>
      <c r="X36" s="46" t="e">
        <f aca="false">+W36-N13</f>
        <v>#NAME?</v>
      </c>
      <c r="Z36" s="47" t="n">
        <f aca="false">+Z35+0.01</f>
        <v>-0.35</v>
      </c>
      <c r="AA36" s="0" t="n">
        <f aca="true">OFFSET(VolSkewCoef,0,impvol_order-2)+OFFSET(VolSkewCoef,1,impvol_order-2)*Z36+OFFSET(VolSkewCoef,2,impvol_order-2)*Z36^2+IF(impvol_order&gt;2,OFFSET(VolSkewCoef,3,impvol_order-2)*Z36^3,0)+IF(impvol_order&gt;3,OFFSET(VolSkewCoef,4,impvol_order-2)*Z36^4,0)+IF(impvol_order&gt;4,OFFSET(VolSkewCoef,5,impvol_order-2)*Z36^5,0)</f>
        <v>0.53043805375</v>
      </c>
      <c r="AF36" s="0" t="n">
        <v>-2</v>
      </c>
      <c r="AG36" s="0" t="n">
        <f aca="false">+IF(+AF36+UnderlyingPrice&lt;0,-2,+AF36/UnderlyingPrice)</f>
        <v>-0.412796697626419</v>
      </c>
      <c r="AH36" s="0" t="n">
        <v>-0.25</v>
      </c>
      <c r="AI36" s="45" t="n">
        <f aca="false">+AH36/100</f>
        <v>-0.0025</v>
      </c>
      <c r="AJ36" s="45" t="n">
        <f aca="false">+AI36+$K$3</f>
        <v>0.5225</v>
      </c>
      <c r="AK36" s="0" t="n">
        <f aca="false">+IF(AG36=-2,"",(AJ37-AJ36)/(AG37-AG36))</f>
        <v>-0.0242250000000006</v>
      </c>
      <c r="AM36" s="45"/>
      <c r="AN36" s="42" t="s">
        <v>36</v>
      </c>
      <c r="AO36" s="0" t="s">
        <v>37</v>
      </c>
      <c r="AP36" s="43" t="n">
        <v>0.14289</v>
      </c>
      <c r="AQ36" s="0" t="n">
        <v>2</v>
      </c>
      <c r="AR36" s="0" t="s">
        <v>38</v>
      </c>
      <c r="AS36" s="43" t="n">
        <v>0.023084</v>
      </c>
      <c r="AT36" s="0" t="s">
        <v>38</v>
      </c>
      <c r="AU36" s="43" t="n">
        <v>0.49276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W37" s="0" t="n">
        <f aca="true">OFFSET(VolSkewCoef,0,impvol_order-2)+OFFSET(VolSkewCoef,1,impvol_order-2)*M14+OFFSET(VolSkewCoef,2,impvol_order-2)*M14^2+IF(impvol_order&gt;2,OFFSET(VolSkewCoef,3,impvol_order-2)*M14^3,0)+IF(impvol_order&gt;3,OFFSET(VolSkewCoef,4,impvol_order-2)*M14^4,0)+IF(impvol_order&gt;4,OFFSET(VolSkewCoef,5,impvol_order-2)*M14^5,0)</f>
        <v>0.544407938057597</v>
      </c>
      <c r="X37" s="46" t="e">
        <f aca="false">+W37-N14</f>
        <v>#NAME?</v>
      </c>
      <c r="Z37" s="47" t="n">
        <f aca="false">+Z36+0.01</f>
        <v>-0.34</v>
      </c>
      <c r="AA37" s="0" t="n">
        <f aca="true">OFFSET(VolSkewCoef,0,impvol_order-2)+OFFSET(VolSkewCoef,1,impvol_order-2)*Z37+OFFSET(VolSkewCoef,2,impvol_order-2)*Z37^2+IF(impvol_order&gt;2,OFFSET(VolSkewCoef,3,impvol_order-2)*Z37^3,0)+IF(impvol_order&gt;3,OFFSET(VolSkewCoef,4,impvol_order-2)*Z37^4,0)+IF(impvol_order&gt;4,OFFSET(VolSkewCoef,5,impvol_order-2)*Z37^5,0)</f>
        <v>0.52901479944</v>
      </c>
      <c r="AF37" s="0" t="n">
        <v>-1.5</v>
      </c>
      <c r="AG37" s="0" t="n">
        <f aca="false">+IF(+AF37+UnderlyingPrice&lt;0,-2,+AF37/UnderlyingPrice)</f>
        <v>-0.309597523219814</v>
      </c>
      <c r="AH37" s="0" t="n">
        <v>-0.5</v>
      </c>
      <c r="AI37" s="45" t="n">
        <f aca="false">+AH37/100</f>
        <v>-0.005</v>
      </c>
      <c r="AJ37" s="45" t="n">
        <f aca="false">+AI37+$K$3</f>
        <v>0.52</v>
      </c>
      <c r="AK37" s="0" t="n">
        <f aca="false">+IF(AG37=-2,"",(AJ38-AJ37)/(AG38-AG37))</f>
        <v>0</v>
      </c>
      <c r="AM37" s="45"/>
      <c r="AN37" s="42" t="s">
        <v>36</v>
      </c>
      <c r="AO37" s="0" t="s">
        <v>37</v>
      </c>
      <c r="AP37" s="43" t="n">
        <v>-0.10293</v>
      </c>
      <c r="AQ37" s="0" t="n">
        <v>3</v>
      </c>
      <c r="AR37" s="0" t="s">
        <v>38</v>
      </c>
      <c r="AS37" s="43" t="n">
        <v>0.15935</v>
      </c>
      <c r="AT37" s="0" t="n">
        <v>2</v>
      </c>
      <c r="AU37" s="0" t="s">
        <v>38</v>
      </c>
      <c r="AV37" s="43" t="n">
        <v>0.038129</v>
      </c>
      <c r="AW37" s="0" t="s">
        <v>38</v>
      </c>
      <c r="AX37" s="43" t="n">
        <v>0.49163</v>
      </c>
    </row>
    <row r="38" customFormat="false" ht="12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W38" s="0" t="n">
        <f aca="true">OFFSET(VolSkewCoef,0,impvol_order-2)+OFFSET(VolSkewCoef,1,impvol_order-2)*M15+OFFSET(VolSkewCoef,2,impvol_order-2)*M15^2+IF(impvol_order&gt;2,OFFSET(VolSkewCoef,3,impvol_order-2)*M15^3,0)+IF(impvol_order&gt;3,OFFSET(VolSkewCoef,4,impvol_order-2)*M15^4,0)+IF(impvol_order&gt;4,OFFSET(VolSkewCoef,5,impvol_order-2)*M15^5,0)</f>
        <v>0.55073164361305</v>
      </c>
      <c r="X38" s="46" t="e">
        <f aca="false">+W38-N15</f>
        <v>#NAME?</v>
      </c>
      <c r="Z38" s="47" t="n">
        <f aca="false">+Z37+0.01</f>
        <v>-0.33</v>
      </c>
      <c r="AA38" s="0" t="n">
        <f aca="true">OFFSET(VolSkewCoef,0,impvol_order-2)+OFFSET(VolSkewCoef,1,impvol_order-2)*Z38+OFFSET(VolSkewCoef,2,impvol_order-2)*Z38^2+IF(impvol_order&gt;2,OFFSET(VolSkewCoef,3,impvol_order-2)*Z38^3,0)+IF(impvol_order&gt;3,OFFSET(VolSkewCoef,4,impvol_order-2)*Z38^4,0)+IF(impvol_order&gt;4,OFFSET(VolSkewCoef,5,impvol_order-2)*Z38^5,0)</f>
        <v>0.52766456557</v>
      </c>
      <c r="AF38" s="0" t="n">
        <v>-0.5</v>
      </c>
      <c r="AG38" s="0" t="n">
        <f aca="false">+IF(+AF38+UnderlyingPrice&lt;0,-2,+AF38/UnderlyingPrice)</f>
        <v>-0.103199174406605</v>
      </c>
      <c r="AH38" s="0" t="n">
        <v>-0.5</v>
      </c>
      <c r="AI38" s="45" t="n">
        <f aca="false">+AH38/100</f>
        <v>-0.005</v>
      </c>
      <c r="AJ38" s="45" t="n">
        <f aca="false">+AI38+$K$3</f>
        <v>0.52</v>
      </c>
      <c r="AK38" s="0" t="n">
        <f aca="false">+IF(AG38=-2,"",(AJ39-AJ38)/(AG39-AG38))</f>
        <v>0.04845</v>
      </c>
      <c r="AM38" s="45"/>
      <c r="AN38" s="42" t="s">
        <v>36</v>
      </c>
      <c r="AO38" s="0" t="s">
        <v>37</v>
      </c>
      <c r="AP38" s="43" t="n">
        <v>0.41872</v>
      </c>
      <c r="AQ38" s="0" t="n">
        <v>4</v>
      </c>
      <c r="AR38" s="0" t="s">
        <v>39</v>
      </c>
      <c r="AS38" s="43" t="n">
        <v>0.20403</v>
      </c>
      <c r="AT38" s="0" t="n">
        <v>3</v>
      </c>
      <c r="AU38" s="0" t="s">
        <v>38</v>
      </c>
      <c r="AV38" s="43" t="n">
        <v>0.083157</v>
      </c>
      <c r="AW38" s="0" t="n">
        <v>2</v>
      </c>
      <c r="AX38" s="0" t="s">
        <v>38</v>
      </c>
      <c r="AY38" s="43" t="n">
        <v>0.049613</v>
      </c>
      <c r="AZ38" s="0" t="s">
        <v>38</v>
      </c>
      <c r="BA38" s="43" t="n">
        <v>0.49295</v>
      </c>
    </row>
    <row r="39" customFormat="false" ht="12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W39" s="0" t="n">
        <f aca="true">OFFSET(VolSkewCoef,0,impvol_order-2)+OFFSET(VolSkewCoef,1,impvol_order-2)*M16+OFFSET(VolSkewCoef,2,impvol_order-2)*M16^2+IF(impvol_order&gt;2,OFFSET(VolSkewCoef,3,impvol_order-2)*M16^3,0)+IF(impvol_order&gt;3,OFFSET(VolSkewCoef,4,impvol_order-2)*M16^4,0)+IF(impvol_order&gt;4,OFFSET(VolSkewCoef,5,impvol_order-2)*M16^5,0)</f>
        <v>0.535292081269758</v>
      </c>
      <c r="X39" s="46" t="e">
        <f aca="false">+W39-N16</f>
        <v>#NAME?</v>
      </c>
      <c r="Z39" s="47" t="n">
        <f aca="false">+Z38+0.01</f>
        <v>-0.32</v>
      </c>
      <c r="AA39" s="0" t="n">
        <f aca="true">OFFSET(VolSkewCoef,0,impvol_order-2)+OFFSET(VolSkewCoef,1,impvol_order-2)*Z39+OFFSET(VolSkewCoef,2,impvol_order-2)*Z39^2+IF(impvol_order&gt;2,OFFSET(VolSkewCoef,3,impvol_order-2)*Z39^3,0)+IF(impvol_order&gt;3,OFFSET(VolSkewCoef,4,impvol_order-2)*Z39^4,0)+IF(impvol_order&gt;4,OFFSET(VolSkewCoef,5,impvol_order-2)*Z39^5,0)</f>
        <v>0.52638634048</v>
      </c>
      <c r="AF39" s="0" t="n">
        <v>0</v>
      </c>
      <c r="AG39" s="0" t="n">
        <f aca="false">+IF(+AF39+UnderlyingPrice&lt;0,-2,+AF39/UnderlyingPrice)</f>
        <v>0</v>
      </c>
      <c r="AH39" s="0" t="n">
        <v>0</v>
      </c>
      <c r="AI39" s="45" t="n">
        <f aca="false">+AH39/100</f>
        <v>0</v>
      </c>
      <c r="AJ39" s="45" t="n">
        <f aca="false">+AI39+$K$3</f>
        <v>0.525</v>
      </c>
      <c r="AK39" s="0" t="n">
        <f aca="false">+IF(AG39=-2,"",(AJ40-AJ39)/(AG40-AG39))</f>
        <v>0.11628</v>
      </c>
      <c r="AM39" s="45"/>
      <c r="AN39" s="42" t="s">
        <v>36</v>
      </c>
      <c r="AO39" s="0" t="s">
        <v>37</v>
      </c>
      <c r="AP39" s="43" t="n">
        <v>0.80901</v>
      </c>
      <c r="AQ39" s="0" t="n">
        <v>5</v>
      </c>
      <c r="AR39" s="0" t="s">
        <v>38</v>
      </c>
      <c r="AS39" s="43" t="n">
        <v>0.21973</v>
      </c>
      <c r="AT39" s="0" t="n">
        <v>4</v>
      </c>
      <c r="AU39" s="0" t="s">
        <v>39</v>
      </c>
      <c r="AV39" s="43" t="n">
        <v>0.39491</v>
      </c>
      <c r="AW39" s="0" t="n">
        <v>3</v>
      </c>
      <c r="AX39" s="0" t="s">
        <v>38</v>
      </c>
      <c r="AY39" s="43" t="n">
        <v>0.11314</v>
      </c>
      <c r="AZ39" s="0" t="n">
        <v>2</v>
      </c>
      <c r="BA39" s="0" t="s">
        <v>38</v>
      </c>
      <c r="BB39" s="43" t="n">
        <v>0.05858</v>
      </c>
      <c r="BC39" s="0" t="s">
        <v>38</v>
      </c>
      <c r="BD39" s="43" t="n">
        <v>0.49245</v>
      </c>
    </row>
    <row r="40" customFormat="false" ht="12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W40" s="0" t="n">
        <f aca="true">OFFSET(VolSkewCoef,0,impvol_order-2)+OFFSET(VolSkewCoef,1,impvol_order-2)*M17+OFFSET(VolSkewCoef,2,impvol_order-2)*M17^2+IF(impvol_order&gt;2,OFFSET(VolSkewCoef,3,impvol_order-2)*M17^3,0)+IF(impvol_order&gt;3,OFFSET(VolSkewCoef,4,impvol_order-2)*M17^4,0)+IF(impvol_order&gt;4,OFFSET(VolSkewCoef,5,impvol_order-2)*M17^5,0)</f>
        <v>0.515299937316788</v>
      </c>
      <c r="X40" s="46" t="e">
        <f aca="false">+W40-N17</f>
        <v>#NAME?</v>
      </c>
      <c r="Z40" s="47" t="n">
        <f aca="false">+Z39+0.01</f>
        <v>-0.31</v>
      </c>
      <c r="AA40" s="0" t="n">
        <f aca="true">OFFSET(VolSkewCoef,0,impvol_order-2)+OFFSET(VolSkewCoef,1,impvol_order-2)*Z40+OFFSET(VolSkewCoef,2,impvol_order-2)*Z40^2+IF(impvol_order&gt;2,OFFSET(VolSkewCoef,3,impvol_order-2)*Z40^3,0)+IF(impvol_order&gt;3,OFFSET(VolSkewCoef,4,impvol_order-2)*Z40^4,0)+IF(impvol_order&gt;4,OFFSET(VolSkewCoef,5,impvol_order-2)*Z40^5,0)</f>
        <v>0.52517911251</v>
      </c>
      <c r="AF40" s="0" t="n">
        <v>0.5</v>
      </c>
      <c r="AG40" s="0" t="n">
        <f aca="false">+IF(+AF40+UnderlyingPrice&lt;0,-2,+AF40/UnderlyingPrice)</f>
        <v>0.103199174406605</v>
      </c>
      <c r="AH40" s="0" t="n">
        <v>1.2</v>
      </c>
      <c r="AI40" s="45" t="n">
        <f aca="false">+AH40/100</f>
        <v>0.012</v>
      </c>
      <c r="AJ40" s="45" t="n">
        <f aca="false">+AI40+$K$3</f>
        <v>0.537</v>
      </c>
      <c r="AK40" s="0" t="n">
        <f aca="false">+IF(AG40=-2,"",(AJ41-AJ40)/(AG41-AG40))</f>
        <v>0.1135102104</v>
      </c>
      <c r="AM40" s="45"/>
    </row>
    <row r="41" customFormat="false" ht="12.7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W41" s="0" t="n">
        <f aca="true">OFFSET(VolSkewCoef,0,impvol_order-2)+OFFSET(VolSkewCoef,1,impvol_order-2)*M18+OFFSET(VolSkewCoef,2,impvol_order-2)*M18^2+IF(impvol_order&gt;2,OFFSET(VolSkewCoef,3,impvol_order-2)*M18^3,0)+IF(impvol_order&gt;3,OFFSET(VolSkewCoef,4,impvol_order-2)*M18^4,0)+IF(impvol_order&gt;4,OFFSET(VolSkewCoef,5,impvol_order-2)*M18^5,0)</f>
        <v>0.514848686872058</v>
      </c>
      <c r="X41" s="46" t="e">
        <f aca="false">+W41-N18</f>
        <v>#NAME?</v>
      </c>
      <c r="Z41" s="47" t="n">
        <f aca="false">+Z40+0.01</f>
        <v>-0.3</v>
      </c>
      <c r="AA41" s="0" t="n">
        <f aca="true">OFFSET(VolSkewCoef,0,impvol_order-2)+OFFSET(VolSkewCoef,1,impvol_order-2)*Z41+OFFSET(VolSkewCoef,2,impvol_order-2)*Z41^2+IF(impvol_order&gt;2,OFFSET(VolSkewCoef,3,impvol_order-2)*Z41^3,0)+IF(impvol_order&gt;3,OFFSET(VolSkewCoef,4,impvol_order-2)*Z41^4,0)+IF(impvol_order&gt;4,OFFSET(VolSkewCoef,5,impvol_order-2)*Z41^5,0)</f>
        <v>0.52404187</v>
      </c>
      <c r="AF41" s="0" t="n">
        <v>1</v>
      </c>
      <c r="AG41" s="0" t="n">
        <f aca="false">+IF(+AF41+UnderlyingPrice&lt;0,-2,+AF41/UnderlyingPrice)</f>
        <v>0.20639834881321</v>
      </c>
      <c r="AH41" s="0" t="n">
        <v>2.371416</v>
      </c>
      <c r="AI41" s="45" t="n">
        <f aca="false">+AH41/100</f>
        <v>0.02371416</v>
      </c>
      <c r="AJ41" s="45" t="n">
        <f aca="false">+AI41+$K$3</f>
        <v>0.54871416</v>
      </c>
      <c r="AK41" s="0" t="n">
        <f aca="false">+IF(AG41=-2,"",(AJ42-AJ41)/(AG42-AG41))</f>
        <v>0.105508556154719</v>
      </c>
      <c r="AM41" s="45"/>
    </row>
    <row r="42" customFormat="false" ht="12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W42" s="0" t="n">
        <f aca="true">OFFSET(VolSkewCoef,0,impvol_order-2)+OFFSET(VolSkewCoef,1,impvol_order-2)*M19+OFFSET(VolSkewCoef,2,impvol_order-2)*M19^2+IF(impvol_order&gt;2,OFFSET(VolSkewCoef,3,impvol_order-2)*M19^3,0)+IF(impvol_order&gt;3,OFFSET(VolSkewCoef,4,impvol_order-2)*M19^4,0)+IF(impvol_order&gt;4,OFFSET(VolSkewCoef,5,impvol_order-2)*M19^5,0)</f>
        <v>0.516522813563411</v>
      </c>
      <c r="X42" s="46" t="e">
        <f aca="false">+W42-N19</f>
        <v>#NAME?</v>
      </c>
      <c r="Z42" s="47" t="n">
        <f aca="false">+Z41+0.01</f>
        <v>-0.29</v>
      </c>
      <c r="AA42" s="0" t="n">
        <f aca="true">OFFSET(VolSkewCoef,0,impvol_order-2)+OFFSET(VolSkewCoef,1,impvol_order-2)*Z42+OFFSET(VolSkewCoef,2,impvol_order-2)*Z42^2+IF(impvol_order&gt;2,OFFSET(VolSkewCoef,3,impvol_order-2)*Z42^3,0)+IF(impvol_order&gt;3,OFFSET(VolSkewCoef,4,impvol_order-2)*Z42^4,0)+IF(impvol_order&gt;4,OFFSET(VolSkewCoef,5,impvol_order-2)*Z42^5,0)</f>
        <v>0.52297360129</v>
      </c>
      <c r="AF42" s="0" t="n">
        <v>1.5</v>
      </c>
      <c r="AG42" s="0" t="n">
        <f aca="false">+IF(+AF42+UnderlyingPrice&lt;0,-2,+AF42/UnderlyingPrice)</f>
        <v>0.309597523219814</v>
      </c>
      <c r="AH42" s="0" t="n">
        <v>3.4602555888</v>
      </c>
      <c r="AI42" s="45" t="n">
        <f aca="false">+AH42/100</f>
        <v>0.034602555888</v>
      </c>
      <c r="AJ42" s="45" t="n">
        <f aca="false">+AI42+$K$3</f>
        <v>0.559602555888</v>
      </c>
      <c r="AK42" s="0" t="n">
        <f aca="false">+IF(AG42=-2,"",(AJ43-AJ42)/(AG43-AG42))</f>
        <v>0.09590623344528</v>
      </c>
      <c r="AM42" s="45"/>
    </row>
    <row r="43" customFormat="false" ht="12.7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W43" s="0" t="n">
        <f aca="true">OFFSET(VolSkewCoef,0,impvol_order-2)+OFFSET(VolSkewCoef,1,impvol_order-2)*M20+OFFSET(VolSkewCoef,2,impvol_order-2)*M20^2+IF(impvol_order&gt;2,OFFSET(VolSkewCoef,3,impvol_order-2)*M20^3,0)+IF(impvol_order&gt;3,OFFSET(VolSkewCoef,4,impvol_order-2)*M20^4,0)+IF(impvol_order&gt;4,OFFSET(VolSkewCoef,5,impvol_order-2)*M20^5,0)</f>
        <v>0.519278125923253</v>
      </c>
      <c r="X43" s="46" t="e">
        <f aca="false">+W43-N20</f>
        <v>#NAME?</v>
      </c>
      <c r="Z43" s="47" t="n">
        <f aca="false">+Z42+0.01</f>
        <v>-0.28</v>
      </c>
      <c r="AA43" s="0" t="n">
        <f aca="true">OFFSET(VolSkewCoef,0,impvol_order-2)+OFFSET(VolSkewCoef,1,impvol_order-2)*Z43+OFFSET(VolSkewCoef,2,impvol_order-2)*Z43^2+IF(impvol_order&gt;2,OFFSET(VolSkewCoef,3,impvol_order-2)*Z43^3,0)+IF(impvol_order&gt;3,OFFSET(VolSkewCoef,4,impvol_order-2)*Z43^4,0)+IF(impvol_order&gt;4,OFFSET(VolSkewCoef,5,impvol_order-2)*Z43^5,0)</f>
        <v>0.52197329472</v>
      </c>
      <c r="AF43" s="0" t="n">
        <v>2</v>
      </c>
      <c r="AG43" s="0" t="n">
        <f aca="false">+IF(+AF43+UnderlyingPrice&lt;0,-2,+AF43/UnderlyingPrice)</f>
        <v>0.412796697626419</v>
      </c>
      <c r="AH43" s="0" t="n">
        <v>4.45</v>
      </c>
      <c r="AI43" s="45" t="n">
        <f aca="false">+AH43/100</f>
        <v>0.0445</v>
      </c>
      <c r="AJ43" s="45" t="n">
        <f aca="false">+AI43+$K$3</f>
        <v>0.5695</v>
      </c>
      <c r="AK43" s="0" t="n">
        <f aca="false">+IF(AG43=-2,"",(AJ44-AJ43)/(AG44-AG43))</f>
        <v>0.0921726336621037</v>
      </c>
      <c r="AM43" s="45"/>
    </row>
    <row r="44" customFormat="false" ht="12.7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W44" s="0" t="n">
        <f aca="true">OFFSET(VolSkewCoef,0,impvol_order-2)+OFFSET(VolSkewCoef,1,impvol_order-2)*M21+OFFSET(VolSkewCoef,2,impvol_order-2)*M21^2+IF(impvol_order&gt;2,OFFSET(VolSkewCoef,3,impvol_order-2)*M21^3,0)+IF(impvol_order&gt;3,OFFSET(VolSkewCoef,4,impvol_order-2)*M21^4,0)+IF(impvol_order&gt;4,OFFSET(VolSkewCoef,5,impvol_order-2)*M21^5,0)</f>
        <v>0.525588581072552</v>
      </c>
      <c r="X44" s="46" t="e">
        <f aca="false">+W44-N21</f>
        <v>#NAME?</v>
      </c>
      <c r="Z44" s="47" t="n">
        <f aca="false">+Z43+0.01</f>
        <v>-0.27</v>
      </c>
      <c r="AA44" s="0" t="n">
        <f aca="true">OFFSET(VolSkewCoef,0,impvol_order-2)+OFFSET(VolSkewCoef,1,impvol_order-2)*Z44+OFFSET(VolSkewCoef,2,impvol_order-2)*Z44^2+IF(impvol_order&gt;2,OFFSET(VolSkewCoef,3,impvol_order-2)*Z44^3,0)+IF(impvol_order&gt;3,OFFSET(VolSkewCoef,4,impvol_order-2)*Z44^4,0)+IF(impvol_order&gt;4,OFFSET(VolSkewCoef,5,impvol_order-2)*Z44^5,0)</f>
        <v>0.52103993863</v>
      </c>
      <c r="AF44" s="0" t="n">
        <v>2.5</v>
      </c>
      <c r="AG44" s="0" t="n">
        <f aca="false">+IF(+AF44+UnderlyingPrice&lt;0,-2,+AF44/UnderlyingPrice)</f>
        <v>0.515995872033024</v>
      </c>
      <c r="AH44" s="0" t="n">
        <v>5.40121396968115</v>
      </c>
      <c r="AI44" s="45" t="n">
        <f aca="false">+AH44/100</f>
        <v>0.0540121396968115</v>
      </c>
      <c r="AJ44" s="45" t="n">
        <f aca="false">+AI44+$K$3</f>
        <v>0.579012139696812</v>
      </c>
      <c r="AK44" s="0" t="n">
        <f aca="false">+IF(AG44=-2,"",(AJ45-AJ44)/(AG45-AG44))</f>
        <v>0.08370516779788</v>
      </c>
      <c r="AM44" s="45"/>
    </row>
    <row r="45" customFormat="false" ht="12.7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X45" s="46"/>
      <c r="Z45" s="47" t="n">
        <f aca="false">+Z44+0.01</f>
        <v>-0.26</v>
      </c>
      <c r="AA45" s="0" t="n">
        <f aca="true">OFFSET(VolSkewCoef,0,impvol_order-2)+OFFSET(VolSkewCoef,1,impvol_order-2)*Z45+OFFSET(VolSkewCoef,2,impvol_order-2)*Z45^2+IF(impvol_order&gt;2,OFFSET(VolSkewCoef,3,impvol_order-2)*Z45^3,0)+IF(impvol_order&gt;3,OFFSET(VolSkewCoef,4,impvol_order-2)*Z45^4,0)+IF(impvol_order&gt;4,OFFSET(VolSkewCoef,5,impvol_order-2)*Z45^5,0)</f>
        <v>0.52017252136</v>
      </c>
      <c r="AF45" s="0" t="n">
        <v>3</v>
      </c>
      <c r="AG45" s="0" t="n">
        <f aca="false">+IF(+AF45+UnderlyingPrice&lt;0,-2,+AF45/UnderlyingPrice)</f>
        <v>0.619195046439629</v>
      </c>
      <c r="AH45" s="0" t="n">
        <v>6.2650443907119</v>
      </c>
      <c r="AI45" s="45" t="n">
        <f aca="false">+AH45/100</f>
        <v>0.062650443907119</v>
      </c>
      <c r="AJ45" s="45" t="n">
        <f aca="false">+AI45+$K$3</f>
        <v>0.587650443907119</v>
      </c>
      <c r="AK45" s="0" t="n">
        <f aca="false">+IF(AG45=-2,"",(AJ46-AJ45)/(AG46-AG45))</f>
        <v>0.0748425153086527</v>
      </c>
      <c r="AM45" s="45"/>
    </row>
    <row r="46" customFormat="false" ht="12.7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X46" s="46"/>
      <c r="Z46" s="47" t="n">
        <f aca="false">+Z45+0.01</f>
        <v>-0.25</v>
      </c>
      <c r="AA46" s="0" t="n">
        <f aca="true">OFFSET(VolSkewCoef,0,impvol_order-2)+OFFSET(VolSkewCoef,1,impvol_order-2)*Z46+OFFSET(VolSkewCoef,2,impvol_order-2)*Z46^2+IF(impvol_order&gt;2,OFFSET(VolSkewCoef,3,impvol_order-2)*Z46^3,0)+IF(impvol_order&gt;3,OFFSET(VolSkewCoef,4,impvol_order-2)*Z46^4,0)+IF(impvol_order&gt;4,OFFSET(VolSkewCoef,5,impvol_order-2)*Z46^5,0)</f>
        <v>0.51937003125</v>
      </c>
      <c r="AF46" s="0" t="n">
        <v>4</v>
      </c>
      <c r="AG46" s="0" t="n">
        <f aca="false">+IF(+AF46+UnderlyingPrice&lt;0,-2,+AF46/UnderlyingPrice)</f>
        <v>0.825593395252838</v>
      </c>
      <c r="AH46" s="0" t="n">
        <v>7.80978154878524</v>
      </c>
      <c r="AI46" s="45" t="n">
        <f aca="false">+AH46/100</f>
        <v>0.0780978154878524</v>
      </c>
      <c r="AJ46" s="45" t="n">
        <f aca="false">+AI46+$K$3</f>
        <v>0.603097815487852</v>
      </c>
      <c r="AK46" s="0" t="n">
        <f aca="false">+IF(AG46=-2,"",(AJ47-AJ46)/(AG47-AG46))</f>
        <v>0.0682434125942032</v>
      </c>
      <c r="AM46" s="45"/>
    </row>
    <row r="47" customFormat="false" ht="12.7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Z47" s="47" t="n">
        <f aca="false">+Z46+0.01</f>
        <v>-0.24</v>
      </c>
      <c r="AA47" s="0" t="n">
        <f aca="true">OFFSET(VolSkewCoef,0,impvol_order-2)+OFFSET(VolSkewCoef,1,impvol_order-2)*Z47+OFFSET(VolSkewCoef,2,impvol_order-2)*Z47^2+IF(impvol_order&gt;2,OFFSET(VolSkewCoef,3,impvol_order-2)*Z47^3,0)+IF(impvol_order&gt;3,OFFSET(VolSkewCoef,4,impvol_order-2)*Z47^4,0)+IF(impvol_order&gt;4,OFFSET(VolSkewCoef,5,impvol_order-2)*Z47^5,0)</f>
        <v>0.51863145664</v>
      </c>
      <c r="AF47" s="0" t="n">
        <v>5</v>
      </c>
      <c r="AG47" s="0" t="n">
        <f aca="false">+IF(+AF47+UnderlyingPrice&lt;0,-2,+AF47/UnderlyingPrice)</f>
        <v>1.03199174406605</v>
      </c>
      <c r="AH47" s="0" t="n">
        <v>9.21831431646745</v>
      </c>
      <c r="AI47" s="45" t="n">
        <f aca="false">+AH47/100</f>
        <v>0.0921831431646745</v>
      </c>
      <c r="AJ47" s="45" t="n">
        <f aca="false">+AI47+$K$3</f>
        <v>0.617183143164675</v>
      </c>
      <c r="AK47" s="0" t="n">
        <f aca="false">+IF(AG47=-2,"",(AJ48-AJ47)/(AG48-AG47))</f>
        <v>0.0682434125942035</v>
      </c>
      <c r="AM47" s="45"/>
    </row>
    <row r="48" customFormat="false" ht="12.7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Z48" s="47" t="n">
        <f aca="false">+Z47+0.01</f>
        <v>-0.23</v>
      </c>
      <c r="AA48" s="0" t="n">
        <f aca="true">OFFSET(VolSkewCoef,0,impvol_order-2)+OFFSET(VolSkewCoef,1,impvol_order-2)*Z48+OFFSET(VolSkewCoef,2,impvol_order-2)*Z48^2+IF(impvol_order&gt;2,OFFSET(VolSkewCoef,3,impvol_order-2)*Z48^3,0)+IF(impvol_order&gt;3,OFFSET(VolSkewCoef,4,impvol_order-2)*Z48^4,0)+IF(impvol_order&gt;4,OFFSET(VolSkewCoef,5,impvol_order-2)*Z48^5,0)</f>
        <v>0.51795578587</v>
      </c>
      <c r="AF48" s="0" t="n">
        <v>10</v>
      </c>
      <c r="AG48" s="0" t="n">
        <f aca="false">+IF(+AF48+UnderlyingPrice&lt;0,-2,+AF48/UnderlyingPrice)</f>
        <v>2.0639834881321</v>
      </c>
      <c r="AH48" s="0" t="n">
        <v>16.2609781548785</v>
      </c>
      <c r="AI48" s="45" t="n">
        <f aca="false">+AH48/100</f>
        <v>0.162609781548785</v>
      </c>
      <c r="AJ48" s="45" t="n">
        <f aca="false">+AI48+$K$3</f>
        <v>0.687609781548785</v>
      </c>
      <c r="AK48" s="0" t="n">
        <f aca="false">+IF(AG48=-2,"",(AJ49-AJ48)/(AG49-AG48))</f>
        <v>0.0680603909208325</v>
      </c>
      <c r="AM48" s="45"/>
    </row>
    <row r="49" customFormat="false" ht="12.7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Z49" s="47" t="n">
        <f aca="false">+Z48+0.01</f>
        <v>-0.22</v>
      </c>
      <c r="AA49" s="0" t="n">
        <f aca="true">OFFSET(VolSkewCoef,0,impvol_order-2)+OFFSET(VolSkewCoef,1,impvol_order-2)*Z49+OFFSET(VolSkewCoef,2,impvol_order-2)*Z49^2+IF(impvol_order&gt;2,OFFSET(VolSkewCoef,3,impvol_order-2)*Z49^3,0)+IF(impvol_order&gt;3,OFFSET(VolSkewCoef,4,impvol_order-2)*Z49^4,0)+IF(impvol_order&gt;4,OFFSET(VolSkewCoef,5,impvol_order-2)*Z49^5,0)</f>
        <v>0.51734200728</v>
      </c>
      <c r="AF49" s="0" t="n">
        <v>40</v>
      </c>
      <c r="AG49" s="0" t="n">
        <f aca="false">+IF(+AF49+UnderlyingPrice&lt;0,-2,+AF49/UnderlyingPrice)</f>
        <v>8.25593395252838</v>
      </c>
      <c r="AH49" s="0" t="n">
        <v>58.4036350718027</v>
      </c>
      <c r="AI49" s="45" t="n">
        <f aca="false">+AH49/100</f>
        <v>0.584036350718027</v>
      </c>
      <c r="AJ49" s="45" t="n">
        <f aca="false">+AI49+$K$3</f>
        <v>1.10903635071803</v>
      </c>
      <c r="AK49" s="0" t="n">
        <f aca="false">+IF(AG49=-2,"",(AJ50-AJ49)/(AG50-AG49))</f>
        <v>0.134332027980721</v>
      </c>
      <c r="AM49" s="45"/>
    </row>
    <row r="50" customFormat="false" ht="12.7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Z50" s="47" t="n">
        <f aca="false">+Z49+0.01</f>
        <v>-0.21</v>
      </c>
      <c r="AA50" s="0" t="n">
        <f aca="true">OFFSET(VolSkewCoef,0,impvol_order-2)+OFFSET(VolSkewCoef,1,impvol_order-2)*Z50+OFFSET(VolSkewCoef,2,impvol_order-2)*Z50^2+IF(impvol_order&gt;2,OFFSET(VolSkewCoef,3,impvol_order-2)*Z50^3,0)+IF(impvol_order&gt;3,OFFSET(VolSkewCoef,4,impvol_order-2)*Z50^4,0)+IF(impvol_order&gt;4,OFFSET(VolSkewCoef,5,impvol_order-2)*Z50^5,0)</f>
        <v>0.51678910921</v>
      </c>
    </row>
    <row r="51" customFormat="false" ht="12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Z51" s="47" t="n">
        <f aca="false">+Z50+0.01</f>
        <v>-0.2</v>
      </c>
      <c r="AA51" s="0" t="n">
        <f aca="true">OFFSET(VolSkewCoef,0,impvol_order-2)+OFFSET(VolSkewCoef,1,impvol_order-2)*Z51+OFFSET(VolSkewCoef,2,impvol_order-2)*Z51^2+IF(impvol_order&gt;2,OFFSET(VolSkewCoef,3,impvol_order-2)*Z51^3,0)+IF(impvol_order&gt;3,OFFSET(VolSkewCoef,4,impvol_order-2)*Z51^4,0)+IF(impvol_order&gt;4,OFFSET(VolSkewCoef,5,impvol_order-2)*Z51^5,0)</f>
        <v>0.51629608</v>
      </c>
    </row>
    <row r="52" customFormat="false" ht="12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Z52" s="47" t="n">
        <f aca="false">+Z51+0.01</f>
        <v>-0.19</v>
      </c>
      <c r="AA52" s="0" t="n">
        <f aca="true">OFFSET(VolSkewCoef,0,impvol_order-2)+OFFSET(VolSkewCoef,1,impvol_order-2)*Z52+OFFSET(VolSkewCoef,2,impvol_order-2)*Z52^2+IF(impvol_order&gt;2,OFFSET(VolSkewCoef,3,impvol_order-2)*Z52^3,0)+IF(impvol_order&gt;3,OFFSET(VolSkewCoef,4,impvol_order-2)*Z52^4,0)+IF(impvol_order&gt;4,OFFSET(VolSkewCoef,5,impvol_order-2)*Z52^5,0)</f>
        <v>0.51586190799</v>
      </c>
    </row>
    <row r="53" customFormat="false" ht="12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Z53" s="47" t="n">
        <f aca="false">+Z52+0.01</f>
        <v>-0.18</v>
      </c>
      <c r="AA53" s="0" t="n">
        <f aca="true">OFFSET(VolSkewCoef,0,impvol_order-2)+OFFSET(VolSkewCoef,1,impvol_order-2)*Z53+OFFSET(VolSkewCoef,2,impvol_order-2)*Z53^2+IF(impvol_order&gt;2,OFFSET(VolSkewCoef,3,impvol_order-2)*Z53^3,0)+IF(impvol_order&gt;3,OFFSET(VolSkewCoef,4,impvol_order-2)*Z53^4,0)+IF(impvol_order&gt;4,OFFSET(VolSkewCoef,5,impvol_order-2)*Z53^5,0)</f>
        <v>0.51548558152</v>
      </c>
    </row>
    <row r="54" customFormat="false" ht="12.7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Z54" s="47" t="n">
        <f aca="false">+Z53+0.01</f>
        <v>-0.17</v>
      </c>
      <c r="AA54" s="0" t="n">
        <f aca="true">OFFSET(VolSkewCoef,0,impvol_order-2)+OFFSET(VolSkewCoef,1,impvol_order-2)*Z54+OFFSET(VolSkewCoef,2,impvol_order-2)*Z54^2+IF(impvol_order&gt;2,OFFSET(VolSkewCoef,3,impvol_order-2)*Z54^3,0)+IF(impvol_order&gt;3,OFFSET(VolSkewCoef,4,impvol_order-2)*Z54^4,0)+IF(impvol_order&gt;4,OFFSET(VolSkewCoef,5,impvol_order-2)*Z54^5,0)</f>
        <v>0.51516608893</v>
      </c>
    </row>
    <row r="55" customFormat="false" ht="12.7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Z55" s="47" t="n">
        <f aca="false">+Z54+0.01</f>
        <v>-0.16</v>
      </c>
      <c r="AA55" s="0" t="n">
        <f aca="true">OFFSET(VolSkewCoef,0,impvol_order-2)+OFFSET(VolSkewCoef,1,impvol_order-2)*Z55+OFFSET(VolSkewCoef,2,impvol_order-2)*Z55^2+IF(impvol_order&gt;2,OFFSET(VolSkewCoef,3,impvol_order-2)*Z55^3,0)+IF(impvol_order&gt;3,OFFSET(VolSkewCoef,4,impvol_order-2)*Z55^4,0)+IF(impvol_order&gt;4,OFFSET(VolSkewCoef,5,impvol_order-2)*Z55^5,0)</f>
        <v>0.51490241856</v>
      </c>
    </row>
    <row r="56" customFormat="false" ht="12.75" hidden="false" customHeight="false" outlineLevel="0" collapsed="false">
      <c r="Z56" s="47" t="n">
        <f aca="false">+Z55+0.01</f>
        <v>-0.15</v>
      </c>
      <c r="AA56" s="0" t="n">
        <f aca="true">OFFSET(VolSkewCoef,0,impvol_order-2)+OFFSET(VolSkewCoef,1,impvol_order-2)*Z56+OFFSET(VolSkewCoef,2,impvol_order-2)*Z56^2+IF(impvol_order&gt;2,OFFSET(VolSkewCoef,3,impvol_order-2)*Z56^3,0)+IF(impvol_order&gt;3,OFFSET(VolSkewCoef,4,impvol_order-2)*Z56^4,0)+IF(impvol_order&gt;4,OFFSET(VolSkewCoef,5,impvol_order-2)*Z56^5,0)</f>
        <v>0.51469355875</v>
      </c>
    </row>
    <row r="57" customFormat="false" ht="12.75" hidden="false" customHeight="false" outlineLevel="0" collapsed="false">
      <c r="Z57" s="47" t="n">
        <f aca="false">+Z56+0.01</f>
        <v>-0.14</v>
      </c>
      <c r="AA57" s="0" t="n">
        <f aca="true">OFFSET(VolSkewCoef,0,impvol_order-2)+OFFSET(VolSkewCoef,1,impvol_order-2)*Z57+OFFSET(VolSkewCoef,2,impvol_order-2)*Z57^2+IF(impvol_order&gt;2,OFFSET(VolSkewCoef,3,impvol_order-2)*Z57^3,0)+IF(impvol_order&gt;3,OFFSET(VolSkewCoef,4,impvol_order-2)*Z57^4,0)+IF(impvol_order&gt;4,OFFSET(VolSkewCoef,5,impvol_order-2)*Z57^5,0)</f>
        <v>0.51453849784</v>
      </c>
    </row>
    <row r="58" customFormat="false" ht="12.75" hidden="false" customHeight="false" outlineLevel="0" collapsed="false">
      <c r="Z58" s="47" t="n">
        <f aca="false">+Z57+0.01</f>
        <v>-0.13</v>
      </c>
      <c r="AA58" s="0" t="n">
        <f aca="true">OFFSET(VolSkewCoef,0,impvol_order-2)+OFFSET(VolSkewCoef,1,impvol_order-2)*Z58+OFFSET(VolSkewCoef,2,impvol_order-2)*Z58^2+IF(impvol_order&gt;2,OFFSET(VolSkewCoef,3,impvol_order-2)*Z58^3,0)+IF(impvol_order&gt;3,OFFSET(VolSkewCoef,4,impvol_order-2)*Z58^4,0)+IF(impvol_order&gt;4,OFFSET(VolSkewCoef,5,impvol_order-2)*Z58^5,0)</f>
        <v>0.51443622417</v>
      </c>
    </row>
    <row r="59" customFormat="false" ht="12.75" hidden="false" customHeight="false" outlineLevel="0" collapsed="false">
      <c r="Z59" s="47" t="n">
        <f aca="false">+Z58+0.01</f>
        <v>-0.12</v>
      </c>
      <c r="AA59" s="0" t="n">
        <f aca="true">OFFSET(VolSkewCoef,0,impvol_order-2)+OFFSET(VolSkewCoef,1,impvol_order-2)*Z59+OFFSET(VolSkewCoef,2,impvol_order-2)*Z59^2+IF(impvol_order&gt;2,OFFSET(VolSkewCoef,3,impvol_order-2)*Z59^3,0)+IF(impvol_order&gt;3,OFFSET(VolSkewCoef,4,impvol_order-2)*Z59^4,0)+IF(impvol_order&gt;4,OFFSET(VolSkewCoef,5,impvol_order-2)*Z59^5,0)</f>
        <v>0.51438572608</v>
      </c>
    </row>
    <row r="60" customFormat="false" ht="12.75" hidden="false" customHeight="false" outlineLevel="0" collapsed="false">
      <c r="Z60" s="47" t="n">
        <f aca="false">+Z59+0.01</f>
        <v>-0.11</v>
      </c>
      <c r="AA60" s="0" t="n">
        <f aca="true">OFFSET(VolSkewCoef,0,impvol_order-2)+OFFSET(VolSkewCoef,1,impvol_order-2)*Z60+OFFSET(VolSkewCoef,2,impvol_order-2)*Z60^2+IF(impvol_order&gt;2,OFFSET(VolSkewCoef,3,impvol_order-2)*Z60^3,0)+IF(impvol_order&gt;3,OFFSET(VolSkewCoef,4,impvol_order-2)*Z60^4,0)+IF(impvol_order&gt;4,OFFSET(VolSkewCoef,5,impvol_order-2)*Z60^5,0)</f>
        <v>0.51438599191</v>
      </c>
    </row>
    <row r="61" customFormat="false" ht="12.75" hidden="false" customHeight="false" outlineLevel="0" collapsed="false">
      <c r="Z61" s="47" t="n">
        <f aca="false">+Z60+0.01</f>
        <v>-0.0999999999999998</v>
      </c>
      <c r="AA61" s="0" t="n">
        <f aca="true">OFFSET(VolSkewCoef,0,impvol_order-2)+OFFSET(VolSkewCoef,1,impvol_order-2)*Z61+OFFSET(VolSkewCoef,2,impvol_order-2)*Z61^2+IF(impvol_order&gt;2,OFFSET(VolSkewCoef,3,impvol_order-2)*Z61^3,0)+IF(impvol_order&gt;3,OFFSET(VolSkewCoef,4,impvol_order-2)*Z61^4,0)+IF(impvol_order&gt;4,OFFSET(VolSkewCoef,5,impvol_order-2)*Z61^5,0)</f>
        <v>0.51443601</v>
      </c>
    </row>
    <row r="62" customFormat="false" ht="12.75" hidden="false" customHeight="false" outlineLevel="0" collapsed="false">
      <c r="Z62" s="47" t="n">
        <f aca="false">+Z61+0.01</f>
        <v>-0.0899999999999998</v>
      </c>
      <c r="AA62" s="0" t="n">
        <f aca="true">OFFSET(VolSkewCoef,0,impvol_order-2)+OFFSET(VolSkewCoef,1,impvol_order-2)*Z62+OFFSET(VolSkewCoef,2,impvol_order-2)*Z62^2+IF(impvol_order&gt;2,OFFSET(VolSkewCoef,3,impvol_order-2)*Z62^3,0)+IF(impvol_order&gt;3,OFFSET(VolSkewCoef,4,impvol_order-2)*Z62^4,0)+IF(impvol_order&gt;4,OFFSET(VolSkewCoef,5,impvol_order-2)*Z62^5,0)</f>
        <v>0.51453476869</v>
      </c>
    </row>
    <row r="63" customFormat="false" ht="12.75" hidden="false" customHeight="false" outlineLevel="0" collapsed="false">
      <c r="Z63" s="47" t="n">
        <f aca="false">+Z62+0.01</f>
        <v>-0.0799999999999998</v>
      </c>
      <c r="AA63" s="0" t="n">
        <f aca="true">OFFSET(VolSkewCoef,0,impvol_order-2)+OFFSET(VolSkewCoef,1,impvol_order-2)*Z63+OFFSET(VolSkewCoef,2,impvol_order-2)*Z63^2+IF(impvol_order&gt;2,OFFSET(VolSkewCoef,3,impvol_order-2)*Z63^3,0)+IF(impvol_order&gt;3,OFFSET(VolSkewCoef,4,impvol_order-2)*Z63^4,0)+IF(impvol_order&gt;4,OFFSET(VolSkewCoef,5,impvol_order-2)*Z63^5,0)</f>
        <v>0.51468125632</v>
      </c>
    </row>
    <row r="64" customFormat="false" ht="12.75" hidden="false" customHeight="false" outlineLevel="0" collapsed="false">
      <c r="Z64" s="47" t="n">
        <f aca="false">+Z63+0.01</f>
        <v>-0.0699999999999998</v>
      </c>
      <c r="AA64" s="0" t="n">
        <f aca="true">OFFSET(VolSkewCoef,0,impvol_order-2)+OFFSET(VolSkewCoef,1,impvol_order-2)*Z64+OFFSET(VolSkewCoef,2,impvol_order-2)*Z64^2+IF(impvol_order&gt;2,OFFSET(VolSkewCoef,3,impvol_order-2)*Z64^3,0)+IF(impvol_order&gt;3,OFFSET(VolSkewCoef,4,impvol_order-2)*Z64^4,0)+IF(impvol_order&gt;4,OFFSET(VolSkewCoef,5,impvol_order-2)*Z64^5,0)</f>
        <v>0.51487446123</v>
      </c>
    </row>
    <row r="65" customFormat="false" ht="12.75" hidden="false" customHeight="false" outlineLevel="0" collapsed="false">
      <c r="Z65" s="47" t="n">
        <f aca="false">+Z64+0.01</f>
        <v>-0.0599999999999998</v>
      </c>
      <c r="AA65" s="0" t="n">
        <f aca="true">OFFSET(VolSkewCoef,0,impvol_order-2)+OFFSET(VolSkewCoef,1,impvol_order-2)*Z65+OFFSET(VolSkewCoef,2,impvol_order-2)*Z65^2+IF(impvol_order&gt;2,OFFSET(VolSkewCoef,3,impvol_order-2)*Z65^3,0)+IF(impvol_order&gt;3,OFFSET(VolSkewCoef,4,impvol_order-2)*Z65^4,0)+IF(impvol_order&gt;4,OFFSET(VolSkewCoef,5,impvol_order-2)*Z65^5,0)</f>
        <v>0.51511337176</v>
      </c>
    </row>
    <row r="66" customFormat="false" ht="12.75" hidden="false" customHeight="false" outlineLevel="0" collapsed="false">
      <c r="Z66" s="47" t="n">
        <f aca="false">+Z65+0.01</f>
        <v>-0.0499999999999998</v>
      </c>
      <c r="AA66" s="0" t="n">
        <f aca="true">OFFSET(VolSkewCoef,0,impvol_order-2)+OFFSET(VolSkewCoef,1,impvol_order-2)*Z66+OFFSET(VolSkewCoef,2,impvol_order-2)*Z66^2+IF(impvol_order&gt;2,OFFSET(VolSkewCoef,3,impvol_order-2)*Z66^3,0)+IF(impvol_order&gt;3,OFFSET(VolSkewCoef,4,impvol_order-2)*Z66^4,0)+IF(impvol_order&gt;4,OFFSET(VolSkewCoef,5,impvol_order-2)*Z66^5,0)</f>
        <v>0.51539697625</v>
      </c>
    </row>
    <row r="67" customFormat="false" ht="12.75" hidden="false" customHeight="false" outlineLevel="0" collapsed="false">
      <c r="Z67" s="47" t="n">
        <f aca="false">+Z66+0.01</f>
        <v>-0.0399999999999998</v>
      </c>
      <c r="AA67" s="0" t="n">
        <f aca="true">OFFSET(VolSkewCoef,0,impvol_order-2)+OFFSET(VolSkewCoef,1,impvol_order-2)*Z67+OFFSET(VolSkewCoef,2,impvol_order-2)*Z67^2+IF(impvol_order&gt;2,OFFSET(VolSkewCoef,3,impvol_order-2)*Z67^3,0)+IF(impvol_order&gt;3,OFFSET(VolSkewCoef,4,impvol_order-2)*Z67^4,0)+IF(impvol_order&gt;4,OFFSET(VolSkewCoef,5,impvol_order-2)*Z67^5,0)</f>
        <v>0.51572426304</v>
      </c>
    </row>
    <row r="68" customFormat="false" ht="12.75" hidden="false" customHeight="false" outlineLevel="0" collapsed="false">
      <c r="Z68" s="47" t="n">
        <f aca="false">+Z67+0.01</f>
        <v>-0.0299999999999998</v>
      </c>
      <c r="AA68" s="0" t="n">
        <f aca="true">OFFSET(VolSkewCoef,0,impvol_order-2)+OFFSET(VolSkewCoef,1,impvol_order-2)*Z68+OFFSET(VolSkewCoef,2,impvol_order-2)*Z68^2+IF(impvol_order&gt;2,OFFSET(VolSkewCoef,3,impvol_order-2)*Z68^3,0)+IF(impvol_order&gt;3,OFFSET(VolSkewCoef,4,impvol_order-2)*Z68^4,0)+IF(impvol_order&gt;4,OFFSET(VolSkewCoef,5,impvol_order-2)*Z68^5,0)</f>
        <v>0.51609422047</v>
      </c>
    </row>
    <row r="69" customFormat="false" ht="12.75" hidden="false" customHeight="false" outlineLevel="0" collapsed="false">
      <c r="Z69" s="47" t="n">
        <f aca="false">+Z68+0.01</f>
        <v>-0.0199999999999998</v>
      </c>
      <c r="AA69" s="0" t="n">
        <f aca="true">OFFSET(VolSkewCoef,0,impvol_order-2)+OFFSET(VolSkewCoef,1,impvol_order-2)*Z69+OFFSET(VolSkewCoef,2,impvol_order-2)*Z69^2+IF(impvol_order&gt;2,OFFSET(VolSkewCoef,3,impvol_order-2)*Z69^3,0)+IF(impvol_order&gt;3,OFFSET(VolSkewCoef,4,impvol_order-2)*Z69^4,0)+IF(impvol_order&gt;4,OFFSET(VolSkewCoef,5,impvol_order-2)*Z69^5,0)</f>
        <v>0.51650583688</v>
      </c>
    </row>
    <row r="70" customFormat="false" ht="12.75" hidden="false" customHeight="false" outlineLevel="0" collapsed="false">
      <c r="Z70" s="47" t="n">
        <f aca="false">+Z69+0.01</f>
        <v>-0.0099999999999998</v>
      </c>
      <c r="AA70" s="0" t="n">
        <f aca="true">OFFSET(VolSkewCoef,0,impvol_order-2)+OFFSET(VolSkewCoef,1,impvol_order-2)*Z70+OFFSET(VolSkewCoef,2,impvol_order-2)*Z70^2+IF(impvol_order&gt;2,OFFSET(VolSkewCoef,3,impvol_order-2)*Z70^3,0)+IF(impvol_order&gt;3,OFFSET(VolSkewCoef,4,impvol_order-2)*Z70^4,0)+IF(impvol_order&gt;4,OFFSET(VolSkewCoef,5,impvol_order-2)*Z70^5,0)</f>
        <v>0.51695810061</v>
      </c>
    </row>
    <row r="71" customFormat="false" ht="12.75" hidden="false" customHeight="false" outlineLevel="0" collapsed="false">
      <c r="Z71" s="47" t="n">
        <f aca="false">+Z70+0.01</f>
        <v>1.97758476261356E-016</v>
      </c>
      <c r="AA71" s="0" t="n">
        <f aca="true">OFFSET(VolSkewCoef,0,impvol_order-2)+OFFSET(VolSkewCoef,1,impvol_order-2)*Z71+OFFSET(VolSkewCoef,2,impvol_order-2)*Z71^2+IF(impvol_order&gt;2,OFFSET(VolSkewCoef,3,impvol_order-2)*Z71^3,0)+IF(impvol_order&gt;3,OFFSET(VolSkewCoef,4,impvol_order-2)*Z71^4,0)+IF(impvol_order&gt;4,OFFSET(VolSkewCoef,5,impvol_order-2)*Z71^5,0)</f>
        <v>0.51745</v>
      </c>
    </row>
    <row r="72" customFormat="false" ht="12.75" hidden="false" customHeight="false" outlineLevel="0" collapsed="false">
      <c r="Z72" s="47" t="n">
        <f aca="false">+Z71+0.01</f>
        <v>0.0100000000000002</v>
      </c>
      <c r="AA72" s="0" t="n">
        <f aca="true">OFFSET(VolSkewCoef,0,impvol_order-2)+OFFSET(VolSkewCoef,1,impvol_order-2)*Z72+OFFSET(VolSkewCoef,2,impvol_order-2)*Z72^2+IF(impvol_order&gt;2,OFFSET(VolSkewCoef,3,impvol_order-2)*Z72^3,0)+IF(impvol_order&gt;3,OFFSET(VolSkewCoef,4,impvol_order-2)*Z72^4,0)+IF(impvol_order&gt;4,OFFSET(VolSkewCoef,5,impvol_order-2)*Z72^5,0)</f>
        <v>0.51798052339</v>
      </c>
    </row>
    <row r="73" customFormat="false" ht="12.75" hidden="false" customHeight="false" outlineLevel="0" collapsed="false">
      <c r="Z73" s="47" t="n">
        <f aca="false">+Z72+0.01</f>
        <v>0.0200000000000002</v>
      </c>
      <c r="AA73" s="0" t="n">
        <f aca="true">OFFSET(VolSkewCoef,0,impvol_order-2)+OFFSET(VolSkewCoef,1,impvol_order-2)*Z73+OFFSET(VolSkewCoef,2,impvol_order-2)*Z73^2+IF(impvol_order&gt;2,OFFSET(VolSkewCoef,3,impvol_order-2)*Z73^3,0)+IF(impvol_order&gt;3,OFFSET(VolSkewCoef,4,impvol_order-2)*Z73^4,0)+IF(impvol_order&gt;4,OFFSET(VolSkewCoef,5,impvol_order-2)*Z73^5,0)</f>
        <v>0.51854865912</v>
      </c>
    </row>
    <row r="74" customFormat="false" ht="12.75" hidden="false" customHeight="false" outlineLevel="0" collapsed="false">
      <c r="Z74" s="47" t="n">
        <f aca="false">+Z73+0.01</f>
        <v>0.0300000000000002</v>
      </c>
      <c r="AA74" s="0" t="n">
        <f aca="true">OFFSET(VolSkewCoef,0,impvol_order-2)+OFFSET(VolSkewCoef,1,impvol_order-2)*Z74+OFFSET(VolSkewCoef,2,impvol_order-2)*Z74^2+IF(impvol_order&gt;2,OFFSET(VolSkewCoef,3,impvol_order-2)*Z74^3,0)+IF(impvol_order&gt;3,OFFSET(VolSkewCoef,4,impvol_order-2)*Z74^4,0)+IF(impvol_order&gt;4,OFFSET(VolSkewCoef,5,impvol_order-2)*Z74^5,0)</f>
        <v>0.51915339553</v>
      </c>
    </row>
    <row r="75" customFormat="false" ht="12.75" hidden="false" customHeight="false" outlineLevel="0" collapsed="false">
      <c r="Z75" s="47" t="n">
        <f aca="false">+Z74+0.01</f>
        <v>0.0400000000000002</v>
      </c>
      <c r="AA75" s="0" t="n">
        <f aca="true">OFFSET(VolSkewCoef,0,impvol_order-2)+OFFSET(VolSkewCoef,1,impvol_order-2)*Z75+OFFSET(VolSkewCoef,2,impvol_order-2)*Z75^2+IF(impvol_order&gt;2,OFFSET(VolSkewCoef,3,impvol_order-2)*Z75^3,0)+IF(impvol_order&gt;3,OFFSET(VolSkewCoef,4,impvol_order-2)*Z75^4,0)+IF(impvol_order&gt;4,OFFSET(VolSkewCoef,5,impvol_order-2)*Z75^5,0)</f>
        <v>0.51979372096</v>
      </c>
    </row>
    <row r="76" customFormat="false" ht="12.75" hidden="false" customHeight="false" outlineLevel="0" collapsed="false">
      <c r="Z76" s="47" t="n">
        <f aca="false">+Z75+0.01</f>
        <v>0.0500000000000002</v>
      </c>
      <c r="AA76" s="0" t="n">
        <f aca="true">OFFSET(VolSkewCoef,0,impvol_order-2)+OFFSET(VolSkewCoef,1,impvol_order-2)*Z76+OFFSET(VolSkewCoef,2,impvol_order-2)*Z76^2+IF(impvol_order&gt;2,OFFSET(VolSkewCoef,3,impvol_order-2)*Z76^3,0)+IF(impvol_order&gt;3,OFFSET(VolSkewCoef,4,impvol_order-2)*Z76^4,0)+IF(impvol_order&gt;4,OFFSET(VolSkewCoef,5,impvol_order-2)*Z76^5,0)</f>
        <v>0.52046862375</v>
      </c>
    </row>
    <row r="77" customFormat="false" ht="12.75" hidden="false" customHeight="false" outlineLevel="0" collapsed="false">
      <c r="Z77" s="47" t="n">
        <f aca="false">+Z76+0.01</f>
        <v>0.0600000000000002</v>
      </c>
      <c r="AA77" s="0" t="n">
        <f aca="true">OFFSET(VolSkewCoef,0,impvol_order-2)+OFFSET(VolSkewCoef,1,impvol_order-2)*Z77+OFFSET(VolSkewCoef,2,impvol_order-2)*Z77^2+IF(impvol_order&gt;2,OFFSET(VolSkewCoef,3,impvol_order-2)*Z77^3,0)+IF(impvol_order&gt;3,OFFSET(VolSkewCoef,4,impvol_order-2)*Z77^4,0)+IF(impvol_order&gt;4,OFFSET(VolSkewCoef,5,impvol_order-2)*Z77^5,0)</f>
        <v>0.52117709224</v>
      </c>
    </row>
    <row r="78" customFormat="false" ht="12.75" hidden="false" customHeight="false" outlineLevel="0" collapsed="false">
      <c r="Z78" s="47" t="n">
        <f aca="false">+Z77+0.01</f>
        <v>0.0700000000000002</v>
      </c>
      <c r="AA78" s="0" t="n">
        <f aca="true">OFFSET(VolSkewCoef,0,impvol_order-2)+OFFSET(VolSkewCoef,1,impvol_order-2)*Z78+OFFSET(VolSkewCoef,2,impvol_order-2)*Z78^2+IF(impvol_order&gt;2,OFFSET(VolSkewCoef,3,impvol_order-2)*Z78^3,0)+IF(impvol_order&gt;3,OFFSET(VolSkewCoef,4,impvol_order-2)*Z78^4,0)+IF(impvol_order&gt;4,OFFSET(VolSkewCoef,5,impvol_order-2)*Z78^5,0)</f>
        <v>0.52191811477</v>
      </c>
    </row>
    <row r="79" customFormat="false" ht="12.75" hidden="false" customHeight="false" outlineLevel="0" collapsed="false">
      <c r="Z79" s="47" t="n">
        <f aca="false">+Z78+0.01</f>
        <v>0.0800000000000002</v>
      </c>
      <c r="AA79" s="0" t="n">
        <f aca="true">OFFSET(VolSkewCoef,0,impvol_order-2)+OFFSET(VolSkewCoef,1,impvol_order-2)*Z79+OFFSET(VolSkewCoef,2,impvol_order-2)*Z79^2+IF(impvol_order&gt;2,OFFSET(VolSkewCoef,3,impvol_order-2)*Z79^3,0)+IF(impvol_order&gt;3,OFFSET(VolSkewCoef,4,impvol_order-2)*Z79^4,0)+IF(impvol_order&gt;4,OFFSET(VolSkewCoef,5,impvol_order-2)*Z79^5,0)</f>
        <v>0.52269067968</v>
      </c>
    </row>
    <row r="80" customFormat="false" ht="12.75" hidden="false" customHeight="false" outlineLevel="0" collapsed="false">
      <c r="Z80" s="47" t="n">
        <f aca="false">+Z79+0.01</f>
        <v>0.0900000000000002</v>
      </c>
      <c r="AA80" s="0" t="n">
        <f aca="true">OFFSET(VolSkewCoef,0,impvol_order-2)+OFFSET(VolSkewCoef,1,impvol_order-2)*Z80+OFFSET(VolSkewCoef,2,impvol_order-2)*Z80^2+IF(impvol_order&gt;2,OFFSET(VolSkewCoef,3,impvol_order-2)*Z80^3,0)+IF(impvol_order&gt;3,OFFSET(VolSkewCoef,4,impvol_order-2)*Z80^4,0)+IF(impvol_order&gt;4,OFFSET(VolSkewCoef,5,impvol_order-2)*Z80^5,0)</f>
        <v>0.52349377531</v>
      </c>
    </row>
    <row r="81" customFormat="false" ht="12.75" hidden="false" customHeight="false" outlineLevel="0" collapsed="false">
      <c r="Z81" s="47" t="n">
        <f aca="false">+Z80+0.01</f>
        <v>0.1</v>
      </c>
      <c r="AA81" s="0" t="n">
        <f aca="true">OFFSET(VolSkewCoef,0,impvol_order-2)+OFFSET(VolSkewCoef,1,impvol_order-2)*Z81+OFFSET(VolSkewCoef,2,impvol_order-2)*Z81^2+IF(impvol_order&gt;2,OFFSET(VolSkewCoef,3,impvol_order-2)*Z81^3,0)+IF(impvol_order&gt;3,OFFSET(VolSkewCoef,4,impvol_order-2)*Z81^4,0)+IF(impvol_order&gt;4,OFFSET(VolSkewCoef,5,impvol_order-2)*Z81^5,0)</f>
        <v>0.52432639</v>
      </c>
    </row>
    <row r="82" customFormat="false" ht="12.75" hidden="false" customHeight="false" outlineLevel="0" collapsed="false">
      <c r="Z82" s="47" t="n">
        <f aca="false">+Z81+0.01</f>
        <v>0.11</v>
      </c>
      <c r="AA82" s="0" t="n">
        <f aca="true">OFFSET(VolSkewCoef,0,impvol_order-2)+OFFSET(VolSkewCoef,1,impvol_order-2)*Z82+OFFSET(VolSkewCoef,2,impvol_order-2)*Z82^2+IF(impvol_order&gt;2,OFFSET(VolSkewCoef,3,impvol_order-2)*Z82^3,0)+IF(impvol_order&gt;3,OFFSET(VolSkewCoef,4,impvol_order-2)*Z82^4,0)+IF(impvol_order&gt;4,OFFSET(VolSkewCoef,5,impvol_order-2)*Z82^5,0)</f>
        <v>0.52518751209</v>
      </c>
    </row>
    <row r="83" customFormat="false" ht="12.75" hidden="false" customHeight="false" outlineLevel="0" collapsed="false">
      <c r="Z83" s="47" t="n">
        <f aca="false">+Z82+0.01</f>
        <v>0.12</v>
      </c>
      <c r="AA83" s="0" t="n">
        <f aca="true">OFFSET(VolSkewCoef,0,impvol_order-2)+OFFSET(VolSkewCoef,1,impvol_order-2)*Z83+OFFSET(VolSkewCoef,2,impvol_order-2)*Z83^2+IF(impvol_order&gt;2,OFFSET(VolSkewCoef,3,impvol_order-2)*Z83^3,0)+IF(impvol_order&gt;3,OFFSET(VolSkewCoef,4,impvol_order-2)*Z83^4,0)+IF(impvol_order&gt;4,OFFSET(VolSkewCoef,5,impvol_order-2)*Z83^5,0)</f>
        <v>0.52607612992</v>
      </c>
    </row>
    <row r="84" customFormat="false" ht="12.75" hidden="false" customHeight="false" outlineLevel="0" collapsed="false">
      <c r="Z84" s="47" t="n">
        <f aca="false">+Z83+0.01</f>
        <v>0.13</v>
      </c>
      <c r="AA84" s="0" t="n">
        <f aca="true">OFFSET(VolSkewCoef,0,impvol_order-2)+OFFSET(VolSkewCoef,1,impvol_order-2)*Z84+OFFSET(VolSkewCoef,2,impvol_order-2)*Z84^2+IF(impvol_order&gt;2,OFFSET(VolSkewCoef,3,impvol_order-2)*Z84^3,0)+IF(impvol_order&gt;3,OFFSET(VolSkewCoef,4,impvol_order-2)*Z84^4,0)+IF(impvol_order&gt;4,OFFSET(VolSkewCoef,5,impvol_order-2)*Z84^5,0)</f>
        <v>0.52699123183</v>
      </c>
    </row>
    <row r="85" customFormat="false" ht="12.75" hidden="false" customHeight="false" outlineLevel="0" collapsed="false">
      <c r="Z85" s="47" t="n">
        <f aca="false">+Z84+0.01</f>
        <v>0.14</v>
      </c>
      <c r="AA85" s="0" t="n">
        <f aca="true">OFFSET(VolSkewCoef,0,impvol_order-2)+OFFSET(VolSkewCoef,1,impvol_order-2)*Z85+OFFSET(VolSkewCoef,2,impvol_order-2)*Z85^2+IF(impvol_order&gt;2,OFFSET(VolSkewCoef,3,impvol_order-2)*Z85^3,0)+IF(impvol_order&gt;3,OFFSET(VolSkewCoef,4,impvol_order-2)*Z85^4,0)+IF(impvol_order&gt;4,OFFSET(VolSkewCoef,5,impvol_order-2)*Z85^5,0)</f>
        <v>0.52793180616</v>
      </c>
    </row>
    <row r="86" customFormat="false" ht="12.75" hidden="false" customHeight="false" outlineLevel="0" collapsed="false">
      <c r="Z86" s="47" t="n">
        <f aca="false">+Z85+0.01</f>
        <v>0.15</v>
      </c>
      <c r="AA86" s="0" t="n">
        <f aca="true">OFFSET(VolSkewCoef,0,impvol_order-2)+OFFSET(VolSkewCoef,1,impvol_order-2)*Z86+OFFSET(VolSkewCoef,2,impvol_order-2)*Z86^2+IF(impvol_order&gt;2,OFFSET(VolSkewCoef,3,impvol_order-2)*Z86^3,0)+IF(impvol_order&gt;3,OFFSET(VolSkewCoef,4,impvol_order-2)*Z86^4,0)+IF(impvol_order&gt;4,OFFSET(VolSkewCoef,5,impvol_order-2)*Z86^5,0)</f>
        <v>0.52889684125</v>
      </c>
    </row>
    <row r="87" customFormat="false" ht="12.75" hidden="false" customHeight="false" outlineLevel="0" collapsed="false">
      <c r="Z87" s="47" t="n">
        <f aca="false">+Z86+0.01</f>
        <v>0.16</v>
      </c>
      <c r="AA87" s="0" t="n">
        <f aca="true">OFFSET(VolSkewCoef,0,impvol_order-2)+OFFSET(VolSkewCoef,1,impvol_order-2)*Z87+OFFSET(VolSkewCoef,2,impvol_order-2)*Z87^2+IF(impvol_order&gt;2,OFFSET(VolSkewCoef,3,impvol_order-2)*Z87^3,0)+IF(impvol_order&gt;3,OFFSET(VolSkewCoef,4,impvol_order-2)*Z87^4,0)+IF(impvol_order&gt;4,OFFSET(VolSkewCoef,5,impvol_order-2)*Z87^5,0)</f>
        <v>0.52988532544</v>
      </c>
    </row>
    <row r="88" customFormat="false" ht="12.75" hidden="false" customHeight="false" outlineLevel="0" collapsed="false">
      <c r="Z88" s="47" t="n">
        <f aca="false">+Z87+0.01</f>
        <v>0.17</v>
      </c>
      <c r="AA88" s="0" t="n">
        <f aca="true">OFFSET(VolSkewCoef,0,impvol_order-2)+OFFSET(VolSkewCoef,1,impvol_order-2)*Z88+OFFSET(VolSkewCoef,2,impvol_order-2)*Z88^2+IF(impvol_order&gt;2,OFFSET(VolSkewCoef,3,impvol_order-2)*Z88^3,0)+IF(impvol_order&gt;3,OFFSET(VolSkewCoef,4,impvol_order-2)*Z88^4,0)+IF(impvol_order&gt;4,OFFSET(VolSkewCoef,5,impvol_order-2)*Z88^5,0)</f>
        <v>0.53089624707</v>
      </c>
    </row>
    <row r="89" customFormat="false" ht="12.75" hidden="false" customHeight="false" outlineLevel="0" collapsed="false">
      <c r="Z89" s="47" t="n">
        <f aca="false">+Z88+0.01</f>
        <v>0.18</v>
      </c>
      <c r="AA89" s="0" t="n">
        <f aca="true">OFFSET(VolSkewCoef,0,impvol_order-2)+OFFSET(VolSkewCoef,1,impvol_order-2)*Z89+OFFSET(VolSkewCoef,2,impvol_order-2)*Z89^2+IF(impvol_order&gt;2,OFFSET(VolSkewCoef,3,impvol_order-2)*Z89^3,0)+IF(impvol_order&gt;3,OFFSET(VolSkewCoef,4,impvol_order-2)*Z89^4,0)+IF(impvol_order&gt;4,OFFSET(VolSkewCoef,5,impvol_order-2)*Z89^5,0)</f>
        <v>0.53192859448</v>
      </c>
    </row>
    <row r="90" customFormat="false" ht="12.75" hidden="false" customHeight="false" outlineLevel="0" collapsed="false">
      <c r="Z90" s="47" t="n">
        <f aca="false">+Z89+0.01</f>
        <v>0.19</v>
      </c>
      <c r="AA90" s="0" t="n">
        <f aca="true">OFFSET(VolSkewCoef,0,impvol_order-2)+OFFSET(VolSkewCoef,1,impvol_order-2)*Z90+OFFSET(VolSkewCoef,2,impvol_order-2)*Z90^2+IF(impvol_order&gt;2,OFFSET(VolSkewCoef,3,impvol_order-2)*Z90^3,0)+IF(impvol_order&gt;3,OFFSET(VolSkewCoef,4,impvol_order-2)*Z90^4,0)+IF(impvol_order&gt;4,OFFSET(VolSkewCoef,5,impvol_order-2)*Z90^5,0)</f>
        <v>0.53298135601</v>
      </c>
    </row>
    <row r="91" customFormat="false" ht="12.75" hidden="false" customHeight="false" outlineLevel="0" collapsed="false">
      <c r="Z91" s="47" t="n">
        <f aca="false">+Z90+0.01</f>
        <v>0.2</v>
      </c>
      <c r="AA91" s="0" t="n">
        <f aca="true">OFFSET(VolSkewCoef,0,impvol_order-2)+OFFSET(VolSkewCoef,1,impvol_order-2)*Z91+OFFSET(VolSkewCoef,2,impvol_order-2)*Z91^2+IF(impvol_order&gt;2,OFFSET(VolSkewCoef,3,impvol_order-2)*Z91^3,0)+IF(impvol_order&gt;3,OFFSET(VolSkewCoef,4,impvol_order-2)*Z91^4,0)+IF(impvol_order&gt;4,OFFSET(VolSkewCoef,5,impvol_order-2)*Z91^5,0)</f>
        <v>0.53405352</v>
      </c>
    </row>
    <row r="92" customFormat="false" ht="12.75" hidden="false" customHeight="false" outlineLevel="0" collapsed="false">
      <c r="Z92" s="47" t="n">
        <f aca="false">+Z91+0.01</f>
        <v>0.21</v>
      </c>
      <c r="AA92" s="0" t="n">
        <f aca="true">OFFSET(VolSkewCoef,0,impvol_order-2)+OFFSET(VolSkewCoef,1,impvol_order-2)*Z92+OFFSET(VolSkewCoef,2,impvol_order-2)*Z92^2+IF(impvol_order&gt;2,OFFSET(VolSkewCoef,3,impvol_order-2)*Z92^3,0)+IF(impvol_order&gt;3,OFFSET(VolSkewCoef,4,impvol_order-2)*Z92^4,0)+IF(impvol_order&gt;4,OFFSET(VolSkewCoef,5,impvol_order-2)*Z92^5,0)</f>
        <v>0.53514407479</v>
      </c>
    </row>
    <row r="93" customFormat="false" ht="12.75" hidden="false" customHeight="false" outlineLevel="0" collapsed="false">
      <c r="Z93" s="47" t="n">
        <f aca="false">+Z92+0.01</f>
        <v>0.22</v>
      </c>
      <c r="AA93" s="0" t="n">
        <f aca="true">OFFSET(VolSkewCoef,0,impvol_order-2)+OFFSET(VolSkewCoef,1,impvol_order-2)*Z93+OFFSET(VolSkewCoef,2,impvol_order-2)*Z93^2+IF(impvol_order&gt;2,OFFSET(VolSkewCoef,3,impvol_order-2)*Z93^3,0)+IF(impvol_order&gt;3,OFFSET(VolSkewCoef,4,impvol_order-2)*Z93^4,0)+IF(impvol_order&gt;4,OFFSET(VolSkewCoef,5,impvol_order-2)*Z93^5,0)</f>
        <v>0.53625200872</v>
      </c>
    </row>
    <row r="94" customFormat="false" ht="12.75" hidden="false" customHeight="false" outlineLevel="0" collapsed="false">
      <c r="Z94" s="47" t="n">
        <f aca="false">+Z93+0.01</f>
        <v>0.23</v>
      </c>
      <c r="AA94" s="0" t="n">
        <f aca="true">OFFSET(VolSkewCoef,0,impvol_order-2)+OFFSET(VolSkewCoef,1,impvol_order-2)*Z94+OFFSET(VolSkewCoef,2,impvol_order-2)*Z94^2+IF(impvol_order&gt;2,OFFSET(VolSkewCoef,3,impvol_order-2)*Z94^3,0)+IF(impvol_order&gt;3,OFFSET(VolSkewCoef,4,impvol_order-2)*Z94^4,0)+IF(impvol_order&gt;4,OFFSET(VolSkewCoef,5,impvol_order-2)*Z94^5,0)</f>
        <v>0.53737631013</v>
      </c>
    </row>
    <row r="95" customFormat="false" ht="12.75" hidden="false" customHeight="false" outlineLevel="0" collapsed="false">
      <c r="Z95" s="47" t="n">
        <f aca="false">+Z94+0.01</f>
        <v>0.24</v>
      </c>
      <c r="AA95" s="0" t="n">
        <f aca="true">OFFSET(VolSkewCoef,0,impvol_order-2)+OFFSET(VolSkewCoef,1,impvol_order-2)*Z95+OFFSET(VolSkewCoef,2,impvol_order-2)*Z95^2+IF(impvol_order&gt;2,OFFSET(VolSkewCoef,3,impvol_order-2)*Z95^3,0)+IF(impvol_order&gt;3,OFFSET(VolSkewCoef,4,impvol_order-2)*Z95^4,0)+IF(impvol_order&gt;4,OFFSET(VolSkewCoef,5,impvol_order-2)*Z95^5,0)</f>
        <v>0.53851596736</v>
      </c>
    </row>
    <row r="96" customFormat="false" ht="12.75" hidden="false" customHeight="false" outlineLevel="0" collapsed="false">
      <c r="Z96" s="47" t="n">
        <f aca="false">+Z95+0.01</f>
        <v>0.25</v>
      </c>
      <c r="AA96" s="0" t="n">
        <f aca="true">OFFSET(VolSkewCoef,0,impvol_order-2)+OFFSET(VolSkewCoef,1,impvol_order-2)*Z96+OFFSET(VolSkewCoef,2,impvol_order-2)*Z96^2+IF(impvol_order&gt;2,OFFSET(VolSkewCoef,3,impvol_order-2)*Z96^3,0)+IF(impvol_order&gt;3,OFFSET(VolSkewCoef,4,impvol_order-2)*Z96^4,0)+IF(impvol_order&gt;4,OFFSET(VolSkewCoef,5,impvol_order-2)*Z96^5,0)</f>
        <v>0.53966996875</v>
      </c>
    </row>
    <row r="97" customFormat="false" ht="12.75" hidden="false" customHeight="false" outlineLevel="0" collapsed="false">
      <c r="Z97" s="47" t="n">
        <f aca="false">+Z96+0.01</f>
        <v>0.26</v>
      </c>
      <c r="AA97" s="0" t="n">
        <f aca="true">OFFSET(VolSkewCoef,0,impvol_order-2)+OFFSET(VolSkewCoef,1,impvol_order-2)*Z97+OFFSET(VolSkewCoef,2,impvol_order-2)*Z97^2+IF(impvol_order&gt;2,OFFSET(VolSkewCoef,3,impvol_order-2)*Z97^3,0)+IF(impvol_order&gt;3,OFFSET(VolSkewCoef,4,impvol_order-2)*Z97^4,0)+IF(impvol_order&gt;4,OFFSET(VolSkewCoef,5,impvol_order-2)*Z97^5,0)</f>
        <v>0.54083730264</v>
      </c>
    </row>
    <row r="98" customFormat="false" ht="12.75" hidden="false" customHeight="false" outlineLevel="0" collapsed="false">
      <c r="Z98" s="47" t="n">
        <f aca="false">+Z97+0.01</f>
        <v>0.27</v>
      </c>
      <c r="AA98" s="0" t="n">
        <f aca="true">OFFSET(VolSkewCoef,0,impvol_order-2)+OFFSET(VolSkewCoef,1,impvol_order-2)*Z98+OFFSET(VolSkewCoef,2,impvol_order-2)*Z98^2+IF(impvol_order&gt;2,OFFSET(VolSkewCoef,3,impvol_order-2)*Z98^3,0)+IF(impvol_order&gt;3,OFFSET(VolSkewCoef,4,impvol_order-2)*Z98^4,0)+IF(impvol_order&gt;4,OFFSET(VolSkewCoef,5,impvol_order-2)*Z98^5,0)</f>
        <v>0.54201695737</v>
      </c>
    </row>
    <row r="99" customFormat="false" ht="12.75" hidden="false" customHeight="false" outlineLevel="0" collapsed="false">
      <c r="Z99" s="47" t="n">
        <f aca="false">+Z98+0.01</f>
        <v>0.28</v>
      </c>
      <c r="AA99" s="0" t="n">
        <f aca="true">OFFSET(VolSkewCoef,0,impvol_order-2)+OFFSET(VolSkewCoef,1,impvol_order-2)*Z99+OFFSET(VolSkewCoef,2,impvol_order-2)*Z99^2+IF(impvol_order&gt;2,OFFSET(VolSkewCoef,3,impvol_order-2)*Z99^3,0)+IF(impvol_order&gt;3,OFFSET(VolSkewCoef,4,impvol_order-2)*Z99^4,0)+IF(impvol_order&gt;4,OFFSET(VolSkewCoef,5,impvol_order-2)*Z99^5,0)</f>
        <v>0.54320792128</v>
      </c>
    </row>
    <row r="100" customFormat="false" ht="12.75" hidden="false" customHeight="false" outlineLevel="0" collapsed="false">
      <c r="Z100" s="47" t="n">
        <f aca="false">+Z99+0.01</f>
        <v>0.29</v>
      </c>
      <c r="AA100" s="0" t="n">
        <f aca="true">OFFSET(VolSkewCoef,0,impvol_order-2)+OFFSET(VolSkewCoef,1,impvol_order-2)*Z100+OFFSET(VolSkewCoef,2,impvol_order-2)*Z100^2+IF(impvol_order&gt;2,OFFSET(VolSkewCoef,3,impvol_order-2)*Z100^3,0)+IF(impvol_order&gt;3,OFFSET(VolSkewCoef,4,impvol_order-2)*Z100^4,0)+IF(impvol_order&gt;4,OFFSET(VolSkewCoef,5,impvol_order-2)*Z100^5,0)</f>
        <v>0.54440918271</v>
      </c>
    </row>
    <row r="101" customFormat="false" ht="12.75" hidden="false" customHeight="false" outlineLevel="0" collapsed="false">
      <c r="Z101" s="47" t="n">
        <f aca="false">+Z100+0.01</f>
        <v>0.3</v>
      </c>
      <c r="AA101" s="0" t="n">
        <f aca="true">OFFSET(VolSkewCoef,0,impvol_order-2)+OFFSET(VolSkewCoef,1,impvol_order-2)*Z101+OFFSET(VolSkewCoef,2,impvol_order-2)*Z101^2+IF(impvol_order&gt;2,OFFSET(VolSkewCoef,3,impvol_order-2)*Z101^3,0)+IF(impvol_order&gt;3,OFFSET(VolSkewCoef,4,impvol_order-2)*Z101^4,0)+IF(impvol_order&gt;4,OFFSET(VolSkewCoef,5,impvol_order-2)*Z101^5,0)</f>
        <v>0.54561973</v>
      </c>
    </row>
    <row r="102" customFormat="false" ht="12.75" hidden="false" customHeight="false" outlineLevel="0" collapsed="false">
      <c r="Z102" s="47" t="n">
        <f aca="false">+Z101+0.01</f>
        <v>0.31</v>
      </c>
      <c r="AA102" s="0" t="n">
        <f aca="true">OFFSET(VolSkewCoef,0,impvol_order-2)+OFFSET(VolSkewCoef,1,impvol_order-2)*Z102+OFFSET(VolSkewCoef,2,impvol_order-2)*Z102^2+IF(impvol_order&gt;2,OFFSET(VolSkewCoef,3,impvol_order-2)*Z102^3,0)+IF(impvol_order&gt;3,OFFSET(VolSkewCoef,4,impvol_order-2)*Z102^4,0)+IF(impvol_order&gt;4,OFFSET(VolSkewCoef,5,impvol_order-2)*Z102^5,0)</f>
        <v>0.54683855149</v>
      </c>
    </row>
    <row r="103" customFormat="false" ht="12.75" hidden="false" customHeight="false" outlineLevel="0" collapsed="false">
      <c r="Z103" s="47" t="n">
        <f aca="false">+Z102+0.01</f>
        <v>0.32</v>
      </c>
      <c r="AA103" s="0" t="n">
        <f aca="true">OFFSET(VolSkewCoef,0,impvol_order-2)+OFFSET(VolSkewCoef,1,impvol_order-2)*Z103+OFFSET(VolSkewCoef,2,impvol_order-2)*Z103^2+IF(impvol_order&gt;2,OFFSET(VolSkewCoef,3,impvol_order-2)*Z103^3,0)+IF(impvol_order&gt;3,OFFSET(VolSkewCoef,4,impvol_order-2)*Z103^4,0)+IF(impvol_order&gt;4,OFFSET(VolSkewCoef,5,impvol_order-2)*Z103^5,0)</f>
        <v>0.54806463552</v>
      </c>
    </row>
    <row r="104" customFormat="false" ht="12.75" hidden="false" customHeight="false" outlineLevel="0" collapsed="false">
      <c r="Z104" s="47" t="n">
        <f aca="false">+Z103+0.01</f>
        <v>0.33</v>
      </c>
      <c r="AA104" s="0" t="n">
        <f aca="true">OFFSET(VolSkewCoef,0,impvol_order-2)+OFFSET(VolSkewCoef,1,impvol_order-2)*Z104+OFFSET(VolSkewCoef,2,impvol_order-2)*Z104^2+IF(impvol_order&gt;2,OFFSET(VolSkewCoef,3,impvol_order-2)*Z104^3,0)+IF(impvol_order&gt;3,OFFSET(VolSkewCoef,4,impvol_order-2)*Z104^4,0)+IF(impvol_order&gt;4,OFFSET(VolSkewCoef,5,impvol_order-2)*Z104^5,0)</f>
        <v>0.54929697043</v>
      </c>
    </row>
    <row r="105" customFormat="false" ht="12.75" hidden="false" customHeight="false" outlineLevel="0" collapsed="false">
      <c r="Z105" s="47" t="n">
        <f aca="false">+Z104+0.01</f>
        <v>0.34</v>
      </c>
      <c r="AA105" s="0" t="n">
        <f aca="true">OFFSET(VolSkewCoef,0,impvol_order-2)+OFFSET(VolSkewCoef,1,impvol_order-2)*Z105+OFFSET(VolSkewCoef,2,impvol_order-2)*Z105^2+IF(impvol_order&gt;2,OFFSET(VolSkewCoef,3,impvol_order-2)*Z105^3,0)+IF(impvol_order&gt;3,OFFSET(VolSkewCoef,4,impvol_order-2)*Z105^4,0)+IF(impvol_order&gt;4,OFFSET(VolSkewCoef,5,impvol_order-2)*Z105^5,0)</f>
        <v>0.55053454456</v>
      </c>
    </row>
    <row r="106" customFormat="false" ht="12.75" hidden="false" customHeight="false" outlineLevel="0" collapsed="false">
      <c r="Z106" s="47" t="n">
        <f aca="false">+Z105+0.01</f>
        <v>0.35</v>
      </c>
      <c r="AA106" s="0" t="n">
        <f aca="true">OFFSET(VolSkewCoef,0,impvol_order-2)+OFFSET(VolSkewCoef,1,impvol_order-2)*Z106+OFFSET(VolSkewCoef,2,impvol_order-2)*Z106^2+IF(impvol_order&gt;2,OFFSET(VolSkewCoef,3,impvol_order-2)*Z106^3,0)+IF(impvol_order&gt;3,OFFSET(VolSkewCoef,4,impvol_order-2)*Z106^4,0)+IF(impvol_order&gt;4,OFFSET(VolSkewCoef,5,impvol_order-2)*Z106^5,0)</f>
        <v>0.55177634625</v>
      </c>
    </row>
    <row r="107" customFormat="false" ht="12.75" hidden="false" customHeight="false" outlineLevel="0" collapsed="false">
      <c r="Z107" s="47" t="n">
        <f aca="false">+Z106+0.01</f>
        <v>0.36</v>
      </c>
      <c r="AA107" s="0" t="n">
        <f aca="true">OFFSET(VolSkewCoef,0,impvol_order-2)+OFFSET(VolSkewCoef,1,impvol_order-2)*Z107+OFFSET(VolSkewCoef,2,impvol_order-2)*Z107^2+IF(impvol_order&gt;2,OFFSET(VolSkewCoef,3,impvol_order-2)*Z107^3,0)+IF(impvol_order&gt;3,OFFSET(VolSkewCoef,4,impvol_order-2)*Z107^4,0)+IF(impvol_order&gt;4,OFFSET(VolSkewCoef,5,impvol_order-2)*Z107^5,0)</f>
        <v>0.55302136384</v>
      </c>
    </row>
    <row r="108" customFormat="false" ht="12.75" hidden="false" customHeight="false" outlineLevel="0" collapsed="false">
      <c r="Z108" s="47" t="n">
        <f aca="false">+Z107+0.01</f>
        <v>0.37</v>
      </c>
      <c r="AA108" s="0" t="n">
        <f aca="true">OFFSET(VolSkewCoef,0,impvol_order-2)+OFFSET(VolSkewCoef,1,impvol_order-2)*Z108+OFFSET(VolSkewCoef,2,impvol_order-2)*Z108^2+IF(impvol_order&gt;2,OFFSET(VolSkewCoef,3,impvol_order-2)*Z108^3,0)+IF(impvol_order&gt;3,OFFSET(VolSkewCoef,4,impvol_order-2)*Z108^4,0)+IF(impvol_order&gt;4,OFFSET(VolSkewCoef,5,impvol_order-2)*Z108^5,0)</f>
        <v>0.55426858567</v>
      </c>
    </row>
    <row r="109" customFormat="false" ht="12.75" hidden="false" customHeight="false" outlineLevel="0" collapsed="false">
      <c r="Z109" s="47" t="n">
        <f aca="false">+Z108+0.01</f>
        <v>0.38</v>
      </c>
      <c r="AA109" s="0" t="n">
        <f aca="true">OFFSET(VolSkewCoef,0,impvol_order-2)+OFFSET(VolSkewCoef,1,impvol_order-2)*Z109+OFFSET(VolSkewCoef,2,impvol_order-2)*Z109^2+IF(impvol_order&gt;2,OFFSET(VolSkewCoef,3,impvol_order-2)*Z109^3,0)+IF(impvol_order&gt;3,OFFSET(VolSkewCoef,4,impvol_order-2)*Z109^4,0)+IF(impvol_order&gt;4,OFFSET(VolSkewCoef,5,impvol_order-2)*Z109^5,0)</f>
        <v>0.55551700008</v>
      </c>
    </row>
    <row r="110" customFormat="false" ht="12.75" hidden="false" customHeight="false" outlineLevel="0" collapsed="false">
      <c r="Z110" s="47" t="n">
        <f aca="false">+Z109+0.01</f>
        <v>0.39</v>
      </c>
      <c r="AA110" s="0" t="n">
        <f aca="true">OFFSET(VolSkewCoef,0,impvol_order-2)+OFFSET(VolSkewCoef,1,impvol_order-2)*Z110+OFFSET(VolSkewCoef,2,impvol_order-2)*Z110^2+IF(impvol_order&gt;2,OFFSET(VolSkewCoef,3,impvol_order-2)*Z110^3,0)+IF(impvol_order&gt;3,OFFSET(VolSkewCoef,4,impvol_order-2)*Z110^4,0)+IF(impvol_order&gt;4,OFFSET(VolSkewCoef,5,impvol_order-2)*Z110^5,0)</f>
        <v>0.55676559541</v>
      </c>
    </row>
    <row r="111" customFormat="false" ht="12.75" hidden="false" customHeight="false" outlineLevel="0" collapsed="false">
      <c r="Z111" s="47" t="n">
        <f aca="false">+Z110+0.01</f>
        <v>0.4</v>
      </c>
      <c r="AA111" s="0" t="n">
        <f aca="true">OFFSET(VolSkewCoef,0,impvol_order-2)+OFFSET(VolSkewCoef,1,impvol_order-2)*Z111+OFFSET(VolSkewCoef,2,impvol_order-2)*Z111^2+IF(impvol_order&gt;2,OFFSET(VolSkewCoef,3,impvol_order-2)*Z111^3,0)+IF(impvol_order&gt;3,OFFSET(VolSkewCoef,4,impvol_order-2)*Z111^4,0)+IF(impvol_order&gt;4,OFFSET(VolSkewCoef,5,impvol_order-2)*Z111^5,0)</f>
        <v>0.55801336</v>
      </c>
    </row>
    <row r="112" customFormat="false" ht="12.75" hidden="false" customHeight="false" outlineLevel="0" collapsed="false">
      <c r="Z112" s="47" t="n">
        <f aca="false">+Z111+0.01</f>
        <v>0.41</v>
      </c>
      <c r="AA112" s="0" t="n">
        <f aca="true">OFFSET(VolSkewCoef,0,impvol_order-2)+OFFSET(VolSkewCoef,1,impvol_order-2)*Z112+OFFSET(VolSkewCoef,2,impvol_order-2)*Z112^2+IF(impvol_order&gt;2,OFFSET(VolSkewCoef,3,impvol_order-2)*Z112^3,0)+IF(impvol_order&gt;3,OFFSET(VolSkewCoef,4,impvol_order-2)*Z112^4,0)+IF(impvol_order&gt;4,OFFSET(VolSkewCoef,5,impvol_order-2)*Z112^5,0)</f>
        <v>0.55925928219</v>
      </c>
    </row>
    <row r="113" customFormat="false" ht="12.75" hidden="false" customHeight="false" outlineLevel="0" collapsed="false">
      <c r="Z113" s="47" t="n">
        <f aca="false">+Z112+0.01</f>
        <v>0.42</v>
      </c>
      <c r="AA113" s="0" t="n">
        <f aca="true">OFFSET(VolSkewCoef,0,impvol_order-2)+OFFSET(VolSkewCoef,1,impvol_order-2)*Z113+OFFSET(VolSkewCoef,2,impvol_order-2)*Z113^2+IF(impvol_order&gt;2,OFFSET(VolSkewCoef,3,impvol_order-2)*Z113^3,0)+IF(impvol_order&gt;3,OFFSET(VolSkewCoef,4,impvol_order-2)*Z113^4,0)+IF(impvol_order&gt;4,OFFSET(VolSkewCoef,5,impvol_order-2)*Z113^5,0)</f>
        <v>0.56050235032</v>
      </c>
    </row>
    <row r="114" customFormat="false" ht="12.75" hidden="false" customHeight="false" outlineLevel="0" collapsed="false">
      <c r="Z114" s="47" t="n">
        <f aca="false">+Z113+0.01</f>
        <v>0.43</v>
      </c>
      <c r="AA114" s="0" t="n">
        <f aca="true">OFFSET(VolSkewCoef,0,impvol_order-2)+OFFSET(VolSkewCoef,1,impvol_order-2)*Z114+OFFSET(VolSkewCoef,2,impvol_order-2)*Z114^2+IF(impvol_order&gt;2,OFFSET(VolSkewCoef,3,impvol_order-2)*Z114^3,0)+IF(impvol_order&gt;3,OFFSET(VolSkewCoef,4,impvol_order-2)*Z114^4,0)+IF(impvol_order&gt;4,OFFSET(VolSkewCoef,5,impvol_order-2)*Z114^5,0)</f>
        <v>0.56174155273</v>
      </c>
    </row>
    <row r="115" customFormat="false" ht="12.75" hidden="false" customHeight="false" outlineLevel="0" collapsed="false">
      <c r="Z115" s="47" t="n">
        <f aca="false">+Z114+0.01</f>
        <v>0.44</v>
      </c>
      <c r="AA115" s="0" t="n">
        <f aca="true">OFFSET(VolSkewCoef,0,impvol_order-2)+OFFSET(VolSkewCoef,1,impvol_order-2)*Z115+OFFSET(VolSkewCoef,2,impvol_order-2)*Z115^2+IF(impvol_order&gt;2,OFFSET(VolSkewCoef,3,impvol_order-2)*Z115^3,0)+IF(impvol_order&gt;3,OFFSET(VolSkewCoef,4,impvol_order-2)*Z115^4,0)+IF(impvol_order&gt;4,OFFSET(VolSkewCoef,5,impvol_order-2)*Z115^5,0)</f>
        <v>0.56297587776</v>
      </c>
    </row>
    <row r="116" customFormat="false" ht="12.75" hidden="false" customHeight="false" outlineLevel="0" collapsed="false">
      <c r="Z116" s="47" t="n">
        <f aca="false">+Z115+0.01</f>
        <v>0.45</v>
      </c>
      <c r="AA116" s="0" t="n">
        <f aca="true">OFFSET(VolSkewCoef,0,impvol_order-2)+OFFSET(VolSkewCoef,1,impvol_order-2)*Z116+OFFSET(VolSkewCoef,2,impvol_order-2)*Z116^2+IF(impvol_order&gt;2,OFFSET(VolSkewCoef,3,impvol_order-2)*Z116^3,0)+IF(impvol_order&gt;3,OFFSET(VolSkewCoef,4,impvol_order-2)*Z116^4,0)+IF(impvol_order&gt;4,OFFSET(VolSkewCoef,5,impvol_order-2)*Z116^5,0)</f>
        <v>0.56420431375</v>
      </c>
    </row>
    <row r="117" customFormat="false" ht="12.75" hidden="false" customHeight="false" outlineLevel="0" collapsed="false">
      <c r="Z117" s="47" t="n">
        <f aca="false">+Z116+0.01</f>
        <v>0.46</v>
      </c>
      <c r="AA117" s="0" t="n">
        <f aca="true">OFFSET(VolSkewCoef,0,impvol_order-2)+OFFSET(VolSkewCoef,1,impvol_order-2)*Z117+OFFSET(VolSkewCoef,2,impvol_order-2)*Z117^2+IF(impvol_order&gt;2,OFFSET(VolSkewCoef,3,impvol_order-2)*Z117^3,0)+IF(impvol_order&gt;3,OFFSET(VolSkewCoef,4,impvol_order-2)*Z117^4,0)+IF(impvol_order&gt;4,OFFSET(VolSkewCoef,5,impvol_order-2)*Z117^5,0)</f>
        <v>0.56542584904</v>
      </c>
    </row>
    <row r="118" customFormat="false" ht="12.75" hidden="false" customHeight="false" outlineLevel="0" collapsed="false">
      <c r="Z118" s="47" t="n">
        <f aca="false">+Z117+0.01</f>
        <v>0.470000000000001</v>
      </c>
      <c r="AA118" s="0" t="n">
        <f aca="true">OFFSET(VolSkewCoef,0,impvol_order-2)+OFFSET(VolSkewCoef,1,impvol_order-2)*Z118+OFFSET(VolSkewCoef,2,impvol_order-2)*Z118^2+IF(impvol_order&gt;2,OFFSET(VolSkewCoef,3,impvol_order-2)*Z118^3,0)+IF(impvol_order&gt;3,OFFSET(VolSkewCoef,4,impvol_order-2)*Z118^4,0)+IF(impvol_order&gt;4,OFFSET(VolSkewCoef,5,impvol_order-2)*Z118^5,0)</f>
        <v>0.56663947197</v>
      </c>
    </row>
    <row r="119" customFormat="false" ht="12.75" hidden="false" customHeight="false" outlineLevel="0" collapsed="false">
      <c r="Z119" s="47" t="n">
        <f aca="false">+Z118+0.01</f>
        <v>0.480000000000001</v>
      </c>
      <c r="AA119" s="0" t="n">
        <f aca="true">OFFSET(VolSkewCoef,0,impvol_order-2)+OFFSET(VolSkewCoef,1,impvol_order-2)*Z119+OFFSET(VolSkewCoef,2,impvol_order-2)*Z119^2+IF(impvol_order&gt;2,OFFSET(VolSkewCoef,3,impvol_order-2)*Z119^3,0)+IF(impvol_order&gt;3,OFFSET(VolSkewCoef,4,impvol_order-2)*Z119^4,0)+IF(impvol_order&gt;4,OFFSET(VolSkewCoef,5,impvol_order-2)*Z119^5,0)</f>
        <v>0.56784417088</v>
      </c>
    </row>
    <row r="120" customFormat="false" ht="12.75" hidden="false" customHeight="false" outlineLevel="0" collapsed="false">
      <c r="Z120" s="47" t="n">
        <f aca="false">+Z119+0.01</f>
        <v>0.490000000000001</v>
      </c>
      <c r="AA120" s="0" t="n">
        <f aca="true">OFFSET(VolSkewCoef,0,impvol_order-2)+OFFSET(VolSkewCoef,1,impvol_order-2)*Z120+OFFSET(VolSkewCoef,2,impvol_order-2)*Z120^2+IF(impvol_order&gt;2,OFFSET(VolSkewCoef,3,impvol_order-2)*Z120^3,0)+IF(impvol_order&gt;3,OFFSET(VolSkewCoef,4,impvol_order-2)*Z120^4,0)+IF(impvol_order&gt;4,OFFSET(VolSkewCoef,5,impvol_order-2)*Z120^5,0)</f>
        <v>0.56903893411</v>
      </c>
    </row>
    <row r="121" customFormat="false" ht="12.75" hidden="false" customHeight="false" outlineLevel="0" collapsed="false">
      <c r="Z121" s="47" t="n">
        <f aca="false">+Z120+0.01</f>
        <v>0.5</v>
      </c>
      <c r="AA121" s="0" t="n">
        <f aca="true">OFFSET(VolSkewCoef,0,impvol_order-2)+OFFSET(VolSkewCoef,1,impvol_order-2)*Z121+OFFSET(VolSkewCoef,2,impvol_order-2)*Z121^2+IF(impvol_order&gt;2,OFFSET(VolSkewCoef,3,impvol_order-2)*Z121^3,0)+IF(impvol_order&gt;3,OFFSET(VolSkewCoef,4,impvol_order-2)*Z121^4,0)+IF(impvol_order&gt;4,OFFSET(VolSkewCoef,5,impvol_order-2)*Z121^5,0)</f>
        <v>0.57022275</v>
      </c>
    </row>
    <row r="122" customFormat="false" ht="12.75" hidden="false" customHeight="false" outlineLevel="0" collapsed="false">
      <c r="Z122" s="47" t="n">
        <f aca="false">+Z121+0.01</f>
        <v>0.510000000000001</v>
      </c>
      <c r="AA122" s="0" t="n">
        <f aca="true">OFFSET(VolSkewCoef,0,impvol_order-2)+OFFSET(VolSkewCoef,1,impvol_order-2)*Z122+OFFSET(VolSkewCoef,2,impvol_order-2)*Z122^2+IF(impvol_order&gt;2,OFFSET(VolSkewCoef,3,impvol_order-2)*Z122^3,0)+IF(impvol_order&gt;3,OFFSET(VolSkewCoef,4,impvol_order-2)*Z122^4,0)+IF(impvol_order&gt;4,OFFSET(VolSkewCoef,5,impvol_order-2)*Z122^5,0)</f>
        <v>0.57139460689</v>
      </c>
    </row>
    <row r="123" customFormat="false" ht="12.75" hidden="false" customHeight="false" outlineLevel="0" collapsed="false">
      <c r="Z123" s="47" t="n">
        <f aca="false">+Z122+0.01</f>
        <v>0.520000000000001</v>
      </c>
      <c r="AA123" s="0" t="n">
        <f aca="true">OFFSET(VolSkewCoef,0,impvol_order-2)+OFFSET(VolSkewCoef,1,impvol_order-2)*Z123+OFFSET(VolSkewCoef,2,impvol_order-2)*Z123^2+IF(impvol_order&gt;2,OFFSET(VolSkewCoef,3,impvol_order-2)*Z123^3,0)+IF(impvol_order&gt;3,OFFSET(VolSkewCoef,4,impvol_order-2)*Z123^4,0)+IF(impvol_order&gt;4,OFFSET(VolSkewCoef,5,impvol_order-2)*Z123^5,0)</f>
        <v>0.57255349312</v>
      </c>
    </row>
    <row r="124" customFormat="false" ht="12.75" hidden="false" customHeight="false" outlineLevel="0" collapsed="false">
      <c r="Z124" s="47" t="n">
        <f aca="false">+Z123+0.01</f>
        <v>0.530000000000001</v>
      </c>
      <c r="AA124" s="0" t="n">
        <f aca="true">OFFSET(VolSkewCoef,0,impvol_order-2)+OFFSET(VolSkewCoef,1,impvol_order-2)*Z124+OFFSET(VolSkewCoef,2,impvol_order-2)*Z124^2+IF(impvol_order&gt;2,OFFSET(VolSkewCoef,3,impvol_order-2)*Z124^3,0)+IF(impvol_order&gt;3,OFFSET(VolSkewCoef,4,impvol_order-2)*Z124^4,0)+IF(impvol_order&gt;4,OFFSET(VolSkewCoef,5,impvol_order-2)*Z124^5,0)</f>
        <v>0.57369839703</v>
      </c>
    </row>
    <row r="125" customFormat="false" ht="12.75" hidden="false" customHeight="false" outlineLevel="0" collapsed="false">
      <c r="Z125" s="47" t="n">
        <f aca="false">+Z124+0.01</f>
        <v>0.540000000000001</v>
      </c>
      <c r="AA125" s="0" t="n">
        <f aca="true">OFFSET(VolSkewCoef,0,impvol_order-2)+OFFSET(VolSkewCoef,1,impvol_order-2)*Z125+OFFSET(VolSkewCoef,2,impvol_order-2)*Z125^2+IF(impvol_order&gt;2,OFFSET(VolSkewCoef,3,impvol_order-2)*Z125^3,0)+IF(impvol_order&gt;3,OFFSET(VolSkewCoef,4,impvol_order-2)*Z125^4,0)+IF(impvol_order&gt;4,OFFSET(VolSkewCoef,5,impvol_order-2)*Z125^5,0)</f>
        <v>0.57482830696</v>
      </c>
    </row>
    <row r="126" customFormat="false" ht="12.75" hidden="false" customHeight="false" outlineLevel="0" collapsed="false">
      <c r="Z126" s="47" t="n">
        <f aca="false">+Z125+0.01</f>
        <v>0.550000000000001</v>
      </c>
      <c r="AA126" s="0" t="n">
        <f aca="true">OFFSET(VolSkewCoef,0,impvol_order-2)+OFFSET(VolSkewCoef,1,impvol_order-2)*Z126+OFFSET(VolSkewCoef,2,impvol_order-2)*Z126^2+IF(impvol_order&gt;2,OFFSET(VolSkewCoef,3,impvol_order-2)*Z126^3,0)+IF(impvol_order&gt;3,OFFSET(VolSkewCoef,4,impvol_order-2)*Z126^4,0)+IF(impvol_order&gt;4,OFFSET(VolSkewCoef,5,impvol_order-2)*Z126^5,0)</f>
        <v>0.57594221125</v>
      </c>
    </row>
    <row r="127" customFormat="false" ht="12.75" hidden="false" customHeight="false" outlineLevel="0" collapsed="false">
      <c r="Z127" s="47" t="n">
        <f aca="false">+Z126+0.01</f>
        <v>0.560000000000001</v>
      </c>
      <c r="AA127" s="0" t="n">
        <f aca="true">OFFSET(VolSkewCoef,0,impvol_order-2)+OFFSET(VolSkewCoef,1,impvol_order-2)*Z127+OFFSET(VolSkewCoef,2,impvol_order-2)*Z127^2+IF(impvol_order&gt;2,OFFSET(VolSkewCoef,3,impvol_order-2)*Z127^3,0)+IF(impvol_order&gt;3,OFFSET(VolSkewCoef,4,impvol_order-2)*Z127^4,0)+IF(impvol_order&gt;4,OFFSET(VolSkewCoef,5,impvol_order-2)*Z127^5,0)</f>
        <v>0.57703909824</v>
      </c>
    </row>
    <row r="128" customFormat="false" ht="12.75" hidden="false" customHeight="false" outlineLevel="0" collapsed="false">
      <c r="Z128" s="47" t="n">
        <f aca="false">+Z127+0.01</f>
        <v>0.570000000000001</v>
      </c>
      <c r="AA128" s="0" t="n">
        <f aca="true">OFFSET(VolSkewCoef,0,impvol_order-2)+OFFSET(VolSkewCoef,1,impvol_order-2)*Z128+OFFSET(VolSkewCoef,2,impvol_order-2)*Z128^2+IF(impvol_order&gt;2,OFFSET(VolSkewCoef,3,impvol_order-2)*Z128^3,0)+IF(impvol_order&gt;3,OFFSET(VolSkewCoef,4,impvol_order-2)*Z128^4,0)+IF(impvol_order&gt;4,OFFSET(VolSkewCoef,5,impvol_order-2)*Z128^5,0)</f>
        <v>0.57811795627</v>
      </c>
    </row>
    <row r="129" customFormat="false" ht="12.75" hidden="false" customHeight="false" outlineLevel="0" collapsed="false">
      <c r="Z129" s="47" t="n">
        <f aca="false">+Z128+0.01</f>
        <v>0.580000000000001</v>
      </c>
      <c r="AA129" s="0" t="n">
        <f aca="true">OFFSET(VolSkewCoef,0,impvol_order-2)+OFFSET(VolSkewCoef,1,impvol_order-2)*Z129+OFFSET(VolSkewCoef,2,impvol_order-2)*Z129^2+IF(impvol_order&gt;2,OFFSET(VolSkewCoef,3,impvol_order-2)*Z129^3,0)+IF(impvol_order&gt;3,OFFSET(VolSkewCoef,4,impvol_order-2)*Z129^4,0)+IF(impvol_order&gt;4,OFFSET(VolSkewCoef,5,impvol_order-2)*Z129^5,0)</f>
        <v>0.57917777368</v>
      </c>
    </row>
    <row r="130" customFormat="false" ht="12.75" hidden="false" customHeight="false" outlineLevel="0" collapsed="false">
      <c r="Z130" s="47" t="n">
        <f aca="false">+Z129+0.01</f>
        <v>0.590000000000001</v>
      </c>
      <c r="AA130" s="0" t="n">
        <f aca="true">OFFSET(VolSkewCoef,0,impvol_order-2)+OFFSET(VolSkewCoef,1,impvol_order-2)*Z130+OFFSET(VolSkewCoef,2,impvol_order-2)*Z130^2+IF(impvol_order&gt;2,OFFSET(VolSkewCoef,3,impvol_order-2)*Z130^3,0)+IF(impvol_order&gt;3,OFFSET(VolSkewCoef,4,impvol_order-2)*Z130^4,0)+IF(impvol_order&gt;4,OFFSET(VolSkewCoef,5,impvol_order-2)*Z130^5,0)</f>
        <v>0.58021753881</v>
      </c>
    </row>
    <row r="131" customFormat="false" ht="12.75" hidden="false" customHeight="false" outlineLevel="0" collapsed="false">
      <c r="Z131" s="47" t="n">
        <f aca="false">+Z130+0.01</f>
        <v>0.600000000000001</v>
      </c>
      <c r="AA131" s="0" t="n">
        <f aca="true">OFFSET(VolSkewCoef,0,impvol_order-2)+OFFSET(VolSkewCoef,1,impvol_order-2)*Z131+OFFSET(VolSkewCoef,2,impvol_order-2)*Z131^2+IF(impvol_order&gt;2,OFFSET(VolSkewCoef,3,impvol_order-2)*Z131^3,0)+IF(impvol_order&gt;3,OFFSET(VolSkewCoef,4,impvol_order-2)*Z131^4,0)+IF(impvol_order&gt;4,OFFSET(VolSkewCoef,5,impvol_order-2)*Z131^5,0)</f>
        <v>0.58123624</v>
      </c>
    </row>
    <row r="132" customFormat="false" ht="12.75" hidden="false" customHeight="false" outlineLevel="0" collapsed="false">
      <c r="Z132" s="47" t="n">
        <f aca="false">+Z131+0.01</f>
        <v>0.610000000000001</v>
      </c>
      <c r="AA132" s="0" t="n">
        <f aca="true">OFFSET(VolSkewCoef,0,impvol_order-2)+OFFSET(VolSkewCoef,1,impvol_order-2)*Z132+OFFSET(VolSkewCoef,2,impvol_order-2)*Z132^2+IF(impvol_order&gt;2,OFFSET(VolSkewCoef,3,impvol_order-2)*Z132^3,0)+IF(impvol_order&gt;3,OFFSET(VolSkewCoef,4,impvol_order-2)*Z132^4,0)+IF(impvol_order&gt;4,OFFSET(VolSkewCoef,5,impvol_order-2)*Z132^5,0)</f>
        <v>0.58223286559</v>
      </c>
    </row>
    <row r="133" customFormat="false" ht="12.75" hidden="false" customHeight="false" outlineLevel="0" collapsed="false">
      <c r="Z133" s="47" t="n">
        <f aca="false">+Z132+0.01</f>
        <v>0.620000000000001</v>
      </c>
      <c r="AA133" s="0" t="n">
        <f aca="true">OFFSET(VolSkewCoef,0,impvol_order-2)+OFFSET(VolSkewCoef,1,impvol_order-2)*Z133+OFFSET(VolSkewCoef,2,impvol_order-2)*Z133^2+IF(impvol_order&gt;2,OFFSET(VolSkewCoef,3,impvol_order-2)*Z133^3,0)+IF(impvol_order&gt;3,OFFSET(VolSkewCoef,4,impvol_order-2)*Z133^4,0)+IF(impvol_order&gt;4,OFFSET(VolSkewCoef,5,impvol_order-2)*Z133^5,0)</f>
        <v>0.58320640392</v>
      </c>
    </row>
    <row r="134" customFormat="false" ht="12.75" hidden="false" customHeight="false" outlineLevel="0" collapsed="false">
      <c r="Z134" s="47" t="n">
        <f aca="false">+Z133+0.01</f>
        <v>0.630000000000001</v>
      </c>
      <c r="AA134" s="0" t="n">
        <f aca="true">OFFSET(VolSkewCoef,0,impvol_order-2)+OFFSET(VolSkewCoef,1,impvol_order-2)*Z134+OFFSET(VolSkewCoef,2,impvol_order-2)*Z134^2+IF(impvol_order&gt;2,OFFSET(VolSkewCoef,3,impvol_order-2)*Z134^3,0)+IF(impvol_order&gt;3,OFFSET(VolSkewCoef,4,impvol_order-2)*Z134^4,0)+IF(impvol_order&gt;4,OFFSET(VolSkewCoef,5,impvol_order-2)*Z134^5,0)</f>
        <v>0.58415584333</v>
      </c>
    </row>
    <row r="135" customFormat="false" ht="12.75" hidden="false" customHeight="false" outlineLevel="0" collapsed="false">
      <c r="Z135" s="47" t="n">
        <f aca="false">+Z134+0.01</f>
        <v>0.640000000000001</v>
      </c>
      <c r="AA135" s="0" t="n">
        <f aca="true">OFFSET(VolSkewCoef,0,impvol_order-2)+OFFSET(VolSkewCoef,1,impvol_order-2)*Z135+OFFSET(VolSkewCoef,2,impvol_order-2)*Z135^2+IF(impvol_order&gt;2,OFFSET(VolSkewCoef,3,impvol_order-2)*Z135^3,0)+IF(impvol_order&gt;3,OFFSET(VolSkewCoef,4,impvol_order-2)*Z135^4,0)+IF(impvol_order&gt;4,OFFSET(VolSkewCoef,5,impvol_order-2)*Z135^5,0)</f>
        <v>0.58508017216</v>
      </c>
    </row>
    <row r="136" customFormat="false" ht="12.75" hidden="false" customHeight="false" outlineLevel="0" collapsed="false">
      <c r="Z136" s="47" t="n">
        <f aca="false">+Z135+0.01</f>
        <v>0.650000000000001</v>
      </c>
      <c r="AA136" s="0" t="n">
        <f aca="true">OFFSET(VolSkewCoef,0,impvol_order-2)+OFFSET(VolSkewCoef,1,impvol_order-2)*Z136+OFFSET(VolSkewCoef,2,impvol_order-2)*Z136^2+IF(impvol_order&gt;2,OFFSET(VolSkewCoef,3,impvol_order-2)*Z136^3,0)+IF(impvol_order&gt;3,OFFSET(VolSkewCoef,4,impvol_order-2)*Z136^4,0)+IF(impvol_order&gt;4,OFFSET(VolSkewCoef,5,impvol_order-2)*Z136^5,0)</f>
        <v>0.58597837875</v>
      </c>
    </row>
    <row r="137" customFormat="false" ht="12.75" hidden="false" customHeight="false" outlineLevel="0" collapsed="false">
      <c r="Z137" s="47" t="n">
        <f aca="false">+Z136+0.01</f>
        <v>0.660000000000001</v>
      </c>
      <c r="AA137" s="0" t="n">
        <f aca="true">OFFSET(VolSkewCoef,0,impvol_order-2)+OFFSET(VolSkewCoef,1,impvol_order-2)*Z137+OFFSET(VolSkewCoef,2,impvol_order-2)*Z137^2+IF(impvol_order&gt;2,OFFSET(VolSkewCoef,3,impvol_order-2)*Z137^3,0)+IF(impvol_order&gt;3,OFFSET(VolSkewCoef,4,impvol_order-2)*Z137^4,0)+IF(impvol_order&gt;4,OFFSET(VolSkewCoef,5,impvol_order-2)*Z137^5,0)</f>
        <v>0.58684945144</v>
      </c>
    </row>
    <row r="138" customFormat="false" ht="12.75" hidden="false" customHeight="false" outlineLevel="0" collapsed="false">
      <c r="Z138" s="47" t="n">
        <f aca="false">+Z137+0.01</f>
        <v>0.670000000000001</v>
      </c>
      <c r="AA138" s="0" t="n">
        <f aca="true">OFFSET(VolSkewCoef,0,impvol_order-2)+OFFSET(VolSkewCoef,1,impvol_order-2)*Z138+OFFSET(VolSkewCoef,2,impvol_order-2)*Z138^2+IF(impvol_order&gt;2,OFFSET(VolSkewCoef,3,impvol_order-2)*Z138^3,0)+IF(impvol_order&gt;3,OFFSET(VolSkewCoef,4,impvol_order-2)*Z138^4,0)+IF(impvol_order&gt;4,OFFSET(VolSkewCoef,5,impvol_order-2)*Z138^5,0)</f>
        <v>0.58769237857</v>
      </c>
    </row>
    <row r="139" customFormat="false" ht="12.75" hidden="false" customHeight="false" outlineLevel="0" collapsed="false">
      <c r="Z139" s="47" t="n">
        <f aca="false">+Z138+0.01</f>
        <v>0.680000000000001</v>
      </c>
      <c r="AA139" s="0" t="n">
        <f aca="true">OFFSET(VolSkewCoef,0,impvol_order-2)+OFFSET(VolSkewCoef,1,impvol_order-2)*Z139+OFFSET(VolSkewCoef,2,impvol_order-2)*Z139^2+IF(impvol_order&gt;2,OFFSET(VolSkewCoef,3,impvol_order-2)*Z139^3,0)+IF(impvol_order&gt;3,OFFSET(VolSkewCoef,4,impvol_order-2)*Z139^4,0)+IF(impvol_order&gt;4,OFFSET(VolSkewCoef,5,impvol_order-2)*Z139^5,0)</f>
        <v>0.58850614848</v>
      </c>
    </row>
    <row r="140" customFormat="false" ht="12.75" hidden="false" customHeight="false" outlineLevel="0" collapsed="false">
      <c r="Z140" s="47" t="n">
        <f aca="false">+Z139+0.01</f>
        <v>0.690000000000001</v>
      </c>
      <c r="AA140" s="0" t="n">
        <f aca="true">OFFSET(VolSkewCoef,0,impvol_order-2)+OFFSET(VolSkewCoef,1,impvol_order-2)*Z140+OFFSET(VolSkewCoef,2,impvol_order-2)*Z140^2+IF(impvol_order&gt;2,OFFSET(VolSkewCoef,3,impvol_order-2)*Z140^3,0)+IF(impvol_order&gt;3,OFFSET(VolSkewCoef,4,impvol_order-2)*Z140^4,0)+IF(impvol_order&gt;4,OFFSET(VolSkewCoef,5,impvol_order-2)*Z140^5,0)</f>
        <v>0.58928974951</v>
      </c>
    </row>
    <row r="141" customFormat="false" ht="12.75" hidden="false" customHeight="false" outlineLevel="0" collapsed="false">
      <c r="Z141" s="47" t="n">
        <f aca="false">+Z140+0.01</f>
        <v>0.700000000000001</v>
      </c>
      <c r="AA141" s="0" t="n">
        <f aca="true">OFFSET(VolSkewCoef,0,impvol_order-2)+OFFSET(VolSkewCoef,1,impvol_order-2)*Z141+OFFSET(VolSkewCoef,2,impvol_order-2)*Z141^2+IF(impvol_order&gt;2,OFFSET(VolSkewCoef,3,impvol_order-2)*Z141^3,0)+IF(impvol_order&gt;3,OFFSET(VolSkewCoef,4,impvol_order-2)*Z141^4,0)+IF(impvol_order&gt;4,OFFSET(VolSkewCoef,5,impvol_order-2)*Z141^5,0)</f>
        <v>0.59004217</v>
      </c>
    </row>
    <row r="142" customFormat="false" ht="12.75" hidden="false" customHeight="false" outlineLevel="0" collapsed="false">
      <c r="Z142" s="47" t="n">
        <f aca="false">+Z141+0.01</f>
        <v>0.710000000000001</v>
      </c>
      <c r="AA142" s="0" t="n">
        <f aca="true">OFFSET(VolSkewCoef,0,impvol_order-2)+OFFSET(VolSkewCoef,1,impvol_order-2)*Z142+OFFSET(VolSkewCoef,2,impvol_order-2)*Z142^2+IF(impvol_order&gt;2,OFFSET(VolSkewCoef,3,impvol_order-2)*Z142^3,0)+IF(impvol_order&gt;3,OFFSET(VolSkewCoef,4,impvol_order-2)*Z142^4,0)+IF(impvol_order&gt;4,OFFSET(VolSkewCoef,5,impvol_order-2)*Z142^5,0)</f>
        <v>0.59076239829</v>
      </c>
    </row>
    <row r="143" customFormat="false" ht="12.75" hidden="false" customHeight="false" outlineLevel="0" collapsed="false">
      <c r="Z143" s="47" t="n">
        <f aca="false">+Z142+0.01</f>
        <v>0.720000000000001</v>
      </c>
      <c r="AA143" s="0" t="n">
        <f aca="true">OFFSET(VolSkewCoef,0,impvol_order-2)+OFFSET(VolSkewCoef,1,impvol_order-2)*Z143+OFFSET(VolSkewCoef,2,impvol_order-2)*Z143^2+IF(impvol_order&gt;2,OFFSET(VolSkewCoef,3,impvol_order-2)*Z143^3,0)+IF(impvol_order&gt;3,OFFSET(VolSkewCoef,4,impvol_order-2)*Z143^4,0)+IF(impvol_order&gt;4,OFFSET(VolSkewCoef,5,impvol_order-2)*Z143^5,0)</f>
        <v>0.59144942272</v>
      </c>
    </row>
    <row r="144" customFormat="false" ht="12.75" hidden="false" customHeight="false" outlineLevel="0" collapsed="false">
      <c r="Z144" s="47" t="n">
        <f aca="false">+Z143+0.01</f>
        <v>0.730000000000001</v>
      </c>
      <c r="AA144" s="0" t="n">
        <f aca="true">OFFSET(VolSkewCoef,0,impvol_order-2)+OFFSET(VolSkewCoef,1,impvol_order-2)*Z144+OFFSET(VolSkewCoef,2,impvol_order-2)*Z144^2+IF(impvol_order&gt;2,OFFSET(VolSkewCoef,3,impvol_order-2)*Z144^3,0)+IF(impvol_order&gt;3,OFFSET(VolSkewCoef,4,impvol_order-2)*Z144^4,0)+IF(impvol_order&gt;4,OFFSET(VolSkewCoef,5,impvol_order-2)*Z144^5,0)</f>
        <v>0.59210223163</v>
      </c>
    </row>
    <row r="145" customFormat="false" ht="12.75" hidden="false" customHeight="false" outlineLevel="0" collapsed="false">
      <c r="Z145" s="47" t="n">
        <f aca="false">+Z144+0.01</f>
        <v>0.740000000000001</v>
      </c>
      <c r="AA145" s="0" t="n">
        <f aca="true">OFFSET(VolSkewCoef,0,impvol_order-2)+OFFSET(VolSkewCoef,1,impvol_order-2)*Z145+OFFSET(VolSkewCoef,2,impvol_order-2)*Z145^2+IF(impvol_order&gt;2,OFFSET(VolSkewCoef,3,impvol_order-2)*Z145^3,0)+IF(impvol_order&gt;3,OFFSET(VolSkewCoef,4,impvol_order-2)*Z145^4,0)+IF(impvol_order&gt;4,OFFSET(VolSkewCoef,5,impvol_order-2)*Z145^5,0)</f>
        <v>0.59271981336</v>
      </c>
    </row>
    <row r="146" customFormat="false" ht="12.75" hidden="false" customHeight="false" outlineLevel="0" collapsed="false">
      <c r="Z146" s="47" t="n">
        <f aca="false">+Z145+0.01</f>
        <v>0.750000000000001</v>
      </c>
      <c r="AA146" s="0" t="n">
        <f aca="true">OFFSET(VolSkewCoef,0,impvol_order-2)+OFFSET(VolSkewCoef,1,impvol_order-2)*Z146+OFFSET(VolSkewCoef,2,impvol_order-2)*Z146^2+IF(impvol_order&gt;2,OFFSET(VolSkewCoef,3,impvol_order-2)*Z146^3,0)+IF(impvol_order&gt;3,OFFSET(VolSkewCoef,4,impvol_order-2)*Z146^4,0)+IF(impvol_order&gt;4,OFFSET(VolSkewCoef,5,impvol_order-2)*Z146^5,0)</f>
        <v>0.59330115625</v>
      </c>
    </row>
    <row r="147" customFormat="false" ht="12.75" hidden="false" customHeight="false" outlineLevel="0" collapsed="false">
      <c r="Z147" s="47" t="n">
        <f aca="false">+Z146+0.01</f>
        <v>0.760000000000001</v>
      </c>
      <c r="AA147" s="0" t="n">
        <f aca="true">OFFSET(VolSkewCoef,0,impvol_order-2)+OFFSET(VolSkewCoef,1,impvol_order-2)*Z147+OFFSET(VolSkewCoef,2,impvol_order-2)*Z147^2+IF(impvol_order&gt;2,OFFSET(VolSkewCoef,3,impvol_order-2)*Z147^3,0)+IF(impvol_order&gt;3,OFFSET(VolSkewCoef,4,impvol_order-2)*Z147^4,0)+IF(impvol_order&gt;4,OFFSET(VolSkewCoef,5,impvol_order-2)*Z147^5,0)</f>
        <v>0.59384524864</v>
      </c>
    </row>
    <row r="148" customFormat="false" ht="12.75" hidden="false" customHeight="false" outlineLevel="0" collapsed="false">
      <c r="Z148" s="47" t="n">
        <f aca="false">+Z147+0.01</f>
        <v>0.770000000000001</v>
      </c>
      <c r="AA148" s="0" t="n">
        <f aca="true">OFFSET(VolSkewCoef,0,impvol_order-2)+OFFSET(VolSkewCoef,1,impvol_order-2)*Z148+OFFSET(VolSkewCoef,2,impvol_order-2)*Z148^2+IF(impvol_order&gt;2,OFFSET(VolSkewCoef,3,impvol_order-2)*Z148^3,0)+IF(impvol_order&gt;3,OFFSET(VolSkewCoef,4,impvol_order-2)*Z148^4,0)+IF(impvol_order&gt;4,OFFSET(VolSkewCoef,5,impvol_order-2)*Z148^5,0)</f>
        <v>0.59435107887</v>
      </c>
    </row>
    <row r="149" customFormat="false" ht="12.75" hidden="false" customHeight="false" outlineLevel="0" collapsed="false">
      <c r="Z149" s="47" t="n">
        <f aca="false">+Z148+0.01</f>
        <v>0.780000000000001</v>
      </c>
      <c r="AA149" s="0" t="n">
        <f aca="true">OFFSET(VolSkewCoef,0,impvol_order-2)+OFFSET(VolSkewCoef,1,impvol_order-2)*Z149+OFFSET(VolSkewCoef,2,impvol_order-2)*Z149^2+IF(impvol_order&gt;2,OFFSET(VolSkewCoef,3,impvol_order-2)*Z149^3,0)+IF(impvol_order&gt;3,OFFSET(VolSkewCoef,4,impvol_order-2)*Z149^4,0)+IF(impvol_order&gt;4,OFFSET(VolSkewCoef,5,impvol_order-2)*Z149^5,0)</f>
        <v>0.59481763528</v>
      </c>
    </row>
    <row r="150" customFormat="false" ht="12.75" hidden="false" customHeight="false" outlineLevel="0" collapsed="false">
      <c r="Z150" s="47" t="n">
        <f aca="false">+Z149+0.01</f>
        <v>0.790000000000001</v>
      </c>
      <c r="AA150" s="0" t="n">
        <f aca="true">OFFSET(VolSkewCoef,0,impvol_order-2)+OFFSET(VolSkewCoef,1,impvol_order-2)*Z150+OFFSET(VolSkewCoef,2,impvol_order-2)*Z150^2+IF(impvol_order&gt;2,OFFSET(VolSkewCoef,3,impvol_order-2)*Z150^3,0)+IF(impvol_order&gt;3,OFFSET(VolSkewCoef,4,impvol_order-2)*Z150^4,0)+IF(impvol_order&gt;4,OFFSET(VolSkewCoef,5,impvol_order-2)*Z150^5,0)</f>
        <v>0.59524390621</v>
      </c>
    </row>
    <row r="151" customFormat="false" ht="12.75" hidden="false" customHeight="false" outlineLevel="0" collapsed="false">
      <c r="Z151" s="47" t="n">
        <f aca="false">+Z150+0.01</f>
        <v>0.800000000000001</v>
      </c>
      <c r="AA151" s="0" t="n">
        <f aca="true">OFFSET(VolSkewCoef,0,impvol_order-2)+OFFSET(VolSkewCoef,1,impvol_order-2)*Z151+OFFSET(VolSkewCoef,2,impvol_order-2)*Z151^2+IF(impvol_order&gt;2,OFFSET(VolSkewCoef,3,impvol_order-2)*Z151^3,0)+IF(impvol_order&gt;3,OFFSET(VolSkewCoef,4,impvol_order-2)*Z151^4,0)+IF(impvol_order&gt;4,OFFSET(VolSkewCoef,5,impvol_order-2)*Z151^5,0)</f>
        <v>0.59562888</v>
      </c>
    </row>
    <row r="152" customFormat="false" ht="12.75" hidden="false" customHeight="false" outlineLevel="0" collapsed="false">
      <c r="Z152" s="47" t="n">
        <f aca="false">+Z151+0.01</f>
        <v>0.810000000000001</v>
      </c>
      <c r="AA152" s="0" t="n">
        <f aca="true">OFFSET(VolSkewCoef,0,impvol_order-2)+OFFSET(VolSkewCoef,1,impvol_order-2)*Z152+OFFSET(VolSkewCoef,2,impvol_order-2)*Z152^2+IF(impvol_order&gt;2,OFFSET(VolSkewCoef,3,impvol_order-2)*Z152^3,0)+IF(impvol_order&gt;3,OFFSET(VolSkewCoef,4,impvol_order-2)*Z152^4,0)+IF(impvol_order&gt;4,OFFSET(VolSkewCoef,5,impvol_order-2)*Z152^5,0)</f>
        <v>0.59597154499</v>
      </c>
    </row>
    <row r="153" customFormat="false" ht="12.75" hidden="false" customHeight="false" outlineLevel="0" collapsed="false">
      <c r="Z153" s="47" t="n">
        <f aca="false">+Z152+0.01</f>
        <v>0.820000000000001</v>
      </c>
      <c r="AA153" s="0" t="n">
        <f aca="true">OFFSET(VolSkewCoef,0,impvol_order-2)+OFFSET(VolSkewCoef,1,impvol_order-2)*Z153+OFFSET(VolSkewCoef,2,impvol_order-2)*Z153^2+IF(impvol_order&gt;2,OFFSET(VolSkewCoef,3,impvol_order-2)*Z153^3,0)+IF(impvol_order&gt;3,OFFSET(VolSkewCoef,4,impvol_order-2)*Z153^4,0)+IF(impvol_order&gt;4,OFFSET(VolSkewCoef,5,impvol_order-2)*Z153^5,0)</f>
        <v>0.59627088952</v>
      </c>
    </row>
    <row r="154" customFormat="false" ht="12.75" hidden="false" customHeight="false" outlineLevel="0" collapsed="false">
      <c r="Z154" s="47" t="n">
        <f aca="false">+Z153+0.01</f>
        <v>0.830000000000001</v>
      </c>
      <c r="AA154" s="0" t="n">
        <f aca="true">OFFSET(VolSkewCoef,0,impvol_order-2)+OFFSET(VolSkewCoef,1,impvol_order-2)*Z154+OFFSET(VolSkewCoef,2,impvol_order-2)*Z154^2+IF(impvol_order&gt;2,OFFSET(VolSkewCoef,3,impvol_order-2)*Z154^3,0)+IF(impvol_order&gt;3,OFFSET(VolSkewCoef,4,impvol_order-2)*Z154^4,0)+IF(impvol_order&gt;4,OFFSET(VolSkewCoef,5,impvol_order-2)*Z154^5,0)</f>
        <v>0.59652590193</v>
      </c>
    </row>
    <row r="155" customFormat="false" ht="12.75" hidden="false" customHeight="false" outlineLevel="0" collapsed="false">
      <c r="Z155" s="47" t="n">
        <f aca="false">+Z154+0.01</f>
        <v>0.840000000000001</v>
      </c>
      <c r="AA155" s="0" t="n">
        <f aca="true">OFFSET(VolSkewCoef,0,impvol_order-2)+OFFSET(VolSkewCoef,1,impvol_order-2)*Z155+OFFSET(VolSkewCoef,2,impvol_order-2)*Z155^2+IF(impvol_order&gt;2,OFFSET(VolSkewCoef,3,impvol_order-2)*Z155^3,0)+IF(impvol_order&gt;3,OFFSET(VolSkewCoef,4,impvol_order-2)*Z155^4,0)+IF(impvol_order&gt;4,OFFSET(VolSkewCoef,5,impvol_order-2)*Z155^5,0)</f>
        <v>0.59673557056</v>
      </c>
    </row>
    <row r="156" customFormat="false" ht="12.75" hidden="false" customHeight="false" outlineLevel="0" collapsed="false">
      <c r="Z156" s="47" t="n">
        <f aca="false">+Z155+0.01</f>
        <v>0.850000000000001</v>
      </c>
      <c r="AA156" s="0" t="n">
        <f aca="true">OFFSET(VolSkewCoef,0,impvol_order-2)+OFFSET(VolSkewCoef,1,impvol_order-2)*Z156+OFFSET(VolSkewCoef,2,impvol_order-2)*Z156^2+IF(impvol_order&gt;2,OFFSET(VolSkewCoef,3,impvol_order-2)*Z156^3,0)+IF(impvol_order&gt;3,OFFSET(VolSkewCoef,4,impvol_order-2)*Z156^4,0)+IF(impvol_order&gt;4,OFFSET(VolSkewCoef,5,impvol_order-2)*Z156^5,0)</f>
        <v>0.59689888375</v>
      </c>
    </row>
    <row r="157" customFormat="false" ht="12.75" hidden="false" customHeight="false" outlineLevel="0" collapsed="false">
      <c r="Z157" s="47" t="n">
        <f aca="false">+Z156+0.01</f>
        <v>0.860000000000001</v>
      </c>
      <c r="AA157" s="0" t="n">
        <f aca="true">OFFSET(VolSkewCoef,0,impvol_order-2)+OFFSET(VolSkewCoef,1,impvol_order-2)*Z157+OFFSET(VolSkewCoef,2,impvol_order-2)*Z157^2+IF(impvol_order&gt;2,OFFSET(VolSkewCoef,3,impvol_order-2)*Z157^3,0)+IF(impvol_order&gt;3,OFFSET(VolSkewCoef,4,impvol_order-2)*Z157^4,0)+IF(impvol_order&gt;4,OFFSET(VolSkewCoef,5,impvol_order-2)*Z157^5,0)</f>
        <v>0.59701482984</v>
      </c>
    </row>
    <row r="158" customFormat="false" ht="12.75" hidden="false" customHeight="false" outlineLevel="0" collapsed="false">
      <c r="Z158" s="47" t="n">
        <f aca="false">+Z157+0.01</f>
        <v>0.870000000000001</v>
      </c>
      <c r="AA158" s="0" t="n">
        <f aca="true">OFFSET(VolSkewCoef,0,impvol_order-2)+OFFSET(VolSkewCoef,1,impvol_order-2)*Z158+OFFSET(VolSkewCoef,2,impvol_order-2)*Z158^2+IF(impvol_order&gt;2,OFFSET(VolSkewCoef,3,impvol_order-2)*Z158^3,0)+IF(impvol_order&gt;3,OFFSET(VolSkewCoef,4,impvol_order-2)*Z158^4,0)+IF(impvol_order&gt;4,OFFSET(VolSkewCoef,5,impvol_order-2)*Z158^5,0)</f>
        <v>0.59708239717</v>
      </c>
    </row>
    <row r="159" customFormat="false" ht="12.75" hidden="false" customHeight="false" outlineLevel="0" collapsed="false">
      <c r="Z159" s="47" t="n">
        <f aca="false">+Z158+0.01</f>
        <v>0.880000000000001</v>
      </c>
      <c r="AA159" s="0" t="n">
        <f aca="true">OFFSET(VolSkewCoef,0,impvol_order-2)+OFFSET(VolSkewCoef,1,impvol_order-2)*Z159+OFFSET(VolSkewCoef,2,impvol_order-2)*Z159^2+IF(impvol_order&gt;2,OFFSET(VolSkewCoef,3,impvol_order-2)*Z159^3,0)+IF(impvol_order&gt;3,OFFSET(VolSkewCoef,4,impvol_order-2)*Z159^4,0)+IF(impvol_order&gt;4,OFFSET(VolSkewCoef,5,impvol_order-2)*Z159^5,0)</f>
        <v>0.59710057408</v>
      </c>
    </row>
    <row r="160" customFormat="false" ht="12.75" hidden="false" customHeight="false" outlineLevel="0" collapsed="false">
      <c r="Z160" s="47" t="n">
        <f aca="false">+Z159+0.01</f>
        <v>0.890000000000001</v>
      </c>
      <c r="AA160" s="0" t="n">
        <f aca="true">OFFSET(VolSkewCoef,0,impvol_order-2)+OFFSET(VolSkewCoef,1,impvol_order-2)*Z160+OFFSET(VolSkewCoef,2,impvol_order-2)*Z160^2+IF(impvol_order&gt;2,OFFSET(VolSkewCoef,3,impvol_order-2)*Z160^3,0)+IF(impvol_order&gt;3,OFFSET(VolSkewCoef,4,impvol_order-2)*Z160^4,0)+IF(impvol_order&gt;4,OFFSET(VolSkewCoef,5,impvol_order-2)*Z160^5,0)</f>
        <v>0.59706834891</v>
      </c>
    </row>
    <row r="161" customFormat="false" ht="12.75" hidden="false" customHeight="false" outlineLevel="0" collapsed="false">
      <c r="Z161" s="47" t="n">
        <f aca="false">+Z160+0.01</f>
        <v>0.900000000000001</v>
      </c>
      <c r="AA161" s="0" t="n">
        <f aca="true">OFFSET(VolSkewCoef,0,impvol_order-2)+OFFSET(VolSkewCoef,1,impvol_order-2)*Z161+OFFSET(VolSkewCoef,2,impvol_order-2)*Z161^2+IF(impvol_order&gt;2,OFFSET(VolSkewCoef,3,impvol_order-2)*Z161^3,0)+IF(impvol_order&gt;3,OFFSET(VolSkewCoef,4,impvol_order-2)*Z161^4,0)+IF(impvol_order&gt;4,OFFSET(VolSkewCoef,5,impvol_order-2)*Z161^5,0)</f>
        <v>0.59698471</v>
      </c>
    </row>
    <row r="162" customFormat="false" ht="12.75" hidden="false" customHeight="false" outlineLevel="0" collapsed="false">
      <c r="Z162" s="47" t="n">
        <f aca="false">+Z161+0.01</f>
        <v>0.910000000000001</v>
      </c>
      <c r="AA162" s="0" t="n">
        <f aca="true">OFFSET(VolSkewCoef,0,impvol_order-2)+OFFSET(VolSkewCoef,1,impvol_order-2)*Z162+OFFSET(VolSkewCoef,2,impvol_order-2)*Z162^2+IF(impvol_order&gt;2,OFFSET(VolSkewCoef,3,impvol_order-2)*Z162^3,0)+IF(impvol_order&gt;3,OFFSET(VolSkewCoef,4,impvol_order-2)*Z162^4,0)+IF(impvol_order&gt;4,OFFSET(VolSkewCoef,5,impvol_order-2)*Z162^5,0)</f>
        <v>0.59684864569</v>
      </c>
    </row>
    <row r="163" customFormat="false" ht="12.75" hidden="false" customHeight="false" outlineLevel="0" collapsed="false">
      <c r="Z163" s="47" t="n">
        <f aca="false">+Z162+0.01</f>
        <v>0.920000000000001</v>
      </c>
      <c r="AA163" s="0" t="n">
        <f aca="true">OFFSET(VolSkewCoef,0,impvol_order-2)+OFFSET(VolSkewCoef,1,impvol_order-2)*Z163+OFFSET(VolSkewCoef,2,impvol_order-2)*Z163^2+IF(impvol_order&gt;2,OFFSET(VolSkewCoef,3,impvol_order-2)*Z163^3,0)+IF(impvol_order&gt;3,OFFSET(VolSkewCoef,4,impvol_order-2)*Z163^4,0)+IF(impvol_order&gt;4,OFFSET(VolSkewCoef,5,impvol_order-2)*Z163^5,0)</f>
        <v>0.59665914432</v>
      </c>
    </row>
    <row r="164" customFormat="false" ht="12.75" hidden="false" customHeight="false" outlineLevel="0" collapsed="false">
      <c r="Z164" s="47" t="n">
        <f aca="false">+Z163+0.01</f>
        <v>0.930000000000001</v>
      </c>
      <c r="AA164" s="0" t="n">
        <f aca="true">OFFSET(VolSkewCoef,0,impvol_order-2)+OFFSET(VolSkewCoef,1,impvol_order-2)*Z164+OFFSET(VolSkewCoef,2,impvol_order-2)*Z164^2+IF(impvol_order&gt;2,OFFSET(VolSkewCoef,3,impvol_order-2)*Z164^3,0)+IF(impvol_order&gt;3,OFFSET(VolSkewCoef,4,impvol_order-2)*Z164^4,0)+IF(impvol_order&gt;4,OFFSET(VolSkewCoef,5,impvol_order-2)*Z164^5,0)</f>
        <v>0.59641519423</v>
      </c>
    </row>
    <row r="165" customFormat="false" ht="12.75" hidden="false" customHeight="false" outlineLevel="0" collapsed="false">
      <c r="Z165" s="47" t="n">
        <f aca="false">+Z164+0.01</f>
        <v>0.940000000000001</v>
      </c>
      <c r="AA165" s="0" t="n">
        <f aca="true">OFFSET(VolSkewCoef,0,impvol_order-2)+OFFSET(VolSkewCoef,1,impvol_order-2)*Z165+OFFSET(VolSkewCoef,2,impvol_order-2)*Z165^2+IF(impvol_order&gt;2,OFFSET(VolSkewCoef,3,impvol_order-2)*Z165^3,0)+IF(impvol_order&gt;3,OFFSET(VolSkewCoef,4,impvol_order-2)*Z165^4,0)+IF(impvol_order&gt;4,OFFSET(VolSkewCoef,5,impvol_order-2)*Z165^5,0)</f>
        <v>0.59611578376</v>
      </c>
    </row>
    <row r="166" customFormat="false" ht="12.75" hidden="false" customHeight="false" outlineLevel="0" collapsed="false">
      <c r="Z166" s="47" t="n">
        <f aca="false">+Z165+0.01</f>
        <v>0.950000000000001</v>
      </c>
      <c r="AA166" s="0" t="n">
        <f aca="true">OFFSET(VolSkewCoef,0,impvol_order-2)+OFFSET(VolSkewCoef,1,impvol_order-2)*Z166+OFFSET(VolSkewCoef,2,impvol_order-2)*Z166^2+IF(impvol_order&gt;2,OFFSET(VolSkewCoef,3,impvol_order-2)*Z166^3,0)+IF(impvol_order&gt;3,OFFSET(VolSkewCoef,4,impvol_order-2)*Z166^4,0)+IF(impvol_order&gt;4,OFFSET(VolSkewCoef,5,impvol_order-2)*Z166^5,0)</f>
        <v>0.59575990125</v>
      </c>
    </row>
    <row r="167" customFormat="false" ht="12.75" hidden="false" customHeight="false" outlineLevel="0" collapsed="false">
      <c r="Z167" s="47" t="n">
        <f aca="false">+Z166+0.01</f>
        <v>0.960000000000001</v>
      </c>
      <c r="AA167" s="0" t="n">
        <f aca="true">OFFSET(VolSkewCoef,0,impvol_order-2)+OFFSET(VolSkewCoef,1,impvol_order-2)*Z167+OFFSET(VolSkewCoef,2,impvol_order-2)*Z167^2+IF(impvol_order&gt;2,OFFSET(VolSkewCoef,3,impvol_order-2)*Z167^3,0)+IF(impvol_order&gt;3,OFFSET(VolSkewCoef,4,impvol_order-2)*Z167^4,0)+IF(impvol_order&gt;4,OFFSET(VolSkewCoef,5,impvol_order-2)*Z167^5,0)</f>
        <v>0.59534653504</v>
      </c>
    </row>
    <row r="168" customFormat="false" ht="12.75" hidden="false" customHeight="false" outlineLevel="0" collapsed="false">
      <c r="Z168" s="47" t="n">
        <f aca="false">+Z167+0.01</f>
        <v>0.970000000000001</v>
      </c>
      <c r="AA168" s="0" t="n">
        <f aca="true">OFFSET(VolSkewCoef,0,impvol_order-2)+OFFSET(VolSkewCoef,1,impvol_order-2)*Z168+OFFSET(VolSkewCoef,2,impvol_order-2)*Z168^2+IF(impvol_order&gt;2,OFFSET(VolSkewCoef,3,impvol_order-2)*Z168^3,0)+IF(impvol_order&gt;3,OFFSET(VolSkewCoef,4,impvol_order-2)*Z168^4,0)+IF(impvol_order&gt;4,OFFSET(VolSkewCoef,5,impvol_order-2)*Z168^5,0)</f>
        <v>0.59487467347</v>
      </c>
    </row>
    <row r="169" customFormat="false" ht="12.75" hidden="false" customHeight="false" outlineLevel="0" collapsed="false">
      <c r="Z169" s="47" t="n">
        <f aca="false">+Z168+0.01</f>
        <v>0.980000000000001</v>
      </c>
      <c r="AA169" s="0" t="n">
        <f aca="true">OFFSET(VolSkewCoef,0,impvol_order-2)+OFFSET(VolSkewCoef,1,impvol_order-2)*Z169+OFFSET(VolSkewCoef,2,impvol_order-2)*Z169^2+IF(impvol_order&gt;2,OFFSET(VolSkewCoef,3,impvol_order-2)*Z169^3,0)+IF(impvol_order&gt;3,OFFSET(VolSkewCoef,4,impvol_order-2)*Z169^4,0)+IF(impvol_order&gt;4,OFFSET(VolSkewCoef,5,impvol_order-2)*Z169^5,0)</f>
        <v>0.59434330488</v>
      </c>
    </row>
    <row r="170" customFormat="false" ht="12.75" hidden="false" customHeight="false" outlineLevel="0" collapsed="false">
      <c r="Z170" s="47" t="n">
        <f aca="false">+Z169+0.01</f>
        <v>0.990000000000001</v>
      </c>
      <c r="AA170" s="0" t="n">
        <f aca="true">OFFSET(VolSkewCoef,0,impvol_order-2)+OFFSET(VolSkewCoef,1,impvol_order-2)*Z170+OFFSET(VolSkewCoef,2,impvol_order-2)*Z170^2+IF(impvol_order&gt;2,OFFSET(VolSkewCoef,3,impvol_order-2)*Z170^3,0)+IF(impvol_order&gt;3,OFFSET(VolSkewCoef,4,impvol_order-2)*Z170^4,0)+IF(impvol_order&gt;4,OFFSET(VolSkewCoef,5,impvol_order-2)*Z170^5,0)</f>
        <v>0.59375141761</v>
      </c>
    </row>
    <row r="171" customFormat="false" ht="12.75" hidden="false" customHeight="false" outlineLevel="0" collapsed="false">
      <c r="Z171" s="47" t="n">
        <f aca="false">+Z170+0.01</f>
        <v>1</v>
      </c>
      <c r="AA171" s="0" t="n">
        <f aca="true">OFFSET(VolSkewCoef,0,impvol_order-2)+OFFSET(VolSkewCoef,1,impvol_order-2)*Z171+OFFSET(VolSkewCoef,2,impvol_order-2)*Z171^2+IF(impvol_order&gt;2,OFFSET(VolSkewCoef,3,impvol_order-2)*Z171^3,0)+IF(impvol_order&gt;3,OFFSET(VolSkewCoef,4,impvol_order-2)*Z171^4,0)+IF(impvol_order&gt;4,OFFSET(VolSkewCoef,5,impvol_order-2)*Z171^5,0)</f>
        <v>0.593098</v>
      </c>
    </row>
    <row r="172" customFormat="false" ht="12.75" hidden="false" customHeight="false" outlineLevel="0" collapsed="false">
      <c r="Z172" s="47" t="n">
        <f aca="false">+Z171+0.01</f>
        <v>1.01</v>
      </c>
      <c r="AA172" s="0" t="n">
        <f aca="true">OFFSET(VolSkewCoef,0,impvol_order-2)+OFFSET(VolSkewCoef,1,impvol_order-2)*Z172+OFFSET(VolSkewCoef,2,impvol_order-2)*Z172^2+IF(impvol_order&gt;2,OFFSET(VolSkewCoef,3,impvol_order-2)*Z172^3,0)+IF(impvol_order&gt;3,OFFSET(VolSkewCoef,4,impvol_order-2)*Z172^4,0)+IF(impvol_order&gt;4,OFFSET(VolSkewCoef,5,impvol_order-2)*Z172^5,0)</f>
        <v>0.59238204039</v>
      </c>
    </row>
    <row r="173" customFormat="false" ht="12.75" hidden="false" customHeight="false" outlineLevel="0" collapsed="false">
      <c r="Z173" s="47" t="n">
        <f aca="false">+Z172+0.01</f>
        <v>1.02</v>
      </c>
      <c r="AA173" s="0" t="n">
        <f aca="true">OFFSET(VolSkewCoef,0,impvol_order-2)+OFFSET(VolSkewCoef,1,impvol_order-2)*Z173+OFFSET(VolSkewCoef,2,impvol_order-2)*Z173^2+IF(impvol_order&gt;2,OFFSET(VolSkewCoef,3,impvol_order-2)*Z173^3,0)+IF(impvol_order&gt;3,OFFSET(VolSkewCoef,4,impvol_order-2)*Z173^4,0)+IF(impvol_order&gt;4,OFFSET(VolSkewCoef,5,impvol_order-2)*Z173^5,0)</f>
        <v>0.59160252712</v>
      </c>
    </row>
    <row r="174" customFormat="false" ht="12.75" hidden="false" customHeight="false" outlineLevel="0" collapsed="false">
      <c r="Z174" s="47" t="n">
        <f aca="false">+Z173+0.01</f>
        <v>1.03</v>
      </c>
      <c r="AA174" s="0" t="n">
        <f aca="true">OFFSET(VolSkewCoef,0,impvol_order-2)+OFFSET(VolSkewCoef,1,impvol_order-2)*Z174+OFFSET(VolSkewCoef,2,impvol_order-2)*Z174^2+IF(impvol_order&gt;2,OFFSET(VolSkewCoef,3,impvol_order-2)*Z174^3,0)+IF(impvol_order&gt;3,OFFSET(VolSkewCoef,4,impvol_order-2)*Z174^4,0)+IF(impvol_order&gt;4,OFFSET(VolSkewCoef,5,impvol_order-2)*Z174^5,0)</f>
        <v>0.59075844853</v>
      </c>
    </row>
    <row r="175" customFormat="false" ht="12.75" hidden="false" customHeight="false" outlineLevel="0" collapsed="false">
      <c r="Z175" s="47" t="n">
        <f aca="false">+Z174+0.01</f>
        <v>1.04</v>
      </c>
      <c r="AA175" s="0" t="n">
        <f aca="true">OFFSET(VolSkewCoef,0,impvol_order-2)+OFFSET(VolSkewCoef,1,impvol_order-2)*Z175+OFFSET(VolSkewCoef,2,impvol_order-2)*Z175^2+IF(impvol_order&gt;2,OFFSET(VolSkewCoef,3,impvol_order-2)*Z175^3,0)+IF(impvol_order&gt;3,OFFSET(VolSkewCoef,4,impvol_order-2)*Z175^4,0)+IF(impvol_order&gt;4,OFFSET(VolSkewCoef,5,impvol_order-2)*Z175^5,0)</f>
        <v>0.58984879296</v>
      </c>
    </row>
    <row r="176" customFormat="false" ht="12.75" hidden="false" customHeight="false" outlineLevel="0" collapsed="false">
      <c r="Z176" s="47" t="n">
        <f aca="false">+Z175+0.01</f>
        <v>1.05</v>
      </c>
      <c r="AA176" s="0" t="n">
        <f aca="true">OFFSET(VolSkewCoef,0,impvol_order-2)+OFFSET(VolSkewCoef,1,impvol_order-2)*Z176+OFFSET(VolSkewCoef,2,impvol_order-2)*Z176^2+IF(impvol_order&gt;2,OFFSET(VolSkewCoef,3,impvol_order-2)*Z176^3,0)+IF(impvol_order&gt;3,OFFSET(VolSkewCoef,4,impvol_order-2)*Z176^4,0)+IF(impvol_order&gt;4,OFFSET(VolSkewCoef,5,impvol_order-2)*Z176^5,0)</f>
        <v>0.58887254875</v>
      </c>
    </row>
    <row r="177" customFormat="false" ht="12.75" hidden="false" customHeight="false" outlineLevel="0" collapsed="false">
      <c r="Z177" s="47" t="n">
        <f aca="false">+Z176+0.01</f>
        <v>1.06</v>
      </c>
      <c r="AA177" s="0" t="n">
        <f aca="true">OFFSET(VolSkewCoef,0,impvol_order-2)+OFFSET(VolSkewCoef,1,impvol_order-2)*Z177+OFFSET(VolSkewCoef,2,impvol_order-2)*Z177^2+IF(impvol_order&gt;2,OFFSET(VolSkewCoef,3,impvol_order-2)*Z177^3,0)+IF(impvol_order&gt;3,OFFSET(VolSkewCoef,4,impvol_order-2)*Z177^4,0)+IF(impvol_order&gt;4,OFFSET(VolSkewCoef,5,impvol_order-2)*Z177^5,0)</f>
        <v>0.58782870424</v>
      </c>
    </row>
    <row r="178" customFormat="false" ht="12.75" hidden="false" customHeight="false" outlineLevel="0" collapsed="false">
      <c r="Z178" s="47" t="n">
        <f aca="false">+Z177+0.01</f>
        <v>1.07</v>
      </c>
      <c r="AA178" s="0" t="n">
        <f aca="true">OFFSET(VolSkewCoef,0,impvol_order-2)+OFFSET(VolSkewCoef,1,impvol_order-2)*Z178+OFFSET(VolSkewCoef,2,impvol_order-2)*Z178^2+IF(impvol_order&gt;2,OFFSET(VolSkewCoef,3,impvol_order-2)*Z178^3,0)+IF(impvol_order&gt;3,OFFSET(VolSkewCoef,4,impvol_order-2)*Z178^4,0)+IF(impvol_order&gt;4,OFFSET(VolSkewCoef,5,impvol_order-2)*Z178^5,0)</f>
        <v>0.58671624777</v>
      </c>
    </row>
    <row r="179" customFormat="false" ht="12.75" hidden="false" customHeight="false" outlineLevel="0" collapsed="false">
      <c r="Z179" s="47" t="n">
        <f aca="false">+Z178+0.01</f>
        <v>1.08</v>
      </c>
      <c r="AA179" s="0" t="n">
        <f aca="true">OFFSET(VolSkewCoef,0,impvol_order-2)+OFFSET(VolSkewCoef,1,impvol_order-2)*Z179+OFFSET(VolSkewCoef,2,impvol_order-2)*Z179^2+IF(impvol_order&gt;2,OFFSET(VolSkewCoef,3,impvol_order-2)*Z179^3,0)+IF(impvol_order&gt;3,OFFSET(VolSkewCoef,4,impvol_order-2)*Z179^4,0)+IF(impvol_order&gt;4,OFFSET(VolSkewCoef,5,impvol_order-2)*Z179^5,0)</f>
        <v>0.58553416768</v>
      </c>
    </row>
    <row r="180" customFormat="false" ht="12.75" hidden="false" customHeight="false" outlineLevel="0" collapsed="false">
      <c r="Z180" s="47" t="n">
        <f aca="false">+Z179+0.01</f>
        <v>1.09</v>
      </c>
      <c r="AA180" s="0" t="n">
        <f aca="true">OFFSET(VolSkewCoef,0,impvol_order-2)+OFFSET(VolSkewCoef,1,impvol_order-2)*Z180+OFFSET(VolSkewCoef,2,impvol_order-2)*Z180^2+IF(impvol_order&gt;2,OFFSET(VolSkewCoef,3,impvol_order-2)*Z180^3,0)+IF(impvol_order&gt;3,OFFSET(VolSkewCoef,4,impvol_order-2)*Z180^4,0)+IF(impvol_order&gt;4,OFFSET(VolSkewCoef,5,impvol_order-2)*Z180^5,0)</f>
        <v>0.58428145231</v>
      </c>
    </row>
    <row r="181" customFormat="false" ht="12.75" hidden="false" customHeight="false" outlineLevel="0" collapsed="false">
      <c r="Z181" s="47" t="n">
        <f aca="false">+Z180+0.01</f>
        <v>1.1</v>
      </c>
      <c r="AA181" s="0" t="n">
        <f aca="true">OFFSET(VolSkewCoef,0,impvol_order-2)+OFFSET(VolSkewCoef,1,impvol_order-2)*Z181+OFFSET(VolSkewCoef,2,impvol_order-2)*Z181^2+IF(impvol_order&gt;2,OFFSET(VolSkewCoef,3,impvol_order-2)*Z181^3,0)+IF(impvol_order&gt;3,OFFSET(VolSkewCoef,4,impvol_order-2)*Z181^4,0)+IF(impvol_order&gt;4,OFFSET(VolSkewCoef,5,impvol_order-2)*Z181^5,0)</f>
        <v>0.58295709</v>
      </c>
    </row>
    <row r="182" customFormat="false" ht="12.75" hidden="false" customHeight="false" outlineLevel="0" collapsed="false">
      <c r="Z182" s="47" t="n">
        <f aca="false">+Z181+0.01</f>
        <v>1.11</v>
      </c>
      <c r="AA182" s="0" t="n">
        <f aca="true">OFFSET(VolSkewCoef,0,impvol_order-2)+OFFSET(VolSkewCoef,1,impvol_order-2)*Z182+OFFSET(VolSkewCoef,2,impvol_order-2)*Z182^2+IF(impvol_order&gt;2,OFFSET(VolSkewCoef,3,impvol_order-2)*Z182^3,0)+IF(impvol_order&gt;3,OFFSET(VolSkewCoef,4,impvol_order-2)*Z182^4,0)+IF(impvol_order&gt;4,OFFSET(VolSkewCoef,5,impvol_order-2)*Z182^5,0)</f>
        <v>0.58156006909</v>
      </c>
    </row>
    <row r="183" customFormat="false" ht="12.75" hidden="false" customHeight="false" outlineLevel="0" collapsed="false">
      <c r="Z183" s="47" t="n">
        <f aca="false">+Z182+0.01</f>
        <v>1.12</v>
      </c>
      <c r="AA183" s="0" t="n">
        <f aca="true">OFFSET(VolSkewCoef,0,impvol_order-2)+OFFSET(VolSkewCoef,1,impvol_order-2)*Z183+OFFSET(VolSkewCoef,2,impvol_order-2)*Z183^2+IF(impvol_order&gt;2,OFFSET(VolSkewCoef,3,impvol_order-2)*Z183^3,0)+IF(impvol_order&gt;3,OFFSET(VolSkewCoef,4,impvol_order-2)*Z183^4,0)+IF(impvol_order&gt;4,OFFSET(VolSkewCoef,5,impvol_order-2)*Z183^5,0)</f>
        <v>0.58008937792</v>
      </c>
    </row>
    <row r="184" customFormat="false" ht="12.75" hidden="false" customHeight="false" outlineLevel="0" collapsed="false">
      <c r="Z184" s="47" t="n">
        <f aca="false">+Z183+0.01</f>
        <v>1.13</v>
      </c>
      <c r="AA184" s="0" t="n">
        <f aca="true">OFFSET(VolSkewCoef,0,impvol_order-2)+OFFSET(VolSkewCoef,1,impvol_order-2)*Z184+OFFSET(VolSkewCoef,2,impvol_order-2)*Z184^2+IF(impvol_order&gt;2,OFFSET(VolSkewCoef,3,impvol_order-2)*Z184^3,0)+IF(impvol_order&gt;3,OFFSET(VolSkewCoef,4,impvol_order-2)*Z184^4,0)+IF(impvol_order&gt;4,OFFSET(VolSkewCoef,5,impvol_order-2)*Z184^5,0)</f>
        <v>0.57854400483</v>
      </c>
    </row>
    <row r="185" customFormat="false" ht="12.75" hidden="false" customHeight="false" outlineLevel="0" collapsed="false">
      <c r="Z185" s="47" t="n">
        <f aca="false">+Z184+0.01</f>
        <v>1.14</v>
      </c>
      <c r="AA185" s="0" t="n">
        <f aca="true">OFFSET(VolSkewCoef,0,impvol_order-2)+OFFSET(VolSkewCoef,1,impvol_order-2)*Z185+OFFSET(VolSkewCoef,2,impvol_order-2)*Z185^2+IF(impvol_order&gt;2,OFFSET(VolSkewCoef,3,impvol_order-2)*Z185^3,0)+IF(impvol_order&gt;3,OFFSET(VolSkewCoef,4,impvol_order-2)*Z185^4,0)+IF(impvol_order&gt;4,OFFSET(VolSkewCoef,5,impvol_order-2)*Z185^5,0)</f>
        <v>0.57692293816</v>
      </c>
    </row>
    <row r="186" customFormat="false" ht="12.75" hidden="false" customHeight="false" outlineLevel="0" collapsed="false">
      <c r="Z186" s="47" t="n">
        <f aca="false">+Z185+0.01</f>
        <v>1.15</v>
      </c>
      <c r="AA186" s="0" t="n">
        <f aca="true">OFFSET(VolSkewCoef,0,impvol_order-2)+OFFSET(VolSkewCoef,1,impvol_order-2)*Z186+OFFSET(VolSkewCoef,2,impvol_order-2)*Z186^2+IF(impvol_order&gt;2,OFFSET(VolSkewCoef,3,impvol_order-2)*Z186^3,0)+IF(impvol_order&gt;3,OFFSET(VolSkewCoef,4,impvol_order-2)*Z186^4,0)+IF(impvol_order&gt;4,OFFSET(VolSkewCoef,5,impvol_order-2)*Z186^5,0)</f>
        <v>0.57522516625</v>
      </c>
    </row>
    <row r="187" customFormat="false" ht="12.75" hidden="false" customHeight="false" outlineLevel="0" collapsed="false">
      <c r="Z187" s="47" t="n">
        <f aca="false">+Z186+0.01</f>
        <v>1.16</v>
      </c>
      <c r="AA187" s="0" t="n">
        <f aca="true">OFFSET(VolSkewCoef,0,impvol_order-2)+OFFSET(VolSkewCoef,1,impvol_order-2)*Z187+OFFSET(VolSkewCoef,2,impvol_order-2)*Z187^2+IF(impvol_order&gt;2,OFFSET(VolSkewCoef,3,impvol_order-2)*Z187^3,0)+IF(impvol_order&gt;3,OFFSET(VolSkewCoef,4,impvol_order-2)*Z187^4,0)+IF(impvol_order&gt;4,OFFSET(VolSkewCoef,5,impvol_order-2)*Z187^5,0)</f>
        <v>0.57344967744</v>
      </c>
    </row>
    <row r="188" customFormat="false" ht="12.75" hidden="false" customHeight="false" outlineLevel="0" collapsed="false">
      <c r="Z188" s="47" t="n">
        <f aca="false">+Z187+0.01</f>
        <v>1.17</v>
      </c>
      <c r="AA188" s="0" t="n">
        <f aca="true">OFFSET(VolSkewCoef,0,impvol_order-2)+OFFSET(VolSkewCoef,1,impvol_order-2)*Z188+OFFSET(VolSkewCoef,2,impvol_order-2)*Z188^2+IF(impvol_order&gt;2,OFFSET(VolSkewCoef,3,impvol_order-2)*Z188^3,0)+IF(impvol_order&gt;3,OFFSET(VolSkewCoef,4,impvol_order-2)*Z188^4,0)+IF(impvol_order&gt;4,OFFSET(VolSkewCoef,5,impvol_order-2)*Z188^5,0)</f>
        <v>0.57159546007</v>
      </c>
    </row>
    <row r="189" customFormat="false" ht="12.75" hidden="false" customHeight="false" outlineLevel="0" collapsed="false">
      <c r="Z189" s="47" t="n">
        <f aca="false">+Z188+0.01</f>
        <v>1.18</v>
      </c>
      <c r="AA189" s="0" t="n">
        <f aca="true">OFFSET(VolSkewCoef,0,impvol_order-2)+OFFSET(VolSkewCoef,1,impvol_order-2)*Z189+OFFSET(VolSkewCoef,2,impvol_order-2)*Z189^2+IF(impvol_order&gt;2,OFFSET(VolSkewCoef,3,impvol_order-2)*Z189^3,0)+IF(impvol_order&gt;3,OFFSET(VolSkewCoef,4,impvol_order-2)*Z189^4,0)+IF(impvol_order&gt;4,OFFSET(VolSkewCoef,5,impvol_order-2)*Z189^5,0)</f>
        <v>0.56966150248</v>
      </c>
    </row>
    <row r="190" customFormat="false" ht="12.75" hidden="false" customHeight="false" outlineLevel="0" collapsed="false">
      <c r="Z190" s="47" t="n">
        <f aca="false">+Z189+0.01</f>
        <v>1.19</v>
      </c>
      <c r="AA190" s="0" t="n">
        <f aca="true">OFFSET(VolSkewCoef,0,impvol_order-2)+OFFSET(VolSkewCoef,1,impvol_order-2)*Z190+OFFSET(VolSkewCoef,2,impvol_order-2)*Z190^2+IF(impvol_order&gt;2,OFFSET(VolSkewCoef,3,impvol_order-2)*Z190^3,0)+IF(impvol_order&gt;3,OFFSET(VolSkewCoef,4,impvol_order-2)*Z190^4,0)+IF(impvol_order&gt;4,OFFSET(VolSkewCoef,5,impvol_order-2)*Z190^5,0)</f>
        <v>0.56764679301</v>
      </c>
    </row>
    <row r="191" customFormat="false" ht="12.75" hidden="false" customHeight="false" outlineLevel="0" collapsed="false">
      <c r="Z191" s="47" t="n">
        <f aca="false">+Z190+0.01</f>
        <v>1.2</v>
      </c>
      <c r="AA191" s="0" t="n">
        <f aca="true">OFFSET(VolSkewCoef,0,impvol_order-2)+OFFSET(VolSkewCoef,1,impvol_order-2)*Z191+OFFSET(VolSkewCoef,2,impvol_order-2)*Z191^2+IF(impvol_order&gt;2,OFFSET(VolSkewCoef,3,impvol_order-2)*Z191^3,0)+IF(impvol_order&gt;3,OFFSET(VolSkewCoef,4,impvol_order-2)*Z191^4,0)+IF(impvol_order&gt;4,OFFSET(VolSkewCoef,5,impvol_order-2)*Z191^5,0)</f>
        <v>0.56555032</v>
      </c>
    </row>
    <row r="192" customFormat="false" ht="12.75" hidden="false" customHeight="false" outlineLevel="0" collapsed="false">
      <c r="Z192" s="47" t="n">
        <f aca="false">+Z191+0.01</f>
        <v>1.21</v>
      </c>
      <c r="AA192" s="0" t="n">
        <f aca="true">OFFSET(VolSkewCoef,0,impvol_order-2)+OFFSET(VolSkewCoef,1,impvol_order-2)*Z192+OFFSET(VolSkewCoef,2,impvol_order-2)*Z192^2+IF(impvol_order&gt;2,OFFSET(VolSkewCoef,3,impvol_order-2)*Z192^3,0)+IF(impvol_order&gt;3,OFFSET(VolSkewCoef,4,impvol_order-2)*Z192^4,0)+IF(impvol_order&gt;4,OFFSET(VolSkewCoef,5,impvol_order-2)*Z192^5,0)</f>
        <v>0.56337107179</v>
      </c>
    </row>
    <row r="193" customFormat="false" ht="12.75" hidden="false" customHeight="false" outlineLevel="0" collapsed="false">
      <c r="Z193" s="47" t="n">
        <f aca="false">+Z192+0.01</f>
        <v>1.22</v>
      </c>
      <c r="AA193" s="0" t="n">
        <f aca="true">OFFSET(VolSkewCoef,0,impvol_order-2)+OFFSET(VolSkewCoef,1,impvol_order-2)*Z193+OFFSET(VolSkewCoef,2,impvol_order-2)*Z193^2+IF(impvol_order&gt;2,OFFSET(VolSkewCoef,3,impvol_order-2)*Z193^3,0)+IF(impvol_order&gt;3,OFFSET(VolSkewCoef,4,impvol_order-2)*Z193^4,0)+IF(impvol_order&gt;4,OFFSET(VolSkewCoef,5,impvol_order-2)*Z193^5,0)</f>
        <v>0.56110803672</v>
      </c>
    </row>
    <row r="194" customFormat="false" ht="12.75" hidden="false" customHeight="false" outlineLevel="0" collapsed="false">
      <c r="Z194" s="47" t="n">
        <f aca="false">+Z193+0.01</f>
        <v>1.23</v>
      </c>
      <c r="AA194" s="0" t="n">
        <f aca="true">OFFSET(VolSkewCoef,0,impvol_order-2)+OFFSET(VolSkewCoef,1,impvol_order-2)*Z194+OFFSET(VolSkewCoef,2,impvol_order-2)*Z194^2+IF(impvol_order&gt;2,OFFSET(VolSkewCoef,3,impvol_order-2)*Z194^3,0)+IF(impvol_order&gt;3,OFFSET(VolSkewCoef,4,impvol_order-2)*Z194^4,0)+IF(impvol_order&gt;4,OFFSET(VolSkewCoef,5,impvol_order-2)*Z194^5,0)</f>
        <v>0.55876020313</v>
      </c>
    </row>
    <row r="195" customFormat="false" ht="12.75" hidden="false" customHeight="false" outlineLevel="0" collapsed="false">
      <c r="Z195" s="47" t="n">
        <f aca="false">+Z194+0.01</f>
        <v>1.24</v>
      </c>
      <c r="AA195" s="0" t="n">
        <f aca="true">OFFSET(VolSkewCoef,0,impvol_order-2)+OFFSET(VolSkewCoef,1,impvol_order-2)*Z195+OFFSET(VolSkewCoef,2,impvol_order-2)*Z195^2+IF(impvol_order&gt;2,OFFSET(VolSkewCoef,3,impvol_order-2)*Z195^3,0)+IF(impvol_order&gt;3,OFFSET(VolSkewCoef,4,impvol_order-2)*Z195^4,0)+IF(impvol_order&gt;4,OFFSET(VolSkewCoef,5,impvol_order-2)*Z195^5,0)</f>
        <v>0.55632655936</v>
      </c>
    </row>
    <row r="196" customFormat="false" ht="12.75" hidden="false" customHeight="false" outlineLevel="0" collapsed="false">
      <c r="Z196" s="47" t="n">
        <f aca="false">+Z195+0.01</f>
        <v>1.25</v>
      </c>
      <c r="AA196" s="0" t="n">
        <f aca="true">OFFSET(VolSkewCoef,0,impvol_order-2)+OFFSET(VolSkewCoef,1,impvol_order-2)*Z196+OFFSET(VolSkewCoef,2,impvol_order-2)*Z196^2+IF(impvol_order&gt;2,OFFSET(VolSkewCoef,3,impvol_order-2)*Z196^3,0)+IF(impvol_order&gt;3,OFFSET(VolSkewCoef,4,impvol_order-2)*Z196^4,0)+IF(impvol_order&gt;4,OFFSET(VolSkewCoef,5,impvol_order-2)*Z196^5,0)</f>
        <v>0.55380609375</v>
      </c>
    </row>
    <row r="197" customFormat="false" ht="12.75" hidden="false" customHeight="false" outlineLevel="0" collapsed="false">
      <c r="Z197" s="47" t="n">
        <f aca="false">+Z196+0.01</f>
        <v>1.26</v>
      </c>
      <c r="AA197" s="0" t="n">
        <f aca="true">OFFSET(VolSkewCoef,0,impvol_order-2)+OFFSET(VolSkewCoef,1,impvol_order-2)*Z197+OFFSET(VolSkewCoef,2,impvol_order-2)*Z197^2+IF(impvol_order&gt;2,OFFSET(VolSkewCoef,3,impvol_order-2)*Z197^3,0)+IF(impvol_order&gt;3,OFFSET(VolSkewCoef,4,impvol_order-2)*Z197^4,0)+IF(impvol_order&gt;4,OFFSET(VolSkewCoef,5,impvol_order-2)*Z197^5,0)</f>
        <v>0.55119779464</v>
      </c>
    </row>
    <row r="198" customFormat="false" ht="12.75" hidden="false" customHeight="false" outlineLevel="0" collapsed="false">
      <c r="Z198" s="47" t="n">
        <f aca="false">+Z197+0.01</f>
        <v>1.27</v>
      </c>
      <c r="AA198" s="0" t="n">
        <f aca="true">OFFSET(VolSkewCoef,0,impvol_order-2)+OFFSET(VolSkewCoef,1,impvol_order-2)*Z198+OFFSET(VolSkewCoef,2,impvol_order-2)*Z198^2+IF(impvol_order&gt;2,OFFSET(VolSkewCoef,3,impvol_order-2)*Z198^3,0)+IF(impvol_order&gt;3,OFFSET(VolSkewCoef,4,impvol_order-2)*Z198^4,0)+IF(impvol_order&gt;4,OFFSET(VolSkewCoef,5,impvol_order-2)*Z198^5,0)</f>
        <v>0.54850065037</v>
      </c>
    </row>
    <row r="199" customFormat="false" ht="12.75" hidden="false" customHeight="false" outlineLevel="0" collapsed="false">
      <c r="Z199" s="47" t="n">
        <f aca="false">+Z198+0.01</f>
        <v>1.28</v>
      </c>
      <c r="AA199" s="0" t="n">
        <f aca="true">OFFSET(VolSkewCoef,0,impvol_order-2)+OFFSET(VolSkewCoef,1,impvol_order-2)*Z199+OFFSET(VolSkewCoef,2,impvol_order-2)*Z199^2+IF(impvol_order&gt;2,OFFSET(VolSkewCoef,3,impvol_order-2)*Z199^3,0)+IF(impvol_order&gt;3,OFFSET(VolSkewCoef,4,impvol_order-2)*Z199^4,0)+IF(impvol_order&gt;4,OFFSET(VolSkewCoef,5,impvol_order-2)*Z199^5,0)</f>
        <v>0.54571364928</v>
      </c>
    </row>
    <row r="200" customFormat="false" ht="12.75" hidden="false" customHeight="false" outlineLevel="0" collapsed="false">
      <c r="Z200" s="47" t="n">
        <f aca="false">+Z199+0.01</f>
        <v>1.29</v>
      </c>
      <c r="AA200" s="0" t="n">
        <f aca="true">OFFSET(VolSkewCoef,0,impvol_order-2)+OFFSET(VolSkewCoef,1,impvol_order-2)*Z200+OFFSET(VolSkewCoef,2,impvol_order-2)*Z200^2+IF(impvol_order&gt;2,OFFSET(VolSkewCoef,3,impvol_order-2)*Z200^3,0)+IF(impvol_order&gt;3,OFFSET(VolSkewCoef,4,impvol_order-2)*Z200^4,0)+IF(impvol_order&gt;4,OFFSET(VolSkewCoef,5,impvol_order-2)*Z200^5,0)</f>
        <v>0.54283577971</v>
      </c>
    </row>
  </sheetData>
  <mergeCells count="1">
    <mergeCell ref="Z30:AA30"/>
  </mergeCells>
  <printOptions headings="false" gridLines="false" gridLinesSet="true" horizontalCentered="false" verticalCentered="false"/>
  <pageMargins left="0.709722222222222" right="0.6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Smile_Calc">
                <anchor moveWithCells="true" sizeWithCells="false">
                  <from>
                    <xdr:col>11</xdr:col>
                    <xdr:colOff>608400</xdr:colOff>
                    <xdr:row>3</xdr:row>
                    <xdr:rowOff>37800</xdr:rowOff>
                  </from>
                  <to>
                    <xdr:col>13</xdr:col>
                    <xdr:colOff>609120</xdr:colOff>
                    <xdr:row>6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J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1.25" customHeight="true" zeroHeight="false" outlineLevelRow="0" outlineLevelCol="0"/>
  <cols>
    <col collapsed="false" customWidth="false" hidden="false" outlineLevel="0" max="2" min="1" style="48" width="7.99"/>
    <col collapsed="false" customWidth="true" hidden="false" outlineLevel="0" max="3" min="3" style="48" width="9.99"/>
    <col collapsed="false" customWidth="false" hidden="false" outlineLevel="0" max="4" min="4" style="48" width="7.99"/>
    <col collapsed="false" customWidth="true" hidden="false" outlineLevel="0" max="5" min="5" style="48" width="9.14"/>
    <col collapsed="false" customWidth="true" hidden="true" outlineLevel="0" max="10" min="6" style="48" width="9.14"/>
    <col collapsed="false" customWidth="true" hidden="true" outlineLevel="0" max="11" min="11" style="48" width="4.56"/>
    <col collapsed="false" customWidth="false" hidden="true" outlineLevel="0" max="13" min="12" style="48" width="7.99"/>
    <col collapsed="false" customWidth="true" hidden="true" outlineLevel="0" max="14" min="14" style="48" width="2.99"/>
    <col collapsed="false" customWidth="false" hidden="true" outlineLevel="0" max="16" min="15" style="48" width="7.99"/>
    <col collapsed="false" customWidth="true" hidden="true" outlineLevel="0" max="17" min="17" style="48" width="3.56"/>
    <col collapsed="false" customWidth="false" hidden="true" outlineLevel="0" max="19" min="18" style="48" width="7.99"/>
    <col collapsed="false" customWidth="true" hidden="true" outlineLevel="0" max="20" min="20" style="48" width="1.56"/>
    <col collapsed="false" customWidth="false" hidden="true" outlineLevel="0" max="21" min="21" style="48" width="7.99"/>
    <col collapsed="false" customWidth="true" hidden="true" outlineLevel="0" max="22" min="22" style="48" width="3.14"/>
    <col collapsed="false" customWidth="true" hidden="false" outlineLevel="0" max="23" min="23" style="48" width="9.99"/>
    <col collapsed="false" customWidth="true" hidden="true" outlineLevel="0" max="24" min="24" style="48" width="11.7"/>
    <col collapsed="false" customWidth="true" hidden="true" outlineLevel="0" max="25" min="25" style="48" width="2.56"/>
    <col collapsed="false" customWidth="true" hidden="true" outlineLevel="0" max="30" min="26" style="48" width="9.99"/>
    <col collapsed="false" customWidth="true" hidden="false" outlineLevel="0" max="33" min="31" style="48" width="9.99"/>
    <col collapsed="false" customWidth="true" hidden="true" outlineLevel="0" max="35" min="34" style="48" width="9.99"/>
    <col collapsed="false" customWidth="true" hidden="false" outlineLevel="0" max="36" min="36" style="48" width="2.7"/>
    <col collapsed="false" customWidth="true" hidden="false" outlineLevel="0" max="37" min="37" style="48" width="9.7"/>
    <col collapsed="false" customWidth="true" hidden="false" outlineLevel="0" max="38" min="38" style="48" width="2.7"/>
    <col collapsed="false" customWidth="true" hidden="false" outlineLevel="0" max="40" min="39" style="48" width="9.99"/>
    <col collapsed="false" customWidth="false" hidden="true" outlineLevel="0" max="47" min="41" style="48" width="7.99"/>
    <col collapsed="false" customWidth="true" hidden="true" outlineLevel="0" max="48" min="48" style="48" width="8.14"/>
    <col collapsed="false" customWidth="false" hidden="true" outlineLevel="0" max="50" min="49" style="48" width="7.99"/>
    <col collapsed="false" customWidth="true" hidden="true" outlineLevel="0" max="51" min="51" style="48" width="7.56"/>
    <col collapsed="false" customWidth="false" hidden="true" outlineLevel="0" max="58" min="52" style="48" width="7.99"/>
    <col collapsed="false" customWidth="false" hidden="false" outlineLevel="0" max="257" min="59" style="48" width="7.99"/>
  </cols>
  <sheetData>
    <row r="1" customFormat="false" ht="11.25" hidden="false" customHeight="false" outlineLevel="0" collapsed="false">
      <c r="AP1" s="49" t="s">
        <v>51</v>
      </c>
    </row>
    <row r="2" customFormat="false" ht="25.5" hidden="false" customHeight="false" outlineLevel="0" collapsed="false">
      <c r="B2" s="50" t="s">
        <v>52</v>
      </c>
    </row>
    <row r="3" customFormat="false" ht="11.25" hidden="false" customHeight="false" outlineLevel="0" collapsed="false">
      <c r="AQ3" s="51" t="s">
        <v>53</v>
      </c>
      <c r="AR3" s="51" t="s">
        <v>54</v>
      </c>
      <c r="AS3" s="51" t="s">
        <v>55</v>
      </c>
    </row>
    <row r="4" customFormat="false" ht="11.25" hidden="false" customHeight="false" outlineLevel="0" collapsed="false">
      <c r="C4" s="48" t="s">
        <v>11</v>
      </c>
      <c r="D4" s="52" t="n">
        <f aca="false">UnderlyingPrice</f>
        <v>4.845</v>
      </c>
      <c r="E4" s="52"/>
      <c r="F4" s="52"/>
      <c r="G4" s="52"/>
      <c r="H4" s="52"/>
      <c r="I4" s="52"/>
      <c r="J4" s="52"/>
      <c r="AP4" s="53" t="s">
        <v>56</v>
      </c>
      <c r="AQ4" s="54" t="n">
        <f aca="false">SQRT(2*PI())</f>
        <v>2.506628274631</v>
      </c>
      <c r="AR4" s="54" t="n">
        <f aca="false">SQRT(2*PI())</f>
        <v>2.506628274631</v>
      </c>
      <c r="AS4" s="55" t="s">
        <v>57</v>
      </c>
    </row>
    <row r="5" customFormat="false" ht="11.25" hidden="false" customHeight="false" outlineLevel="0" collapsed="false">
      <c r="D5" s="56"/>
      <c r="E5" s="56"/>
      <c r="F5" s="56"/>
      <c r="G5" s="56"/>
      <c r="H5" s="56"/>
      <c r="I5" s="56"/>
      <c r="J5" s="56"/>
      <c r="AP5" s="53" t="s">
        <v>58</v>
      </c>
      <c r="AQ5" s="57" t="n">
        <f aca="false">D13</f>
        <v>3</v>
      </c>
      <c r="AR5" s="57" t="n">
        <f aca="false">D113</f>
        <v>6.50000000000001</v>
      </c>
      <c r="AS5" s="55" t="s">
        <v>59</v>
      </c>
    </row>
    <row r="6" customFormat="false" ht="11.25" hidden="false" customHeight="false" outlineLevel="0" collapsed="false">
      <c r="C6" s="48" t="s">
        <v>60</v>
      </c>
      <c r="D6" s="58" t="n">
        <f aca="false">Expiry-Today</f>
        <v>147</v>
      </c>
      <c r="E6" s="58"/>
      <c r="F6" s="58"/>
      <c r="G6" s="58"/>
      <c r="H6" s="58"/>
      <c r="I6" s="58"/>
      <c r="J6" s="58"/>
      <c r="AE6" s="48" t="s">
        <v>61</v>
      </c>
      <c r="AG6" s="59"/>
      <c r="AH6" s="59"/>
      <c r="AI6" s="59"/>
      <c r="AJ6" s="59"/>
      <c r="AP6" s="60" t="s">
        <v>62</v>
      </c>
      <c r="AQ6" s="61" t="n">
        <f aca="false">I13</f>
        <v>0.535292081269758</v>
      </c>
      <c r="AR6" s="61" t="n">
        <f aca="false">I113</f>
        <v>0.550731643613051</v>
      </c>
      <c r="AS6" s="55" t="s">
        <v>63</v>
      </c>
    </row>
    <row r="7" customFormat="false" ht="11.25" hidden="false" customHeight="false" outlineLevel="0" collapsed="false">
      <c r="C7" s="48" t="s">
        <v>64</v>
      </c>
      <c r="D7" s="62" t="n">
        <f aca="false">IntRate</f>
        <v>0.0431</v>
      </c>
      <c r="E7" s="62"/>
      <c r="F7" s="62"/>
      <c r="G7" s="62"/>
      <c r="H7" s="62"/>
      <c r="I7" s="62"/>
      <c r="J7" s="62"/>
      <c r="U7" s="48" t="s">
        <v>61</v>
      </c>
      <c r="W7" s="63" t="e">
        <f aca="true">SUM(W13:W142)*+(ROUNDUP(MAX(StrikeRange),1)-ROUNDDOWN(MIN(StrikeRange),1))/100</f>
        <v>#NAME?</v>
      </c>
      <c r="AA7" s="63"/>
      <c r="AE7" s="63" t="n">
        <f aca="true">SUM(AE13:AE179)*(ROUNDUP(MAX(StrikeRange),1)-ROUNDDOWN(MIN(StrikeRange),1))/100</f>
        <v>0.815008801807803</v>
      </c>
      <c r="AF7" s="63"/>
      <c r="AG7" s="63"/>
      <c r="AH7" s="63"/>
      <c r="AI7" s="63"/>
      <c r="AJ7" s="63"/>
      <c r="AK7" s="63"/>
      <c r="AL7" s="63"/>
      <c r="AM7" s="63"/>
      <c r="AP7" s="53" t="s">
        <v>65</v>
      </c>
      <c r="AQ7" s="54" t="n">
        <f aca="false">T/365.25</f>
        <v>0.402464065708419</v>
      </c>
      <c r="AR7" s="54" t="n">
        <f aca="false">T/365.25</f>
        <v>0.402464065708419</v>
      </c>
      <c r="AS7" s="55" t="s">
        <v>66</v>
      </c>
    </row>
    <row r="8" customFormat="false" ht="11.25" hidden="false" customHeight="false" outlineLevel="0" collapsed="false">
      <c r="C8" s="48" t="s">
        <v>15</v>
      </c>
      <c r="D8" s="64" t="n">
        <f aca="false">Yield</f>
        <v>0.0431</v>
      </c>
      <c r="E8" s="64"/>
      <c r="F8" s="64"/>
      <c r="G8" s="64"/>
      <c r="H8" s="64"/>
      <c r="I8" s="64"/>
      <c r="J8" s="64"/>
      <c r="O8" s="48" t="s">
        <v>67</v>
      </c>
      <c r="P8" s="65" t="n">
        <v>0.0005</v>
      </c>
      <c r="AG8" s="63"/>
      <c r="AH8" s="63"/>
      <c r="AI8" s="63"/>
      <c r="AJ8" s="63"/>
      <c r="AK8" s="63"/>
      <c r="AL8" s="63"/>
      <c r="AM8" s="63"/>
      <c r="AN8" s="66"/>
      <c r="AP8" s="60" t="s">
        <v>68</v>
      </c>
      <c r="AQ8" s="61" t="n">
        <f aca="false">AQ6*SQRT(AQ7)</f>
        <v>0.339589594087644</v>
      </c>
      <c r="AR8" s="61" t="n">
        <f aca="false">AR6*SQRT(AR7)</f>
        <v>0.349384461025732</v>
      </c>
      <c r="AS8" s="55" t="s">
        <v>69</v>
      </c>
    </row>
    <row r="9" customFormat="false" ht="11.25" hidden="false" customHeight="false" outlineLevel="0" collapsed="false">
      <c r="C9" s="48" t="s">
        <v>70</v>
      </c>
      <c r="D9" s="67" t="n">
        <f aca="false">EXP(-IntRate*T/365.25)</f>
        <v>0.982803377990712</v>
      </c>
      <c r="E9" s="67"/>
      <c r="F9" s="67"/>
      <c r="G9" s="67"/>
      <c r="H9" s="67"/>
      <c r="I9" s="67"/>
      <c r="J9" s="67"/>
      <c r="AP9" s="53" t="s">
        <v>71</v>
      </c>
      <c r="AQ9" s="54" t="n">
        <f aca="false">((LN(AQ5/$D$4)+0.5*AQ8^2)/AQ8)*Gamma2</f>
        <v>-1.25762511292612</v>
      </c>
      <c r="AR9" s="54" t="n">
        <f aca="false">((LN(AR5/$D$4)+0.5*AR8^2)/AR8)*Gamma2</f>
        <v>1.02876958502089</v>
      </c>
      <c r="AS9" s="55" t="s">
        <v>72</v>
      </c>
    </row>
    <row r="10" customFormat="false" ht="11.25" hidden="false" customHeight="false" outlineLevel="0" collapsed="false">
      <c r="L10" s="68" t="s">
        <v>17</v>
      </c>
      <c r="M10" s="68"/>
      <c r="O10" s="68" t="s">
        <v>73</v>
      </c>
      <c r="P10" s="68"/>
      <c r="R10" s="68" t="s">
        <v>74</v>
      </c>
      <c r="S10" s="68"/>
      <c r="AP10" s="53" t="s">
        <v>75</v>
      </c>
      <c r="AQ10" s="54" t="n">
        <f aca="false">AQ9^2</f>
        <v>1.58162092466245</v>
      </c>
      <c r="AR10" s="54" t="n">
        <f aca="false">AR9^2</f>
        <v>1.05836685906405</v>
      </c>
      <c r="AS10" s="69"/>
    </row>
    <row r="11" customFormat="false" ht="11.25" hidden="false" customHeight="false" outlineLevel="0" collapsed="false">
      <c r="L11" s="70" t="s">
        <v>76</v>
      </c>
      <c r="M11" s="70" t="s">
        <v>77</v>
      </c>
      <c r="O11" s="70" t="s">
        <v>76</v>
      </c>
      <c r="P11" s="70" t="s">
        <v>77</v>
      </c>
      <c r="R11" s="70" t="s">
        <v>76</v>
      </c>
      <c r="S11" s="70" t="s">
        <v>77</v>
      </c>
      <c r="U11" s="71" t="s">
        <v>2</v>
      </c>
      <c r="W11" s="71" t="s">
        <v>78</v>
      </c>
      <c r="X11" s="71"/>
      <c r="AG11" s="71"/>
      <c r="AH11" s="71"/>
      <c r="AI11" s="71"/>
      <c r="AJ11" s="71"/>
      <c r="AK11" s="71" t="s">
        <v>79</v>
      </c>
      <c r="AL11" s="71"/>
      <c r="AM11" s="71" t="s">
        <v>80</v>
      </c>
      <c r="AN11" s="71"/>
      <c r="AP11" s="53" t="s">
        <v>81</v>
      </c>
      <c r="AQ11" s="54" t="e">
        <f aca="false">W13</f>
        <v>#NAME?</v>
      </c>
      <c r="AR11" s="54" t="e">
        <f aca="false">W113</f>
        <v>#NAME?</v>
      </c>
      <c r="AS11" s="55" t="s">
        <v>82</v>
      </c>
      <c r="BI11" s="49" t="s">
        <v>83</v>
      </c>
    </row>
    <row r="12" customFormat="false" ht="11.25" hidden="false" customHeight="false" outlineLevel="0" collapsed="false">
      <c r="D12" s="68" t="s">
        <v>18</v>
      </c>
      <c r="E12" s="48" t="s">
        <v>84</v>
      </c>
      <c r="F12" s="49" t="s">
        <v>85</v>
      </c>
      <c r="G12" s="49" t="s">
        <v>86</v>
      </c>
      <c r="H12" s="49" t="s">
        <v>87</v>
      </c>
      <c r="I12" s="48" t="s">
        <v>88</v>
      </c>
      <c r="J12" s="49" t="s">
        <v>89</v>
      </c>
      <c r="L12" s="70" t="n">
        <v>1</v>
      </c>
      <c r="M12" s="70" t="n">
        <v>0</v>
      </c>
      <c r="O12" s="70" t="n">
        <v>1</v>
      </c>
      <c r="P12" s="70" t="n">
        <v>0</v>
      </c>
      <c r="R12" s="70" t="n">
        <v>1</v>
      </c>
      <c r="S12" s="70" t="n">
        <v>0</v>
      </c>
      <c r="U12" s="72" t="s">
        <v>90</v>
      </c>
      <c r="W12" s="68" t="s">
        <v>90</v>
      </c>
      <c r="X12" s="73"/>
      <c r="Z12" s="74" t="s">
        <v>91</v>
      </c>
      <c r="AA12" s="74"/>
      <c r="AB12" s="74"/>
      <c r="AC12" s="74"/>
      <c r="AD12" s="74"/>
      <c r="AE12" s="75" t="s">
        <v>92</v>
      </c>
      <c r="AF12" s="68"/>
      <c r="AG12" s="68" t="s">
        <v>58</v>
      </c>
      <c r="AH12" s="68" t="s">
        <v>93</v>
      </c>
      <c r="AI12" s="68" t="s">
        <v>94</v>
      </c>
      <c r="AJ12" s="76"/>
      <c r="AK12" s="68" t="s">
        <v>95</v>
      </c>
      <c r="AL12" s="76"/>
      <c r="AM12" s="68" t="s">
        <v>58</v>
      </c>
      <c r="AN12" s="68" t="s">
        <v>95</v>
      </c>
      <c r="AP12" s="53" t="s">
        <v>96</v>
      </c>
      <c r="AQ12" s="54" t="n">
        <f aca="false">NORMSDIST(AQ9)</f>
        <v>0.104263683406416</v>
      </c>
      <c r="AR12" s="54" t="n">
        <f aca="false">NORMSDIST(AR9)</f>
        <v>0.848206018877238</v>
      </c>
      <c r="AS12" s="55" t="s">
        <v>97</v>
      </c>
      <c r="AX12" s="49" t="s">
        <v>98</v>
      </c>
      <c r="AY12" s="49" t="s">
        <v>99</v>
      </c>
      <c r="AZ12" s="49" t="s">
        <v>100</v>
      </c>
      <c r="BB12" s="49" t="s">
        <v>101</v>
      </c>
      <c r="BC12" s="49" t="s">
        <v>102</v>
      </c>
      <c r="BD12" s="49" t="s">
        <v>103</v>
      </c>
      <c r="BF12" s="49" t="s">
        <v>104</v>
      </c>
      <c r="BG12" s="71" t="s">
        <v>78</v>
      </c>
      <c r="BI12" s="49" t="s">
        <v>105</v>
      </c>
    </row>
    <row r="13" customFormat="false" ht="11.25" hidden="false" customHeight="false" outlineLevel="0" collapsed="false">
      <c r="C13" s="77" t="n">
        <v>0</v>
      </c>
      <c r="D13" s="78" t="n">
        <f aca="true">+ROUNDDOWN(MIN(StrikeRange),1)</f>
        <v>3</v>
      </c>
      <c r="E13" s="64" t="n">
        <f aca="false">+D13/UnderlyingPrice-1</f>
        <v>-0.380804953560372</v>
      </c>
      <c r="F13" s="64" t="n">
        <f aca="false">+D13*(1+$P$8)/UnderlyingPrice-1</f>
        <v>-0.380495356037152</v>
      </c>
      <c r="G13" s="64" t="n">
        <f aca="false">+D13*(1-$P$8)/UnderlyingPrice-1</f>
        <v>-0.381114551083591</v>
      </c>
      <c r="H13" s="64" t="n">
        <f aca="true">OFFSET(VolSkewCoef,0,impvol_order-2)+OFFSET(VolSkewCoef,1,impvol_order-2)*F13+OFFSET(VolSkewCoef,2,impvol_order-2)*F13^2+IF(impvol_order&gt;2,OFFSET(VolSkewCoef,3,impvol_order-2)*F13^3,0)+IF(impvol_order&gt;3,OFFSET(VolSkewCoef,4,impvol_order-2)*F13^4,0)+IF(impvol_order&gt;4,OFFSET(VolSkewCoef,5,impvol_order-2)*F13^5,0)</f>
        <v>0.535239704698497</v>
      </c>
      <c r="I13" s="64" t="n">
        <f aca="true">OFFSET(VolSkewCoef,0,impvol_order-2)+OFFSET(VolSkewCoef,1,impvol_order-2)*E13+OFFSET(VolSkewCoef,2,impvol_order-2)*E13^2+IF(impvol_order&gt;2,OFFSET(VolSkewCoef,3,impvol_order-2)*E13^3,0)+IF(impvol_order&gt;3,OFFSET(VolSkewCoef,4,impvol_order-2)*E13^4,0)+IF(impvol_order&gt;4,OFFSET(VolSkewCoef,5,impvol_order-2)*E13^5,0)</f>
        <v>0.535292081269758</v>
      </c>
      <c r="J13" s="64" t="n">
        <f aca="true">OFFSET(VolSkewCoef,0,impvol_order-2)+OFFSET(VolSkewCoef,1,impvol_order-2)*G13+OFFSET(VolSkewCoef,2,impvol_order-2)*G13^2+IF(impvol_order&gt;2,OFFSET(VolSkewCoef,3,impvol_order-2)*G13^3,0)+IF(impvol_order&gt;3,OFFSET(VolSkewCoef,4,impvol_order-2)*G13^4,0)+IF(impvol_order&gt;4,OFFSET(VolSkewCoef,5,impvol_order-2)*G13^5,0)</f>
        <v>0.535344531788353</v>
      </c>
      <c r="L13" s="79" t="e">
        <f aca="false">EURO(UnderlyingPrice,$D13,IntRate,Yield,$I13,$D$6,L$12,0)</f>
        <v>#NAME?</v>
      </c>
      <c r="M13" s="79" t="e">
        <f aca="false">EURO(UnderlyingPrice,$D13,IntRate,Yield,$I13,$D$6,M$12,0)</f>
        <v>#NAME?</v>
      </c>
      <c r="O13" s="79" t="e">
        <f aca="false">EURO(UnderlyingPrice,$D13*(1+$P$8),IntRate,Yield,$H13,Expiry-Today,O$12,0)</f>
        <v>#NAME?</v>
      </c>
      <c r="P13" s="79" t="e">
        <f aca="false">EURO(UnderlyingPrice,$D13*(1+$P$8),IntRate,Yield,$H13,Expiry-Today,P$12,0)</f>
        <v>#NAME?</v>
      </c>
      <c r="R13" s="79" t="e">
        <f aca="false">EURO(UnderlyingPrice,$D13*(1-$P$8),IntRate,Yield,$J13,Expiry-Today,R$12,0)</f>
        <v>#NAME?</v>
      </c>
      <c r="S13" s="79" t="e">
        <f aca="false">EURO(UnderlyingPrice,$D13*(1-$P$8),IntRate,Yield,$J13,Expiry-Today,S$12,0)</f>
        <v>#NAME?</v>
      </c>
      <c r="U13" s="80" t="e">
        <f aca="false">(O13+R13-2*L13)/($P$8*$D13)^2</f>
        <v>#NAME?</v>
      </c>
      <c r="V13" s="80"/>
      <c r="W13" s="81" t="e">
        <f aca="false">U13/$D$9</f>
        <v>#NAME?</v>
      </c>
      <c r="X13" s="78"/>
      <c r="Z13" s="80" t="n">
        <f aca="false">(1/(D13*SQRT(2*PI()*T/365.25*ATMImpVol^2)))</f>
        <v>0.405480441805827</v>
      </c>
      <c r="AA13" s="80" t="n">
        <f aca="false">LN(D13/UnderlyingPrice)+0.5*T/365.25*ATMImpVol^2</f>
        <v>-0.425556565662182</v>
      </c>
      <c r="AB13" s="80" t="n">
        <f aca="false">-(AA13^2)</f>
        <v>-0.181098390578191</v>
      </c>
      <c r="AC13" s="80" t="n">
        <f aca="false">AB13/(2*T/365.25*ATMImpVol^2)</f>
        <v>-0.841873414064703</v>
      </c>
      <c r="AD13" s="82" t="n">
        <f aca="false">EXP(AC13)</f>
        <v>0.430902507972691</v>
      </c>
      <c r="AE13" s="82" t="n">
        <f aca="false">AD13*Z13</f>
        <v>0.174722539308006</v>
      </c>
      <c r="AF13" s="82"/>
      <c r="AG13" s="83" t="n">
        <f aca="false">(LN($D13/UnderlyingPrice)+0.5*ATMImpVol^2*(T/365.25))/(ATMImpVol*SQRT(T/365.25))</f>
        <v>-1.29759270502319</v>
      </c>
      <c r="AH13" s="83" t="n">
        <f aca="false">(LN(($D13*(1+$P$8))/UnderlyingPrice)+0.5*ATMImpVol^2*(T/365.25))/(ATMImpVol*SQRT(T/365.25))</f>
        <v>-1.29606850293161</v>
      </c>
      <c r="AI13" s="83" t="n">
        <f aca="false">(LN($D13*(1-$P$8)/UnderlyingPrice)+0.5*ATMImpVol^2*(T/365.25))/(ATMImpVol*SQRT(T/365.25))</f>
        <v>-1.29911766940643</v>
      </c>
      <c r="AJ13" s="83"/>
      <c r="AK13" s="83" t="e">
        <f aca="false">W13/(AH13-AI13)*(D13*2*$P$8)</f>
        <v>#NAME?</v>
      </c>
      <c r="AL13" s="83"/>
      <c r="AM13" s="84" t="n">
        <v>-3.1</v>
      </c>
      <c r="AN13" s="85" t="n">
        <f aca="false">NORMDIST(AM13,0,1,FALSE())</f>
        <v>0.00326681905619992</v>
      </c>
      <c r="AP13" s="86" t="s">
        <v>106</v>
      </c>
      <c r="AQ13" s="54" t="e">
        <f aca="false">AQ11*AQ5*AQ4*AQ8*EXP(AQ10/2)</f>
        <v>#NAME?</v>
      </c>
      <c r="AR13" s="54" t="e">
        <f aca="false">AR11*AR5*AR4*AR8*EXP(AR10/2)</f>
        <v>#NAME?</v>
      </c>
      <c r="AS13" s="55" t="s">
        <v>107</v>
      </c>
      <c r="AX13" s="87" t="n">
        <f aca="true">OFFSET(ENAVolCoef,0,impvol_order-2)+OFFSET(ENAVolCoef,1,impvol_order-2)*E13+OFFSET(ENAVolCoef,2,impvol_order-2)*E13^2+IF(impvol_order&gt;2,OFFSET(ENAVolCoef,3,impvol_order-2)*E13^3,0)+IF(impvol_order&gt;3,OFFSET(ENAVolCoef,4,impvol_order-2)*E13^4,0)+IF(impvol_order&gt;4,OFFSET(ENAVolCoef,5,impvol_order-2)*E13^5,0)</f>
        <v>0.505901959223215</v>
      </c>
      <c r="AY13" s="87" t="n">
        <f aca="true">OFFSET(ENAVolCoef,0,impvol_order-2)+OFFSET(ENAVolCoef,1,impvol_order-2)*F13+OFFSET(ENAVolCoef,2,impvol_order-2)*F13^2+IF(impvol_order&gt;2,OFFSET(ENAVolCoef,3,impvol_order-2)*F13^3,0)+IF(impvol_order&gt;3,OFFSET(ENAVolCoef,4,impvol_order-2)*F13^4,0)+IF(impvol_order&gt;4,OFFSET(ENAVolCoef,5,impvol_order-2)*F13^5,0)</f>
        <v>0.505862353591043</v>
      </c>
      <c r="AZ13" s="87" t="n">
        <f aca="true">OFFSET(ENAVolCoef,0,impvol_order-2)+OFFSET(ENAVolCoef,1,impvol_order-2)*G13+OFFSET(ENAVolCoef,2,impvol_order-2)*G13^2+IF(impvol_order&gt;2,OFFSET(ENAVolCoef,3,impvol_order-2)*G13^3,0)+IF(impvol_order&gt;3,OFFSET(ENAVolCoef,4,impvol_order-2)*G13^4,0)+IF(impvol_order&gt;4,OFFSET(ENAVolCoef,5,impvol_order-2)*G13^5,0)</f>
        <v>0.505941617944894</v>
      </c>
      <c r="BB13" s="48" t="e">
        <f aca="false">EURO(UnderlyingPrice,$D13,IntRate,Yield,AX13,$D$6,1,0)</f>
        <v>#NAME?</v>
      </c>
      <c r="BC13" s="48" t="e">
        <f aca="false">EURO(UnderlyingPrice,$D13*(1+$P$8),IntRate,Yield,AY13,$D$6,1,0)</f>
        <v>#NAME?</v>
      </c>
      <c r="BD13" s="48" t="e">
        <f aca="false">EURO(UnderlyingPrice,$D13*(1-$P$8),IntRate,Yield,AZ13,$D$6,1,0)</f>
        <v>#NAME?</v>
      </c>
      <c r="BF13" s="80" t="e">
        <f aca="false">(BC13+BD13-2*BB13)/($P$8*$D13)^2</f>
        <v>#NAME?</v>
      </c>
      <c r="BG13" s="48" t="e">
        <f aca="false">+BF13/$D$9</f>
        <v>#NAME?</v>
      </c>
      <c r="BI13" s="79" t="e">
        <f aca="false">+BB13-L13</f>
        <v>#NAME?</v>
      </c>
      <c r="BJ13" s="65" t="e">
        <f aca="false">+BI13/BB13</f>
        <v>#NAME?</v>
      </c>
    </row>
    <row r="14" customFormat="false" ht="11.25" hidden="false" customHeight="false" outlineLevel="0" collapsed="false">
      <c r="C14" s="77" t="n">
        <v>1</v>
      </c>
      <c r="D14" s="78" t="n">
        <f aca="true">D13+(ROUNDUP(MAX(StrikeRange),1)-ROUNDDOWN(MIN(StrikeRange),1))/100</f>
        <v>3.035</v>
      </c>
      <c r="E14" s="64" t="n">
        <f aca="false">+D14/UnderlyingPrice-1</f>
        <v>-0.373581011351909</v>
      </c>
      <c r="F14" s="64" t="n">
        <f aca="false">+D14*(1+$P$8)/UnderlyingPrice-1</f>
        <v>-0.373267801857585</v>
      </c>
      <c r="G14" s="64" t="n">
        <f aca="false">+D14*(1-$P$8)/UnderlyingPrice-1</f>
        <v>-0.373894220846233</v>
      </c>
      <c r="H14" s="64" t="n">
        <f aca="true">OFFSET(VolSkewCoef,0,impvol_order-2)+OFFSET(VolSkewCoef,1,impvol_order-2)*F14+OFFSET(VolSkewCoef,2,impvol_order-2)*F14^2+IF(impvol_order&gt;2,OFFSET(VolSkewCoef,3,impvol_order-2)*F14^3,0)+IF(impvol_order&gt;3,OFFSET(VolSkewCoef,4,impvol_order-2)*F14^4,0)+IF(impvol_order&gt;4,OFFSET(VolSkewCoef,5,impvol_order-2)*F14^5,0)</f>
        <v>0.534037914962489</v>
      </c>
      <c r="I14" s="64" t="n">
        <f aca="true">OFFSET(VolSkewCoef,0,impvol_order-2)+OFFSET(VolSkewCoef,1,impvol_order-2)*E14+OFFSET(VolSkewCoef,2,impvol_order-2)*E14^2+IF(impvol_order&gt;2,OFFSET(VolSkewCoef,3,impvol_order-2)*E14^3,0)+IF(impvol_order&gt;3,OFFSET(VolSkewCoef,4,impvol_order-2)*E14^4,0)+IF(impvol_order&gt;4,OFFSET(VolSkewCoef,5,impvol_order-2)*E14^5,0)</f>
        <v>0.534089165215808</v>
      </c>
      <c r="J14" s="64" t="n">
        <f aca="true">OFFSET(VolSkewCoef,0,impvol_order-2)+OFFSET(VolSkewCoef,1,impvol_order-2)*G14+OFFSET(VolSkewCoef,2,impvol_order-2)*G14^2+IF(impvol_order&gt;2,OFFSET(VolSkewCoef,3,impvol_order-2)*G14^3,0)+IF(impvol_order&gt;3,OFFSET(VolSkewCoef,4,impvol_order-2)*G14^4,0)+IF(impvol_order&gt;4,OFFSET(VolSkewCoef,5,impvol_order-2)*G14^5,0)</f>
        <v>0.53414049043503</v>
      </c>
      <c r="K14" s="79"/>
      <c r="L14" s="79" t="e">
        <f aca="false">EURO(UnderlyingPrice,$D14,IntRate,Yield,$I14,$D$6,L$12,0)</f>
        <v>#NAME?</v>
      </c>
      <c r="M14" s="79" t="e">
        <f aca="false">EURO(UnderlyingPrice,$D14,IntRate,Yield,$I14,$D$6,M$12,0)</f>
        <v>#NAME?</v>
      </c>
      <c r="O14" s="79" t="e">
        <f aca="false">EURO(UnderlyingPrice,$D14*(1+$P$8),IntRate,Yield,$H14,Expiry-Today,O$12,0)</f>
        <v>#NAME?</v>
      </c>
      <c r="P14" s="79" t="e">
        <f aca="false">EURO(UnderlyingPrice,$D14*(1+$P$8),IntRate,Yield,$H14,Expiry-Today,P$12,0)</f>
        <v>#NAME?</v>
      </c>
      <c r="R14" s="79" t="e">
        <f aca="false">EURO(UnderlyingPrice,$D14*(1-$P$8),IntRate,Yield,$J14,Expiry-Today,R$12,0)</f>
        <v>#NAME?</v>
      </c>
      <c r="S14" s="79" t="e">
        <f aca="false">EURO(UnderlyingPrice,$D14*(1-$P$8),IntRate,Yield,$J14,Expiry-Today,S$12,0)</f>
        <v>#NAME?</v>
      </c>
      <c r="U14" s="80" t="e">
        <f aca="false">(O14+R14-2*L14)/($P$8*D14)^2</f>
        <v>#NAME?</v>
      </c>
      <c r="V14" s="80"/>
      <c r="W14" s="81" t="e">
        <f aca="false">U14/$D$9</f>
        <v>#NAME?</v>
      </c>
      <c r="X14" s="78"/>
      <c r="Z14" s="80" t="n">
        <f aca="false">(1/(D14*SQRT(2*PI()*T/365.25*ATMImpVol^2)))</f>
        <v>0.400804390582366</v>
      </c>
      <c r="AA14" s="80" t="n">
        <f aca="false">LN(D14/UnderlyingPrice)+0.5*T/365.25*ATMImpVol^2</f>
        <v>-0.41395742981883</v>
      </c>
      <c r="AB14" s="80" t="n">
        <f aca="false">-(AA14^2)</f>
        <v>-0.171360753702211</v>
      </c>
      <c r="AC14" s="80" t="n">
        <f aca="false">AB14/(2*T/365.25*ATMImpVol^2)</f>
        <v>-0.796605990232112</v>
      </c>
      <c r="AD14" s="82" t="n">
        <f aca="false">EXP(AC14)</f>
        <v>0.450856581918877</v>
      </c>
      <c r="AE14" s="82" t="n">
        <f aca="false">AD14*Z14</f>
        <v>0.180705297556044</v>
      </c>
      <c r="AF14" s="82"/>
      <c r="AG14" s="83" t="n">
        <f aca="false">(LN($D14/UnderlyingPrice)+0.5*ATMImpVol^2*(T/365.25))/(ATMImpVol*SQRT(T/365.25))</f>
        <v>-1.26222501182009</v>
      </c>
      <c r="AH14" s="83" t="n">
        <f aca="false">(LN(($D14*(1+$P$8))/UnderlyingPrice)+0.5*ATMImpVol^2*(T/365.25))/(ATMImpVol*SQRT(T/365.25))</f>
        <v>-1.26070080972851</v>
      </c>
      <c r="AI14" s="83" t="n">
        <f aca="false">(LN($D14*(1-$P$8)/UnderlyingPrice)+0.5*ATMImpVol^2*(T/365.25))/(ATMImpVol*SQRT(T/365.25))</f>
        <v>-1.26374997620332</v>
      </c>
      <c r="AJ14" s="83"/>
      <c r="AK14" s="83" t="e">
        <f aca="false">W14/(AH14-AI14)*(D14*2*$P$8)</f>
        <v>#NAME?</v>
      </c>
      <c r="AL14" s="83"/>
      <c r="AM14" s="84" t="n">
        <v>-3</v>
      </c>
      <c r="AN14" s="85" t="n">
        <f aca="false">NORMDIST(AM14,0,1,FALSE())</f>
        <v>0.00443184841193801</v>
      </c>
      <c r="AP14" s="53" t="s">
        <v>108</v>
      </c>
      <c r="AQ14" s="88" t="n">
        <v>1.01281081092565</v>
      </c>
      <c r="AR14" s="89"/>
      <c r="AS14" s="55" t="s">
        <v>109</v>
      </c>
      <c r="AX14" s="87" t="n">
        <f aca="true">OFFSET(ENAVolCoef,0,impvol_order-2)+OFFSET(ENAVolCoef,1,impvol_order-2)*E14+OFFSET(ENAVolCoef,2,impvol_order-2)*E14^2+IF(impvol_order&gt;2,OFFSET(ENAVolCoef,3,impvol_order-2)*E14^3,0)+IF(impvol_order&gt;3,OFFSET(ENAVolCoef,4,impvol_order-2)*E14^4,0)+IF(impvol_order&gt;4,OFFSET(ENAVolCoef,5,impvol_order-2)*E14^5,0)</f>
        <v>0.504991621840323</v>
      </c>
      <c r="AY14" s="87" t="n">
        <f aca="true">OFFSET(ENAVolCoef,0,impvol_order-2)+OFFSET(ENAVolCoef,1,impvol_order-2)*F14+OFFSET(ENAVolCoef,2,impvol_order-2)*F14^2+IF(impvol_order&gt;2,OFFSET(ENAVolCoef,3,impvol_order-2)*F14^3,0)+IF(impvol_order&gt;3,OFFSET(ENAVolCoef,4,impvol_order-2)*F14^4,0)+IF(impvol_order&gt;4,OFFSET(ENAVolCoef,5,impvol_order-2)*F14^5,0)</f>
        <v>0.504952802397006</v>
      </c>
      <c r="AZ14" s="87" t="n">
        <f aca="true">OFFSET(ENAVolCoef,0,impvol_order-2)+OFFSET(ENAVolCoef,1,impvol_order-2)*G14+OFFSET(ENAVolCoef,2,impvol_order-2)*G14^2+IF(impvol_order&gt;2,OFFSET(ENAVolCoef,3,impvol_order-2)*G14^3,0)+IF(impvol_order&gt;3,OFFSET(ENAVolCoef,4,impvol_order-2)*G14^4,0)+IF(impvol_order&gt;4,OFFSET(ENAVolCoef,5,impvol_order-2)*G14^5,0)</f>
        <v>0.505030495181468</v>
      </c>
      <c r="BB14" s="48" t="e">
        <f aca="false">EURO(UnderlyingPrice,$D14,IntRate,Yield,AX14,$D$6,1,0)</f>
        <v>#NAME?</v>
      </c>
      <c r="BC14" s="48" t="e">
        <f aca="false">EURO(UnderlyingPrice,$D14*(1+$P$8),IntRate,Yield,AY14,$D$6,1,0)</f>
        <v>#NAME?</v>
      </c>
      <c r="BD14" s="48" t="e">
        <f aca="false">EURO(UnderlyingPrice,$D14*(1-$P$8),IntRate,Yield,AZ14,$D$6,1,0)</f>
        <v>#NAME?</v>
      </c>
      <c r="BF14" s="80" t="e">
        <f aca="false">(BC14+BD14-2*BB14)/($P$8*$D14)^2</f>
        <v>#NAME?</v>
      </c>
      <c r="BG14" s="48" t="e">
        <f aca="false">+BF14/$D$9</f>
        <v>#NAME?</v>
      </c>
      <c r="BI14" s="79" t="e">
        <f aca="false">+BB14-L14</f>
        <v>#NAME?</v>
      </c>
      <c r="BJ14" s="65" t="e">
        <f aca="false">+BI14/BB14</f>
        <v>#NAME?</v>
      </c>
    </row>
    <row r="15" customFormat="false" ht="11.25" hidden="false" customHeight="false" outlineLevel="0" collapsed="false">
      <c r="C15" s="77" t="n">
        <v>2</v>
      </c>
      <c r="D15" s="78" t="n">
        <f aca="true">D14+(ROUNDUP(MAX(StrikeRange),1)-ROUNDDOWN(MIN(StrikeRange),1))/100</f>
        <v>3.07</v>
      </c>
      <c r="E15" s="64" t="n">
        <f aca="false">+D15/UnderlyingPrice-1</f>
        <v>-0.366357069143447</v>
      </c>
      <c r="F15" s="64" t="n">
        <f aca="false">+D15*(1+$P$8)/UnderlyingPrice-1</f>
        <v>-0.366040247678019</v>
      </c>
      <c r="G15" s="64" t="n">
        <f aca="false">+D15*(1-$P$8)/UnderlyingPrice-1</f>
        <v>-0.366673890608875</v>
      </c>
      <c r="H15" s="64" t="n">
        <f aca="true">OFFSET(VolSkewCoef,0,impvol_order-2)+OFFSET(VolSkewCoef,1,impvol_order-2)*F15+OFFSET(VolSkewCoef,2,impvol_order-2)*F15^2+IF(impvol_order&gt;2,OFFSET(VolSkewCoef,3,impvol_order-2)*F15^3,0)+IF(impvol_order&gt;3,OFFSET(VolSkewCoef,4,impvol_order-2)*F15^4,0)+IF(impvol_order&gt;4,OFFSET(VolSkewCoef,5,impvol_order-2)*F15^5,0)</f>
        <v>0.532876027398797</v>
      </c>
      <c r="I15" s="64" t="n">
        <f aca="true">OFFSET(VolSkewCoef,0,impvol_order-2)+OFFSET(VolSkewCoef,1,impvol_order-2)*E15+OFFSET(VolSkewCoef,2,impvol_order-2)*E15^2+IF(impvol_order&gt;2,OFFSET(VolSkewCoef,3,impvol_order-2)*E15^3,0)+IF(impvol_order&gt;3,OFFSET(VolSkewCoef,4,impvol_order-2)*E15^4,0)+IF(impvol_order&gt;4,OFFSET(VolSkewCoef,5,impvol_order-2)*E15^5,0)</f>
        <v>0.532926127997434</v>
      </c>
      <c r="J15" s="64" t="n">
        <f aca="true">OFFSET(VolSkewCoef,0,impvol_order-2)+OFFSET(VolSkewCoef,1,impvol_order-2)*G15+OFFSET(VolSkewCoef,2,impvol_order-2)*G15^2+IF(impvol_order&gt;2,OFFSET(VolSkewCoef,3,impvol_order-2)*G15^3,0)+IF(impvol_order&gt;3,OFFSET(VolSkewCoef,4,impvol_order-2)*G15^4,0)+IF(impvol_order&gt;4,OFFSET(VolSkewCoef,5,impvol_order-2)*G15^5,0)</f>
        <v>0.532976304567412</v>
      </c>
      <c r="K15" s="79"/>
      <c r="L15" s="79" t="e">
        <f aca="false">EURO(UnderlyingPrice,$D15,IntRate,Yield,$I15,$D$6,L$12,0)</f>
        <v>#NAME?</v>
      </c>
      <c r="M15" s="79" t="e">
        <f aca="false">EURO(UnderlyingPrice,$D15,IntRate,Yield,$I15,$D$6,M$12,0)</f>
        <v>#NAME?</v>
      </c>
      <c r="O15" s="79" t="e">
        <f aca="false">EURO(UnderlyingPrice,$D15*(1+$P$8),IntRate,Yield,$H15,Expiry-Today,O$12,0)</f>
        <v>#NAME?</v>
      </c>
      <c r="P15" s="79" t="e">
        <f aca="false">EURO(UnderlyingPrice,$D15*(1+$P$8),IntRate,Yield,$H15,Expiry-Today,P$12,0)</f>
        <v>#NAME?</v>
      </c>
      <c r="R15" s="79" t="e">
        <f aca="false">EURO(UnderlyingPrice,$D15*(1-$P$8),IntRate,Yield,$J15,Expiry-Today,R$12,0)</f>
        <v>#NAME?</v>
      </c>
      <c r="S15" s="79" t="e">
        <f aca="false">EURO(UnderlyingPrice,$D15*(1-$P$8),IntRate,Yield,$J15,Expiry-Today,S$12,0)</f>
        <v>#NAME?</v>
      </c>
      <c r="U15" s="80" t="e">
        <f aca="false">(O15+R15-2*L15)/($P$8*D15)^2</f>
        <v>#NAME?</v>
      </c>
      <c r="V15" s="80"/>
      <c r="W15" s="81" t="e">
        <f aca="false">U15/$D$9</f>
        <v>#NAME?</v>
      </c>
      <c r="X15" s="78"/>
      <c r="Z15" s="80" t="n">
        <f aca="false">(1/(D15*SQRT(2*PI()*T/365.25*ATMImpVol^2)))</f>
        <v>0.396234959419375</v>
      </c>
      <c r="AA15" s="80" t="n">
        <f aca="false">LN(D15/UnderlyingPrice)+0.5*T/365.25*ATMImpVol^2</f>
        <v>-0.402491292731186</v>
      </c>
      <c r="AB15" s="80" t="n">
        <f aca="false">-(AA15^2)</f>
        <v>-0.161999240724421</v>
      </c>
      <c r="AC15" s="80" t="n">
        <f aca="false">AB15/(2*T/365.25*ATMImpVol^2)</f>
        <v>-0.753087056318557</v>
      </c>
      <c r="AD15" s="82" t="n">
        <f aca="false">EXP(AC15)</f>
        <v>0.470910579082318</v>
      </c>
      <c r="AE15" s="82" t="n">
        <f aca="false">AD15*Z15</f>
        <v>0.186591234192837</v>
      </c>
      <c r="AF15" s="82"/>
      <c r="AG15" s="83" t="n">
        <f aca="false">(LN($D15/UnderlyingPrice)+0.5*ATMImpVol^2*(T/365.25))/(ATMImpVol*SQRT(T/365.25))</f>
        <v>-1.22726285393029</v>
      </c>
      <c r="AH15" s="83" t="n">
        <f aca="false">(LN(($D15*(1+$P$8))/UnderlyingPrice)+0.5*ATMImpVol^2*(T/365.25))/(ATMImpVol*SQRT(T/365.25))</f>
        <v>-1.2257386518387</v>
      </c>
      <c r="AI15" s="83" t="n">
        <f aca="false">(LN($D15*(1-$P$8)/UnderlyingPrice)+0.5*ATMImpVol^2*(T/365.25))/(ATMImpVol*SQRT(T/365.25))</f>
        <v>-1.22878781831352</v>
      </c>
      <c r="AJ15" s="83"/>
      <c r="AK15" s="83" t="e">
        <f aca="false">W15/(AH15-AI15)*(D15*2*$P$8)</f>
        <v>#NAME?</v>
      </c>
      <c r="AL15" s="83"/>
      <c r="AM15" s="84" t="n">
        <v>-2.9</v>
      </c>
      <c r="AN15" s="85" t="n">
        <f aca="false">NORMDIST(AM15,0,1,FALSE())</f>
        <v>0.00595253241977585</v>
      </c>
      <c r="AP15" s="53" t="s">
        <v>110</v>
      </c>
      <c r="AQ15" s="54" t="e">
        <f aca="true">(SUM(W13:W113)-(W13+W113)/2)*(ROUNDUP(MAX(StrikeRange),1)-ROUNDDOWN(MIN(StrikeRange),1))/100</f>
        <v>#NAME?</v>
      </c>
      <c r="AR15" s="89"/>
      <c r="AS15" s="55" t="s">
        <v>111</v>
      </c>
      <c r="AX15" s="87" t="n">
        <f aca="true">OFFSET(ENAVolCoef,0,impvol_order-2)+OFFSET(ENAVolCoef,1,impvol_order-2)*E15+OFFSET(ENAVolCoef,2,impvol_order-2)*E15^2+IF(impvol_order&gt;2,OFFSET(ENAVolCoef,3,impvol_order-2)*E15^3,0)+IF(impvol_order&gt;3,OFFSET(ENAVolCoef,4,impvol_order-2)*E15^4,0)+IF(impvol_order&gt;4,OFFSET(ENAVolCoef,5,impvol_order-2)*E15^5,0)</f>
        <v>0.50410995592716</v>
      </c>
      <c r="AY15" s="87" t="n">
        <f aca="true">OFFSET(ENAVolCoef,0,impvol_order-2)+OFFSET(ENAVolCoef,1,impvol_order-2)*F15+OFFSET(ENAVolCoef,2,impvol_order-2)*F15^2+IF(impvol_order&gt;2,OFFSET(ENAVolCoef,3,impvol_order-2)*F15^3,0)+IF(impvol_order&gt;3,OFFSET(ENAVolCoef,4,impvol_order-2)*F15^4,0)+IF(impvol_order&gt;4,OFFSET(ENAVolCoef,5,impvol_order-2)*F15^5,0)</f>
        <v>0.504071941246928</v>
      </c>
      <c r="AZ15" s="87" t="n">
        <f aca="true">OFFSET(ENAVolCoef,0,impvol_order-2)+OFFSET(ENAVolCoef,1,impvol_order-2)*G15+OFFSET(ENAVolCoef,2,impvol_order-2)*G15^2+IF(impvol_order&gt;2,OFFSET(ENAVolCoef,3,impvol_order-2)*G15^3,0)+IF(impvol_order&gt;3,OFFSET(ENAVolCoef,4,impvol_order-2)*G15^4,0)+IF(impvol_order&gt;4,OFFSET(ENAVolCoef,5,impvol_order-2)*G15^5,0)</f>
        <v>0.504148025307688</v>
      </c>
      <c r="BB15" s="48" t="e">
        <f aca="false">EURO(UnderlyingPrice,$D15,IntRate,Yield,AX15,$D$6,1,0)</f>
        <v>#NAME?</v>
      </c>
      <c r="BC15" s="48" t="e">
        <f aca="false">EURO(UnderlyingPrice,$D15*(1+$P$8),IntRate,Yield,AY15,$D$6,1,0)</f>
        <v>#NAME?</v>
      </c>
      <c r="BD15" s="48" t="e">
        <f aca="false">EURO(UnderlyingPrice,$D15*(1-$P$8),IntRate,Yield,AZ15,$D$6,1,0)</f>
        <v>#NAME?</v>
      </c>
      <c r="BF15" s="80" t="e">
        <f aca="false">(BC15+BD15-2*BB15)/($P$8*$D15)^2</f>
        <v>#NAME?</v>
      </c>
      <c r="BG15" s="48" t="e">
        <f aca="false">+BF15/$D$9</f>
        <v>#NAME?</v>
      </c>
      <c r="BI15" s="79" t="e">
        <f aca="false">+BB15-L15</f>
        <v>#NAME?</v>
      </c>
      <c r="BJ15" s="65" t="e">
        <f aca="false">+BI15/BB15</f>
        <v>#NAME?</v>
      </c>
    </row>
    <row r="16" customFormat="false" ht="11.25" hidden="false" customHeight="false" outlineLevel="0" collapsed="false">
      <c r="C16" s="77" t="n">
        <v>3</v>
      </c>
      <c r="D16" s="78" t="n">
        <f aca="true">D15+(ROUNDUP(MAX(StrikeRange),1)-ROUNDDOWN(MIN(StrikeRange),1))/100</f>
        <v>3.105</v>
      </c>
      <c r="E16" s="64" t="n">
        <f aca="false">+D16/UnderlyingPrice-1</f>
        <v>-0.359133126934984</v>
      </c>
      <c r="F16" s="64" t="n">
        <f aca="false">+D16*(1+$P$8)/UnderlyingPrice-1</f>
        <v>-0.358812693498452</v>
      </c>
      <c r="G16" s="64" t="n">
        <f aca="false">+D16*(1-$P$8)/UnderlyingPrice-1</f>
        <v>-0.359453560371517</v>
      </c>
      <c r="H16" s="64" t="n">
        <f aca="true">OFFSET(VolSkewCoef,0,impvol_order-2)+OFFSET(VolSkewCoef,1,impvol_order-2)*F16+OFFSET(VolSkewCoef,2,impvol_order-2)*F16^2+IF(impvol_order&gt;2,OFFSET(VolSkewCoef,3,impvol_order-2)*F16^3,0)+IF(impvol_order&gt;3,OFFSET(VolSkewCoef,4,impvol_order-2)*F16^4,0)+IF(impvol_order&gt;4,OFFSET(VolSkewCoef,5,impvol_order-2)*F16^5,0)</f>
        <v>0.531753660055546</v>
      </c>
      <c r="I16" s="64" t="n">
        <f aca="true">OFFSET(VolSkewCoef,0,impvol_order-2)+OFFSET(VolSkewCoef,1,impvol_order-2)*E16+OFFSET(VolSkewCoef,2,impvol_order-2)*E16^2+IF(impvol_order&gt;2,OFFSET(VolSkewCoef,3,impvol_order-2)*E16^3,0)+IF(impvol_order&gt;3,OFFSET(VolSkewCoef,4,impvol_order-2)*E16^4,0)+IF(impvol_order&gt;4,OFFSET(VolSkewCoef,5,impvol_order-2)*E16^5,0)</f>
        <v>0.531802588235116</v>
      </c>
      <c r="J16" s="64" t="n">
        <f aca="true">OFFSET(VolSkewCoef,0,impvol_order-2)+OFFSET(VolSkewCoef,1,impvol_order-2)*G16+OFFSET(VolSkewCoef,2,impvol_order-2)*G16^2+IF(impvol_order&gt;2,OFFSET(VolSkewCoef,3,impvol_order-2)*G16^3,0)+IF(impvol_order&gt;3,OFFSET(VolSkewCoef,4,impvol_order-2)*G16^4,0)+IF(impvol_order&gt;4,OFFSET(VolSkewCoef,5,impvol_order-2)*G16^5,0)</f>
        <v>0.531851593377762</v>
      </c>
      <c r="L16" s="79" t="e">
        <f aca="false">EURO(UnderlyingPrice,$D16,IntRate,Yield,$I16,$D$6,L$12,0)</f>
        <v>#NAME?</v>
      </c>
      <c r="M16" s="79" t="e">
        <f aca="false">EURO(UnderlyingPrice,$D16,IntRate,Yield,$I16,$D$6,M$12,0)</f>
        <v>#NAME?</v>
      </c>
      <c r="O16" s="79" t="e">
        <f aca="false">EURO(UnderlyingPrice,$D16*(1+$P$8),IntRate,Yield,$H16,Expiry-Today,O$12,0)</f>
        <v>#NAME?</v>
      </c>
      <c r="P16" s="79" t="e">
        <f aca="false">EURO(UnderlyingPrice,$D16*(1+$P$8),IntRate,Yield,$H16,Expiry-Today,P$12,0)</f>
        <v>#NAME?</v>
      </c>
      <c r="R16" s="79" t="e">
        <f aca="false">EURO(UnderlyingPrice,$D16*(1-$P$8),IntRate,Yield,$J16,Expiry-Today,R$12,0)</f>
        <v>#NAME?</v>
      </c>
      <c r="S16" s="79" t="e">
        <f aca="false">EURO(UnderlyingPrice,$D16*(1-$P$8),IntRate,Yield,$J16,Expiry-Today,S$12,0)</f>
        <v>#NAME?</v>
      </c>
      <c r="U16" s="80" t="e">
        <f aca="false">(O16+R16-2*L16)/($P$8*D16)^2</f>
        <v>#NAME?</v>
      </c>
      <c r="V16" s="80"/>
      <c r="W16" s="81" t="e">
        <f aca="false">U16/$D$9</f>
        <v>#NAME?</v>
      </c>
      <c r="X16" s="78"/>
      <c r="Z16" s="80" t="n">
        <f aca="false">(1/(D16*SQRT(2*PI()*T/365.25*ATMImpVol^2)))</f>
        <v>0.391768542807562</v>
      </c>
      <c r="AA16" s="80" t="n">
        <f aca="false">LN(D16/UnderlyingPrice)+0.5*T/365.25*ATMImpVol^2</f>
        <v>-0.391155138944849</v>
      </c>
      <c r="AB16" s="80" t="n">
        <f aca="false">-(AA16^2)</f>
        <v>-0.153002342722964</v>
      </c>
      <c r="AC16" s="80" t="n">
        <f aca="false">AB16/(2*T/365.25*ATMImpVol^2)</f>
        <v>-0.711263110714756</v>
      </c>
      <c r="AD16" s="82" t="n">
        <f aca="false">EXP(AC16)</f>
        <v>0.49102358843877</v>
      </c>
      <c r="AE16" s="82" t="n">
        <f aca="false">AD16*Z16</f>
        <v>0.192367595726797</v>
      </c>
      <c r="AF16" s="82"/>
      <c r="AG16" s="83" t="n">
        <f aca="false">(LN($D16/UnderlyingPrice)+0.5*ATMImpVol^2*(T/365.25))/(ATMImpVol*SQRT(T/365.25))</f>
        <v>-1.19269703673209</v>
      </c>
      <c r="AH16" s="83" t="n">
        <f aca="false">(LN(($D16*(1+$P$8))/UnderlyingPrice)+0.5*ATMImpVol^2*(T/365.25))/(ATMImpVol*SQRT(T/365.25))</f>
        <v>-1.19117283464051</v>
      </c>
      <c r="AI16" s="83" t="n">
        <f aca="false">(LN($D16*(1-$P$8)/UnderlyingPrice)+0.5*ATMImpVol^2*(T/365.25))/(ATMImpVol*SQRT(T/365.25))</f>
        <v>-1.19422200111533</v>
      </c>
      <c r="AJ16" s="83"/>
      <c r="AK16" s="83" t="e">
        <f aca="false">W16/(AH16-AI16)*(D16*2*$P$8)</f>
        <v>#NAME?</v>
      </c>
      <c r="AL16" s="83"/>
      <c r="AM16" s="84" t="n">
        <v>-2.8</v>
      </c>
      <c r="AN16" s="85" t="n">
        <f aca="false">NORMDIST(AM16,0,1,FALSE())</f>
        <v>0.00791545158297997</v>
      </c>
      <c r="AP16" s="53" t="s">
        <v>112</v>
      </c>
      <c r="AQ16" s="54" t="e">
        <f aca="false">1-AQ15</f>
        <v>#NAME?</v>
      </c>
      <c r="AR16" s="54"/>
      <c r="AS16" s="69"/>
      <c r="AV16" s="90"/>
      <c r="AX16" s="87" t="n">
        <f aca="true">OFFSET(ENAVolCoef,0,impvol_order-2)+OFFSET(ENAVolCoef,1,impvol_order-2)*E16+OFFSET(ENAVolCoef,2,impvol_order-2)*E16^2+IF(impvol_order&gt;2,OFFSET(ENAVolCoef,3,impvol_order-2)*E16^3,0)+IF(impvol_order&gt;3,OFFSET(ENAVolCoef,4,impvol_order-2)*E16^4,0)+IF(impvol_order&gt;4,OFFSET(ENAVolCoef,5,impvol_order-2)*E16^5,0)</f>
        <v>0.503256728666017</v>
      </c>
      <c r="AY16" s="87" t="n">
        <f aca="true">OFFSET(ENAVolCoef,0,impvol_order-2)+OFFSET(ENAVolCoef,1,impvol_order-2)*F16+OFFSET(ENAVolCoef,2,impvol_order-2)*F16^2+IF(impvol_order&gt;2,OFFSET(ENAVolCoef,3,impvol_order-2)*F16^3,0)+IF(impvol_order&gt;3,OFFSET(ENAVolCoef,4,impvol_order-2)*F16^4,0)+IF(impvol_order&gt;4,OFFSET(ENAVolCoef,5,impvol_order-2)*F16^5,0)</f>
        <v>0.503219536973699</v>
      </c>
      <c r="AZ16" s="87" t="n">
        <f aca="true">OFFSET(ENAVolCoef,0,impvol_order-2)+OFFSET(ENAVolCoef,1,impvol_order-2)*G16+OFFSET(ENAVolCoef,2,impvol_order-2)*G16^2+IF(impvol_order&gt;2,OFFSET(ENAVolCoef,3,impvol_order-2)*G16^3,0)+IF(impvol_order&gt;3,OFFSET(ENAVolCoef,4,impvol_order-2)*G16^4,0)+IF(impvol_order&gt;4,OFFSET(ENAVolCoef,5,impvol_order-2)*G16^5,0)</f>
        <v>0.503293975854898</v>
      </c>
      <c r="BA16" s="91"/>
      <c r="BB16" s="48" t="e">
        <f aca="false">EURO(UnderlyingPrice,$D16,IntRate,Yield,AX16,$D$6,1,0)</f>
        <v>#NAME?</v>
      </c>
      <c r="BC16" s="48" t="e">
        <f aca="false">EURO(UnderlyingPrice,$D16*(1+$P$8),IntRate,Yield,AY16,$D$6,1,0)</f>
        <v>#NAME?</v>
      </c>
      <c r="BD16" s="48" t="e">
        <f aca="false">EURO(UnderlyingPrice,$D16*(1-$P$8),IntRate,Yield,AZ16,$D$6,1,0)</f>
        <v>#NAME?</v>
      </c>
      <c r="BF16" s="80" t="e">
        <f aca="false">(BC16+BD16-2*BB16)/($P$8*$D16)^2</f>
        <v>#NAME?</v>
      </c>
      <c r="BG16" s="48" t="e">
        <f aca="false">+BF16/$D$9</f>
        <v>#NAME?</v>
      </c>
      <c r="BI16" s="79" t="e">
        <f aca="false">+BB16-L16</f>
        <v>#NAME?</v>
      </c>
      <c r="BJ16" s="65" t="e">
        <f aca="false">+BI16/BB16</f>
        <v>#NAME?</v>
      </c>
    </row>
    <row r="17" customFormat="false" ht="11.25" hidden="false" customHeight="false" outlineLevel="0" collapsed="false">
      <c r="C17" s="77" t="n">
        <v>4</v>
      </c>
      <c r="D17" s="78" t="n">
        <f aca="true">D16+(ROUNDUP(MAX(StrikeRange),1)-ROUNDDOWN(MIN(StrikeRange),1))/100</f>
        <v>3.14</v>
      </c>
      <c r="E17" s="64" t="n">
        <f aca="false">+D17/UnderlyingPrice-1</f>
        <v>-0.351909184726522</v>
      </c>
      <c r="F17" s="64" t="n">
        <f aca="false">+D17*(1+$P$8)/UnderlyingPrice-1</f>
        <v>-0.351585139318885</v>
      </c>
      <c r="G17" s="64" t="n">
        <f aca="false">+D17*(1-$P$8)/UnderlyingPrice-1</f>
        <v>-0.352233230134159</v>
      </c>
      <c r="H17" s="64" t="n">
        <f aca="true">OFFSET(VolSkewCoef,0,impvol_order-2)+OFFSET(VolSkewCoef,1,impvol_order-2)*F17+OFFSET(VolSkewCoef,2,impvol_order-2)*F17^2+IF(impvol_order&gt;2,OFFSET(VolSkewCoef,3,impvol_order-2)*F17^3,0)+IF(impvol_order&gt;3,OFFSET(VolSkewCoef,4,impvol_order-2)*F17^4,0)+IF(impvol_order&gt;4,OFFSET(VolSkewCoef,5,impvol_order-2)*F17^5,0)</f>
        <v>0.530670430980858</v>
      </c>
      <c r="I17" s="64" t="n">
        <f aca="true">OFFSET(VolSkewCoef,0,impvol_order-2)+OFFSET(VolSkewCoef,1,impvol_order-2)*E17+OFFSET(VolSkewCoef,2,impvol_order-2)*E17^2+IF(impvol_order&gt;2,OFFSET(VolSkewCoef,3,impvol_order-2)*E17^3,0)+IF(impvol_order&gt;3,OFFSET(VolSkewCoef,4,impvol_order-2)*E17^4,0)+IF(impvol_order&gt;4,OFFSET(VolSkewCoef,5,impvol_order-2)*E17^5,0)</f>
        <v>0.530718164549334</v>
      </c>
      <c r="J17" s="64" t="n">
        <f aca="true">OFFSET(VolSkewCoef,0,impvol_order-2)+OFFSET(VolSkewCoef,1,impvol_order-2)*G17+OFFSET(VolSkewCoef,2,impvol_order-2)*G17^2+IF(impvol_order&gt;2,OFFSET(VolSkewCoef,3,impvol_order-2)*G17^3,0)+IF(impvol_order&gt;3,OFFSET(VolSkewCoef,4,impvol_order-2)*G17^4,0)+IF(impvol_order&gt;4,OFFSET(VolSkewCoef,5,impvol_order-2)*G17^5,0)</f>
        <v>0.530765976058345</v>
      </c>
      <c r="L17" s="79" t="e">
        <f aca="false">EURO(UnderlyingPrice,$D17,IntRate,Yield,$I17,$D$6,L$12,0)</f>
        <v>#NAME?</v>
      </c>
      <c r="M17" s="79" t="e">
        <f aca="false">EURO(UnderlyingPrice,$D17,IntRate,Yield,$I17,$D$6,M$12,0)</f>
        <v>#NAME?</v>
      </c>
      <c r="O17" s="79" t="e">
        <f aca="false">EURO(UnderlyingPrice,$D17*(1+$P$8),IntRate,Yield,$H17,Expiry-Today,O$12,0)</f>
        <v>#NAME?</v>
      </c>
      <c r="P17" s="79" t="e">
        <f aca="false">EURO(UnderlyingPrice,$D17*(1+$P$8),IntRate,Yield,$H17,Expiry-Today,P$12,0)</f>
        <v>#NAME?</v>
      </c>
      <c r="R17" s="79" t="e">
        <f aca="false">EURO(UnderlyingPrice,$D17*(1-$P$8),IntRate,Yield,$J17,Expiry-Today,R$12,0)</f>
        <v>#NAME?</v>
      </c>
      <c r="S17" s="79" t="e">
        <f aca="false">EURO(UnderlyingPrice,$D17*(1-$P$8),IntRate,Yield,$J17,Expiry-Today,S$12,0)</f>
        <v>#NAME?</v>
      </c>
      <c r="U17" s="80" t="e">
        <f aca="false">(O17+R17-2*L17)/($P$8*D17)^2</f>
        <v>#NAME?</v>
      </c>
      <c r="V17" s="80"/>
      <c r="W17" s="81" t="e">
        <f aca="false">U17/$D$9</f>
        <v>#NAME?</v>
      </c>
      <c r="X17" s="78"/>
      <c r="Z17" s="80" t="n">
        <f aca="false">(1/(D17*SQRT(2*PI()*T/365.25*ATMImpVol^2)))</f>
        <v>0.387401695992829</v>
      </c>
      <c r="AA17" s="80" t="n">
        <f aca="false">LN(D17/UnderlyingPrice)+0.5*T/365.25*ATMImpVol^2</f>
        <v>-0.379946054410129</v>
      </c>
      <c r="AB17" s="80" t="n">
        <f aca="false">-(AA17^2)</f>
        <v>-0.144359004261825</v>
      </c>
      <c r="AC17" s="80" t="n">
        <f aca="false">AB17/(2*T/365.25*ATMImpVol^2)</f>
        <v>-0.671082759934363</v>
      </c>
      <c r="AD17" s="82" t="n">
        <f aca="false">EXP(AC17)</f>
        <v>0.511154820087871</v>
      </c>
      <c r="AE17" s="82" t="n">
        <f aca="false">AD17*Z17</f>
        <v>0.19802224421695</v>
      </c>
      <c r="AF17" s="82"/>
      <c r="AG17" s="83" t="n">
        <f aca="false">(LN($D17/UnderlyingPrice)+0.5*ATMImpVol^2*(T/365.25))/(ATMImpVol*SQRT(T/365.25))</f>
        <v>-1.15851867480362</v>
      </c>
      <c r="AH17" s="83" t="n">
        <f aca="false">(LN(($D17*(1+$P$8))/UnderlyingPrice)+0.5*ATMImpVol^2*(T/365.25))/(ATMImpVol*SQRT(T/365.25))</f>
        <v>-1.15699447271203</v>
      </c>
      <c r="AI17" s="83" t="n">
        <f aca="false">(LN($D17*(1-$P$8)/UnderlyingPrice)+0.5*ATMImpVol^2*(T/365.25))/(ATMImpVol*SQRT(T/365.25))</f>
        <v>-1.16004363918685</v>
      </c>
      <c r="AJ17" s="83"/>
      <c r="AK17" s="83" t="e">
        <f aca="false">W17/(AH17-AI17)*(D17*2*$P$8)</f>
        <v>#NAME?</v>
      </c>
      <c r="AL17" s="83"/>
      <c r="AM17" s="84" t="n">
        <v>-2.7</v>
      </c>
      <c r="AN17" s="85" t="n">
        <f aca="false">NORMDIST(AM17,0,1,FALSE())</f>
        <v>0.0104209348144226</v>
      </c>
      <c r="AP17" s="92" t="s">
        <v>113</v>
      </c>
      <c r="AQ17" s="93" t="e">
        <f aca="false">(Alpha1/Gamma2*AQ12)+(Alpha2/Gamma2*(1-AR12))</f>
        <v>#NAME?</v>
      </c>
      <c r="AR17" s="89"/>
      <c r="AS17" s="69"/>
      <c r="AV17" s="90"/>
      <c r="AX17" s="87" t="n">
        <f aca="true">OFFSET(ENAVolCoef,0,impvol_order-2)+OFFSET(ENAVolCoef,1,impvol_order-2)*E17+OFFSET(ENAVolCoef,2,impvol_order-2)*E17^2+IF(impvol_order&gt;2,OFFSET(ENAVolCoef,3,impvol_order-2)*E17^3,0)+IF(impvol_order&gt;3,OFFSET(ENAVolCoef,4,impvol_order-2)*E17^4,0)+IF(impvol_order&gt;4,OFFSET(ENAVolCoef,5,impvol_order-2)*E17^5,0)</f>
        <v>0.502431707239185</v>
      </c>
      <c r="AY17" s="87" t="n">
        <f aca="true">OFFSET(ENAVolCoef,0,impvol_order-2)+OFFSET(ENAVolCoef,1,impvol_order-2)*F17+OFFSET(ENAVolCoef,2,impvol_order-2)*F17^2+IF(impvol_order&gt;2,OFFSET(ENAVolCoef,3,impvol_order-2)*F17^3,0)+IF(impvol_order&gt;3,OFFSET(ENAVolCoef,4,impvol_order-2)*F17^4,0)+IF(impvol_order&gt;4,OFFSET(ENAVolCoef,5,impvol_order-2)*F17^5,0)</f>
        <v>0.502395356410208</v>
      </c>
      <c r="AZ17" s="87" t="n">
        <f aca="true">OFFSET(ENAVolCoef,0,impvol_order-2)+OFFSET(ENAVolCoef,1,impvol_order-2)*G17+OFFSET(ENAVolCoef,2,impvol_order-2)*G17^2+IF(impvol_order&gt;2,OFFSET(ENAVolCoef,3,impvol_order-2)*G17^3,0)+IF(impvol_order&gt;3,OFFSET(ENAVolCoef,4,impvol_order-2)*G17^4,0)+IF(impvol_order&gt;4,OFFSET(ENAVolCoef,5,impvol_order-2)*G17^5,0)</f>
        <v>0.502468114354439</v>
      </c>
      <c r="BB17" s="48" t="e">
        <f aca="false">EURO(UnderlyingPrice,$D17,IntRate,Yield,AX17,$D$6,1,0)</f>
        <v>#NAME?</v>
      </c>
      <c r="BC17" s="48" t="e">
        <f aca="false">EURO(UnderlyingPrice,$D17*(1+$P$8),IntRate,Yield,AY17,$D$6,1,0)</f>
        <v>#NAME?</v>
      </c>
      <c r="BD17" s="48" t="e">
        <f aca="false">EURO(UnderlyingPrice,$D17*(1-$P$8),IntRate,Yield,AZ17,$D$6,1,0)</f>
        <v>#NAME?</v>
      </c>
      <c r="BF17" s="80" t="e">
        <f aca="false">(BC17+BD17-2*BB17)/($P$8*$D17)^2</f>
        <v>#NAME?</v>
      </c>
      <c r="BG17" s="48" t="e">
        <f aca="false">+BF17/$D$9</f>
        <v>#NAME?</v>
      </c>
      <c r="BI17" s="79" t="e">
        <f aca="false">+BB17-L17</f>
        <v>#NAME?</v>
      </c>
      <c r="BJ17" s="65" t="e">
        <f aca="false">+BI17/BB17</f>
        <v>#NAME?</v>
      </c>
    </row>
    <row r="18" customFormat="false" ht="11.25" hidden="false" customHeight="false" outlineLevel="0" collapsed="false">
      <c r="C18" s="77" t="n">
        <v>5</v>
      </c>
      <c r="D18" s="78" t="n">
        <f aca="true">D17+(ROUNDUP(MAX(StrikeRange),1)-ROUNDDOWN(MIN(StrikeRange),1))/100</f>
        <v>3.175</v>
      </c>
      <c r="E18" s="64" t="n">
        <f aca="false">+D18/UnderlyingPrice-1</f>
        <v>-0.34468524251806</v>
      </c>
      <c r="F18" s="64" t="n">
        <f aca="false">+D18*(1+$P$8)/UnderlyingPrice-1</f>
        <v>-0.344357585139319</v>
      </c>
      <c r="G18" s="64" t="n">
        <f aca="false">+D18*(1-$P$8)/UnderlyingPrice-1</f>
        <v>-0.345012899896801</v>
      </c>
      <c r="H18" s="64" t="n">
        <f aca="true">OFFSET(VolSkewCoef,0,impvol_order-2)+OFFSET(VolSkewCoef,1,impvol_order-2)*F18+OFFSET(VolSkewCoef,2,impvol_order-2)*F18^2+IF(impvol_order&gt;2,OFFSET(VolSkewCoef,3,impvol_order-2)*F18^3,0)+IF(impvol_order&gt;3,OFFSET(VolSkewCoef,4,impvol_order-2)*F18^4,0)+IF(impvol_order&gt;4,OFFSET(VolSkewCoef,5,impvol_order-2)*F18^5,0)</f>
        <v>0.529625958222861</v>
      </c>
      <c r="I18" s="64" t="n">
        <f aca="true">OFFSET(VolSkewCoef,0,impvol_order-2)+OFFSET(VolSkewCoef,1,impvol_order-2)*E18+OFFSET(VolSkewCoef,2,impvol_order-2)*E18^2+IF(impvol_order&gt;2,OFFSET(VolSkewCoef,3,impvol_order-2)*E18^3,0)+IF(impvol_order&gt;3,OFFSET(VolSkewCoef,4,impvol_order-2)*E18^4,0)+IF(impvol_order&gt;4,OFFSET(VolSkewCoef,5,impvol_order-2)*E18^5,0)</f>
        <v>0.529672475560569</v>
      </c>
      <c r="J18" s="64" t="n">
        <f aca="true">OFFSET(VolSkewCoef,0,impvol_order-2)+OFFSET(VolSkewCoef,1,impvol_order-2)*G18+OFFSET(VolSkewCoef,2,impvol_order-2)*G18^2+IF(impvol_order&gt;2,OFFSET(VolSkewCoef,3,impvol_order-2)*G18^3,0)+IF(impvol_order&gt;3,OFFSET(VolSkewCoef,4,impvol_order-2)*G18^4,0)+IF(impvol_order&gt;4,OFFSET(VolSkewCoef,5,impvol_order-2)*G18^5,0)</f>
        <v>0.529719071801423</v>
      </c>
      <c r="L18" s="79" t="e">
        <f aca="false">EURO(UnderlyingPrice,$D18,IntRate,Yield,$I18,$D$6,L$12,0)</f>
        <v>#NAME?</v>
      </c>
      <c r="M18" s="79" t="e">
        <f aca="false">EURO(UnderlyingPrice,$D18,IntRate,Yield,$I18,$D$6,M$12,0)</f>
        <v>#NAME?</v>
      </c>
      <c r="O18" s="79" t="e">
        <f aca="false">EURO(UnderlyingPrice,$D18*(1+$P$8),IntRate,Yield,$H18,Expiry-Today,O$12,0)</f>
        <v>#NAME?</v>
      </c>
      <c r="P18" s="79" t="e">
        <f aca="false">EURO(UnderlyingPrice,$D18*(1+$P$8),IntRate,Yield,$H18,Expiry-Today,P$12,0)</f>
        <v>#NAME?</v>
      </c>
      <c r="R18" s="79" t="e">
        <f aca="false">EURO(UnderlyingPrice,$D18*(1-$P$8),IntRate,Yield,$J18,Expiry-Today,R$12,0)</f>
        <v>#NAME?</v>
      </c>
      <c r="S18" s="79" t="e">
        <f aca="false">EURO(UnderlyingPrice,$D18*(1-$P$8),IntRate,Yield,$J18,Expiry-Today,S$12,0)</f>
        <v>#NAME?</v>
      </c>
      <c r="U18" s="80" t="e">
        <f aca="false">(O18+R18-2*L18)/($P$8*D18)^2</f>
        <v>#NAME?</v>
      </c>
      <c r="V18" s="80"/>
      <c r="W18" s="81" t="e">
        <f aca="false">U18/$D$9</f>
        <v>#NAME?</v>
      </c>
      <c r="X18" s="78"/>
      <c r="Z18" s="80" t="n">
        <f aca="false">(1/(D18*SQRT(2*PI()*T/365.25*ATMImpVol^2)))</f>
        <v>0.383131126115742</v>
      </c>
      <c r="AA18" s="80" t="n">
        <f aca="false">LN(D18/UnderlyingPrice)+0.5*T/365.25*ATMImpVol^2</f>
        <v>-0.368861221985636</v>
      </c>
      <c r="AB18" s="80" t="n">
        <f aca="false">-(AA18^2)</f>
        <v>-0.136058601084737</v>
      </c>
      <c r="AC18" s="80" t="n">
        <f aca="false">AB18/(2*T/365.25*ATMImpVol^2)</f>
        <v>-0.632496614919499</v>
      </c>
      <c r="AD18" s="82" t="n">
        <f aca="false">EXP(AC18)</f>
        <v>0.531263782835295</v>
      </c>
      <c r="AE18" s="82" t="n">
        <f aca="false">AD18*Z18</f>
        <v>0.203543691382196</v>
      </c>
      <c r="AF18" s="82"/>
      <c r="AG18" s="83" t="n">
        <f aca="false">(LN($D18/UnderlyingPrice)+0.5*ATMImpVol^2*(T/365.25))/(ATMImpVol*SQRT(T/365.25))</f>
        <v>-1.1247191782125</v>
      </c>
      <c r="AH18" s="83" t="n">
        <f aca="false">(LN(($D18*(1+$P$8))/UnderlyingPrice)+0.5*ATMImpVol^2*(T/365.25))/(ATMImpVol*SQRT(T/365.25))</f>
        <v>-1.12319497612091</v>
      </c>
      <c r="AI18" s="83" t="n">
        <f aca="false">(LN($D18*(1-$P$8)/UnderlyingPrice)+0.5*ATMImpVol^2*(T/365.25))/(ATMImpVol*SQRT(T/365.25))</f>
        <v>-1.12624414259573</v>
      </c>
      <c r="AJ18" s="83"/>
      <c r="AK18" s="83" t="e">
        <f aca="false">W18/(AH18-AI18)*(D18*2*$P$8)</f>
        <v>#NAME?</v>
      </c>
      <c r="AL18" s="83"/>
      <c r="AM18" s="84" t="n">
        <v>-2.6</v>
      </c>
      <c r="AN18" s="85" t="n">
        <f aca="false">NORMDIST(AM18,0,1,FALSE())</f>
        <v>0.0135829692336856</v>
      </c>
      <c r="AX18" s="87" t="n">
        <f aca="true">OFFSET(ENAVolCoef,0,impvol_order-2)+OFFSET(ENAVolCoef,1,impvol_order-2)*E18+OFFSET(ENAVolCoef,2,impvol_order-2)*E18^2+IF(impvol_order&gt;2,OFFSET(ENAVolCoef,3,impvol_order-2)*E18^3,0)+IF(impvol_order&gt;3,OFFSET(ENAVolCoef,4,impvol_order-2)*E18^4,0)+IF(impvol_order&gt;4,OFFSET(ENAVolCoef,5,impvol_order-2)*E18^5,0)</f>
        <v>0.501634658828954</v>
      </c>
      <c r="AY18" s="87" t="n">
        <f aca="true">OFFSET(ENAVolCoef,0,impvol_order-2)+OFFSET(ENAVolCoef,1,impvol_order-2)*F18+OFFSET(ENAVolCoef,2,impvol_order-2)*F18^2+IF(impvol_order&gt;2,OFFSET(ENAVolCoef,3,impvol_order-2)*F18^3,0)+IF(impvol_order&gt;3,OFFSET(ENAVolCoef,4,impvol_order-2)*F18^4,0)+IF(impvol_order&gt;4,OFFSET(ENAVolCoef,5,impvol_order-2)*F18^5,0)</f>
        <v>0.501599166389345</v>
      </c>
      <c r="AZ18" s="87" t="n">
        <f aca="true">OFFSET(ENAVolCoef,0,impvol_order-2)+OFFSET(ENAVolCoef,1,impvol_order-2)*G18+OFFSET(ENAVolCoef,2,impvol_order-2)*G18^2+IF(impvol_order&gt;2,OFFSET(ENAVolCoef,3,impvol_order-2)*G18^3,0)+IF(impvol_order&gt;3,OFFSET(ENAVolCoef,4,impvol_order-2)*G18^4,0)+IF(impvol_order&gt;4,OFFSET(ENAVolCoef,5,impvol_order-2)*G18^5,0)</f>
        <v>0.501670208337654</v>
      </c>
      <c r="BB18" s="48" t="e">
        <f aca="false">EURO(UnderlyingPrice,$D18,IntRate,Yield,AX18,$D$6,1,0)</f>
        <v>#NAME?</v>
      </c>
      <c r="BC18" s="48" t="e">
        <f aca="false">EURO(UnderlyingPrice,$D18*(1+$P$8),IntRate,Yield,AY18,$D$6,1,0)</f>
        <v>#NAME?</v>
      </c>
      <c r="BD18" s="48" t="e">
        <f aca="false">EURO(UnderlyingPrice,$D18*(1-$P$8),IntRate,Yield,AZ18,$D$6,1,0)</f>
        <v>#NAME?</v>
      </c>
      <c r="BF18" s="80" t="e">
        <f aca="false">(BC18+BD18-2*BB18)/($P$8*$D18)^2</f>
        <v>#NAME?</v>
      </c>
      <c r="BG18" s="48" t="e">
        <f aca="false">+BF18/$D$9</f>
        <v>#NAME?</v>
      </c>
      <c r="BI18" s="79" t="e">
        <f aca="false">+BB18-L18</f>
        <v>#NAME?</v>
      </c>
      <c r="BJ18" s="65" t="e">
        <f aca="false">+BI18/BB18</f>
        <v>#NAME?</v>
      </c>
    </row>
    <row r="19" customFormat="false" ht="11.25" hidden="false" customHeight="false" outlineLevel="0" collapsed="false">
      <c r="C19" s="77" t="n">
        <v>6</v>
      </c>
      <c r="D19" s="78" t="n">
        <f aca="true">D18+(ROUNDUP(MAX(StrikeRange),1)-ROUNDDOWN(MIN(StrikeRange),1))/100</f>
        <v>3.21</v>
      </c>
      <c r="E19" s="64" t="n">
        <f aca="false">+D19/UnderlyingPrice-1</f>
        <v>-0.337461300309597</v>
      </c>
      <c r="F19" s="64" t="n">
        <f aca="false">+D19*(1+$P$8)/UnderlyingPrice-1</f>
        <v>-0.337130030959752</v>
      </c>
      <c r="G19" s="64" t="n">
        <f aca="false">+D19*(1-$P$8)/UnderlyingPrice-1</f>
        <v>-0.337792569659443</v>
      </c>
      <c r="H19" s="64" t="n">
        <f aca="true">OFFSET(VolSkewCoef,0,impvol_order-2)+OFFSET(VolSkewCoef,1,impvol_order-2)*F19+OFFSET(VolSkewCoef,2,impvol_order-2)*F19^2+IF(impvol_order&gt;2,OFFSET(VolSkewCoef,3,impvol_order-2)*F19^3,0)+IF(impvol_order&gt;3,OFFSET(VolSkewCoef,4,impvol_order-2)*F19^4,0)+IF(impvol_order&gt;4,OFFSET(VolSkewCoef,5,impvol_order-2)*F19^5,0)</f>
        <v>0.528619859829678</v>
      </c>
      <c r="I19" s="64" t="n">
        <f aca="true">OFFSET(VolSkewCoef,0,impvol_order-2)+OFFSET(VolSkewCoef,1,impvol_order-2)*E19+OFFSET(VolSkewCoef,2,impvol_order-2)*E19^2+IF(impvol_order&gt;2,OFFSET(VolSkewCoef,3,impvol_order-2)*E19^3,0)+IF(impvol_order&gt;3,OFFSET(VolSkewCoef,4,impvol_order-2)*E19^4,0)+IF(impvol_order&gt;4,OFFSET(VolSkewCoef,5,impvol_order-2)*E19^5,0)</f>
        <v>0.528665139889301</v>
      </c>
      <c r="J19" s="64" t="n">
        <f aca="true">OFFSET(VolSkewCoef,0,impvol_order-2)+OFFSET(VolSkewCoef,1,impvol_order-2)*G19+OFFSET(VolSkewCoef,2,impvol_order-2)*G19^2+IF(impvol_order&gt;2,OFFSET(VolSkewCoef,3,impvol_order-2)*G19^3,0)+IF(impvol_order&gt;3,OFFSET(VolSkewCoef,4,impvol_order-2)*G19^4,0)+IF(impvol_order&gt;4,OFFSET(VolSkewCoef,5,impvol_order-2)*G19^5,0)</f>
        <v>0.528710499799259</v>
      </c>
      <c r="L19" s="79" t="e">
        <f aca="false">EURO(UnderlyingPrice,$D19,IntRate,Yield,$I19,$D$6,L$12,0)</f>
        <v>#NAME?</v>
      </c>
      <c r="M19" s="79" t="e">
        <f aca="false">EURO(UnderlyingPrice,$D19,IntRate,Yield,$I19,$D$6,M$12,0)</f>
        <v>#NAME?</v>
      </c>
      <c r="O19" s="79" t="e">
        <f aca="false">EURO(UnderlyingPrice,$D19*(1+$P$8),IntRate,Yield,$H19,Expiry-Today,O$12,0)</f>
        <v>#NAME?</v>
      </c>
      <c r="P19" s="79" t="e">
        <f aca="false">EURO(UnderlyingPrice,$D19*(1+$P$8),IntRate,Yield,$H19,Expiry-Today,P$12,0)</f>
        <v>#NAME?</v>
      </c>
      <c r="R19" s="79" t="e">
        <f aca="false">EURO(UnderlyingPrice,$D19*(1-$P$8),IntRate,Yield,$J19,Expiry-Today,R$12,0)</f>
        <v>#NAME?</v>
      </c>
      <c r="S19" s="79" t="e">
        <f aca="false">EURO(UnderlyingPrice,$D19*(1-$P$8),IntRate,Yield,$J19,Expiry-Today,S$12,0)</f>
        <v>#NAME?</v>
      </c>
      <c r="U19" s="80" t="e">
        <f aca="false">(O19+R19-2*L19)/($P$8*D19)^2</f>
        <v>#NAME?</v>
      </c>
      <c r="V19" s="80"/>
      <c r="W19" s="81" t="e">
        <f aca="false">U19/$D$9</f>
        <v>#NAME?</v>
      </c>
      <c r="X19" s="78"/>
      <c r="Z19" s="80" t="n">
        <f aca="false">(1/(D19*SQRT(2*PI()*T/365.25*ATMImpVol^2)))</f>
        <v>0.37895368393068</v>
      </c>
      <c r="AA19" s="80" t="n">
        <f aca="false">LN(D19/UnderlyingPrice)+0.5*T/365.25*ATMImpVol^2</f>
        <v>-0.357897917188367</v>
      </c>
      <c r="AB19" s="80" t="n">
        <f aca="false">-(AA19^2)</f>
        <v>-0.128090919127771</v>
      </c>
      <c r="AC19" s="80" t="n">
        <f aca="false">AB19/(2*T/365.25*ATMImpVol^2)</f>
        <v>-0.5954571934764</v>
      </c>
      <c r="AD19" s="82" t="n">
        <f aca="false">EXP(AC19)</f>
        <v>0.551310452697529</v>
      </c>
      <c r="AE19" s="82" t="n">
        <f aca="false">AD19*Z19</f>
        <v>0.208921127039219</v>
      </c>
      <c r="AF19" s="82"/>
      <c r="AG19" s="83" t="n">
        <f aca="false">(LN($D19/UnderlyingPrice)+0.5*ATMImpVol^2*(T/365.25))/(ATMImpVol*SQRT(T/365.25))</f>
        <v>-1.09129023955719</v>
      </c>
      <c r="AH19" s="83" t="n">
        <f aca="false">(LN(($D19*(1+$P$8))/UnderlyingPrice)+0.5*ATMImpVol^2*(T/365.25))/(ATMImpVol*SQRT(T/365.25))</f>
        <v>-1.08976603746561</v>
      </c>
      <c r="AI19" s="83" t="n">
        <f aca="false">(LN($D19*(1-$P$8)/UnderlyingPrice)+0.5*ATMImpVol^2*(T/365.25))/(ATMImpVol*SQRT(T/365.25))</f>
        <v>-1.09281520394043</v>
      </c>
      <c r="AJ19" s="83"/>
      <c r="AK19" s="83" t="e">
        <f aca="false">W19/(AH19-AI19)*(D19*2*$P$8)</f>
        <v>#NAME?</v>
      </c>
      <c r="AL19" s="83"/>
      <c r="AM19" s="84" t="n">
        <v>-2.5</v>
      </c>
      <c r="AN19" s="85" t="n">
        <f aca="false">NORMDIST(AM19,0,1,FALSE())</f>
        <v>0.0175283004935685</v>
      </c>
      <c r="AX19" s="87" t="n">
        <f aca="true">OFFSET(ENAVolCoef,0,impvol_order-2)+OFFSET(ENAVolCoef,1,impvol_order-2)*E19+OFFSET(ENAVolCoef,2,impvol_order-2)*E19^2+IF(impvol_order&gt;2,OFFSET(ENAVolCoef,3,impvol_order-2)*E19^3,0)+IF(impvol_order&gt;3,OFFSET(ENAVolCoef,4,impvol_order-2)*E19^4,0)+IF(impvol_order&gt;4,OFFSET(ENAVolCoef,5,impvol_order-2)*E19^5,0)</f>
        <v>0.500865350617615</v>
      </c>
      <c r="AY19" s="87" t="n">
        <f aca="true">OFFSET(ENAVolCoef,0,impvol_order-2)+OFFSET(ENAVolCoef,1,impvol_order-2)*F19+OFFSET(ENAVolCoef,2,impvol_order-2)*F19^2+IF(impvol_order&gt;2,OFFSET(ENAVolCoef,3,impvol_order-2)*F19^3,0)+IF(impvol_order&gt;3,OFFSET(ENAVolCoef,4,impvol_order-2)*F19^4,0)+IF(impvol_order&gt;4,OFFSET(ENAVolCoef,5,impvol_order-2)*F19^5,0)</f>
        <v>0.500830733743998</v>
      </c>
      <c r="AZ19" s="87" t="n">
        <f aca="true">OFFSET(ENAVolCoef,0,impvol_order-2)+OFFSET(ENAVolCoef,1,impvol_order-2)*G19+OFFSET(ENAVolCoef,2,impvol_order-2)*G19^2+IF(impvol_order&gt;2,OFFSET(ENAVolCoef,3,impvol_order-2)*G19^3,0)+IF(impvol_order&gt;3,OFFSET(ENAVolCoef,4,impvol_order-2)*G19^4,0)+IF(impvol_order&gt;4,OFFSET(ENAVolCoef,5,impvol_order-2)*G19^5,0)</f>
        <v>0.500900025335886</v>
      </c>
      <c r="BB19" s="48" t="e">
        <f aca="false">EURO(UnderlyingPrice,$D19,IntRate,Yield,AX19,$D$6,1,0)</f>
        <v>#NAME?</v>
      </c>
      <c r="BC19" s="48" t="e">
        <f aca="false">EURO(UnderlyingPrice,$D19*(1+$P$8),IntRate,Yield,AY19,$D$6,1,0)</f>
        <v>#NAME?</v>
      </c>
      <c r="BD19" s="48" t="e">
        <f aca="false">EURO(UnderlyingPrice,$D19*(1-$P$8),IntRate,Yield,AZ19,$D$6,1,0)</f>
        <v>#NAME?</v>
      </c>
      <c r="BF19" s="80" t="e">
        <f aca="false">(BC19+BD19-2*BB19)/($P$8*$D19)^2</f>
        <v>#NAME?</v>
      </c>
      <c r="BG19" s="48" t="e">
        <f aca="false">+BF19/$D$9</f>
        <v>#NAME?</v>
      </c>
      <c r="BI19" s="79" t="e">
        <f aca="false">+BB19-L19</f>
        <v>#NAME?</v>
      </c>
      <c r="BJ19" s="65" t="e">
        <f aca="false">+BI19/BB19</f>
        <v>#NAME?</v>
      </c>
    </row>
    <row r="20" customFormat="false" ht="11.25" hidden="false" customHeight="false" outlineLevel="0" collapsed="false">
      <c r="C20" s="77" t="n">
        <v>7</v>
      </c>
      <c r="D20" s="78" t="n">
        <f aca="true">D19+(ROUNDUP(MAX(StrikeRange),1)-ROUNDDOWN(MIN(StrikeRange),1))/100</f>
        <v>3.245</v>
      </c>
      <c r="E20" s="64" t="n">
        <f aca="false">+D20/UnderlyingPrice-1</f>
        <v>-0.330237358101135</v>
      </c>
      <c r="F20" s="64" t="n">
        <f aca="false">+D20*(1+$P$8)/UnderlyingPrice-1</f>
        <v>-0.329902476780186</v>
      </c>
      <c r="G20" s="64" t="n">
        <f aca="false">+D20*(1-$P$8)/UnderlyingPrice-1</f>
        <v>-0.330572239422084</v>
      </c>
      <c r="H20" s="64" t="n">
        <f aca="true">OFFSET(VolSkewCoef,0,impvol_order-2)+OFFSET(VolSkewCoef,1,impvol_order-2)*F20+OFFSET(VolSkewCoef,2,impvol_order-2)*F20^2+IF(impvol_order&gt;2,OFFSET(VolSkewCoef,3,impvol_order-2)*F20^3,0)+IF(impvol_order&gt;3,OFFSET(VolSkewCoef,4,impvol_order-2)*F20^4,0)+IF(impvol_order&gt;4,OFFSET(VolSkewCoef,5,impvol_order-2)*F20^5,0)</f>
        <v>0.527651753849434</v>
      </c>
      <c r="I20" s="64" t="n">
        <f aca="true">OFFSET(VolSkewCoef,0,impvol_order-2)+OFFSET(VolSkewCoef,1,impvol_order-2)*E20+OFFSET(VolSkewCoef,2,impvol_order-2)*E20^2+IF(impvol_order&gt;2,OFFSET(VolSkewCoef,3,impvol_order-2)*E20^3,0)+IF(impvol_order&gt;3,OFFSET(VolSkewCoef,4,impvol_order-2)*E20^4,0)+IF(impvol_order&gt;4,OFFSET(VolSkewCoef,5,impvol_order-2)*E20^5,0)</f>
        <v>0.527695776156008</v>
      </c>
      <c r="J20" s="64" t="n">
        <f aca="true">OFFSET(VolSkewCoef,0,impvol_order-2)+OFFSET(VolSkewCoef,1,impvol_order-2)*G20+OFFSET(VolSkewCoef,2,impvol_order-2)*G20^2+IF(impvol_order&gt;2,OFFSET(VolSkewCoef,3,impvol_order-2)*G20^3,0)+IF(impvol_order&gt;3,OFFSET(VolSkewCoef,4,impvol_order-2)*G20^4,0)+IF(impvol_order&gt;4,OFFSET(VolSkewCoef,5,impvol_order-2)*G20^5,0)</f>
        <v>0.527739879244118</v>
      </c>
      <c r="L20" s="79" t="e">
        <f aca="false">EURO(UnderlyingPrice,$D20,IntRate,Yield,$I20,$D$6,L$12,0)</f>
        <v>#NAME?</v>
      </c>
      <c r="M20" s="79" t="e">
        <f aca="false">EURO(UnderlyingPrice,$D20,IntRate,Yield,$I20,$D$6,M$12,0)</f>
        <v>#NAME?</v>
      </c>
      <c r="O20" s="79" t="e">
        <f aca="false">EURO(UnderlyingPrice,$D20*(1+$P$8),IntRate,Yield,$H20,Expiry-Today,O$12,0)</f>
        <v>#NAME?</v>
      </c>
      <c r="P20" s="79" t="e">
        <f aca="false">EURO(UnderlyingPrice,$D20*(1+$P$8),IntRate,Yield,$H20,Expiry-Today,P$12,0)</f>
        <v>#NAME?</v>
      </c>
      <c r="R20" s="79" t="e">
        <f aca="false">EURO(UnderlyingPrice,$D20*(1-$P$8),IntRate,Yield,$J20,Expiry-Today,R$12,0)</f>
        <v>#NAME?</v>
      </c>
      <c r="S20" s="79" t="e">
        <f aca="false">EURO(UnderlyingPrice,$D20*(1-$P$8),IntRate,Yield,$J20,Expiry-Today,S$12,0)</f>
        <v>#NAME?</v>
      </c>
      <c r="U20" s="80" t="e">
        <f aca="false">(O20+R20-2*L20)/($P$8*D20)^2</f>
        <v>#NAME?</v>
      </c>
      <c r="V20" s="80"/>
      <c r="W20" s="81" t="e">
        <f aca="false">U20/$D$9</f>
        <v>#NAME?</v>
      </c>
      <c r="X20" s="78"/>
      <c r="Z20" s="80" t="n">
        <f aca="false">(1/(D20*SQRT(2*PI()*T/365.25*ATMImpVol^2)))</f>
        <v>0.374866356060857</v>
      </c>
      <c r="AA20" s="80" t="n">
        <f aca="false">LN(D20/UnderlyingPrice)+0.5*T/365.25*ATMImpVol^2</f>
        <v>-0.347053504174238</v>
      </c>
      <c r="AB20" s="80" t="n">
        <f aca="false">-(AA20^2)</f>
        <v>-0.120446134759618</v>
      </c>
      <c r="AC20" s="80" t="n">
        <f aca="false">AB20/(2*T/365.25*ATMImpVol^2)</f>
        <v>-0.55991882841828</v>
      </c>
      <c r="AD20" s="82" t="n">
        <f aca="false">EXP(AC20)</f>
        <v>0.57125543167387</v>
      </c>
      <c r="AE20" s="82" t="n">
        <f aca="false">AD20*Z20</f>
        <v>0.214144442051555</v>
      </c>
      <c r="AF20" s="82"/>
      <c r="AG20" s="83" t="n">
        <f aca="false">(LN($D20/UnderlyingPrice)+0.5*ATMImpVol^2*(T/365.25))/(ATMImpVol*SQRT(T/365.25))</f>
        <v>-1.05822382171097</v>
      </c>
      <c r="AH20" s="83" t="n">
        <f aca="false">(LN(($D20*(1+$P$8))/UnderlyingPrice)+0.5*ATMImpVol^2*(T/365.25))/(ATMImpVol*SQRT(T/365.25))</f>
        <v>-1.05669961961938</v>
      </c>
      <c r="AI20" s="83" t="n">
        <f aca="false">(LN($D20*(1-$P$8)/UnderlyingPrice)+0.5*ATMImpVol^2*(T/365.25))/(ATMImpVol*SQRT(T/365.25))</f>
        <v>-1.0597487860942</v>
      </c>
      <c r="AJ20" s="83"/>
      <c r="AK20" s="83" t="e">
        <f aca="false">W20/(AH20-AI20)*(D20*2*$P$8)</f>
        <v>#NAME?</v>
      </c>
      <c r="AL20" s="83"/>
      <c r="AM20" s="84" t="n">
        <v>-2.4</v>
      </c>
      <c r="AN20" s="85" t="n">
        <f aca="false">NORMDIST(AM20,0,1,FALSE())</f>
        <v>0.0223945302948429</v>
      </c>
      <c r="AP20" s="49" t="s">
        <v>114</v>
      </c>
      <c r="AX20" s="87" t="n">
        <f aca="true">OFFSET(ENAVolCoef,0,impvol_order-2)+OFFSET(ENAVolCoef,1,impvol_order-2)*E20+OFFSET(ENAVolCoef,2,impvol_order-2)*E20^2+IF(impvol_order&gt;2,OFFSET(ENAVolCoef,3,impvol_order-2)*E20^3,0)+IF(impvol_order&gt;3,OFFSET(ENAVolCoef,4,impvol_order-2)*E20^4,0)+IF(impvol_order&gt;4,OFFSET(ENAVolCoef,5,impvol_order-2)*E20^5,0)</f>
        <v>0.500123549787458</v>
      </c>
      <c r="AY20" s="87" t="n">
        <f aca="true">OFFSET(ENAVolCoef,0,impvol_order-2)+OFFSET(ENAVolCoef,1,impvol_order-2)*F20+OFFSET(ENAVolCoef,2,impvol_order-2)*F20^2+IF(impvol_order&gt;2,OFFSET(ENAVolCoef,3,impvol_order-2)*F20^3,0)+IF(impvol_order&gt;3,OFFSET(ENAVolCoef,4,impvol_order-2)*F20^4,0)+IF(impvol_order&gt;4,OFFSET(ENAVolCoef,5,impvol_order-2)*F20^5,0)</f>
        <v>0.500089825307059</v>
      </c>
      <c r="AZ20" s="87" t="n">
        <f aca="true">OFFSET(ENAVolCoef,0,impvol_order-2)+OFFSET(ENAVolCoef,1,impvol_order-2)*G20+OFFSET(ENAVolCoef,2,impvol_order-2)*G20^2+IF(impvol_order&gt;2,OFFSET(ENAVolCoef,3,impvol_order-2)*G20^3,0)+IF(impvol_order&gt;3,OFFSET(ENAVolCoef,4,impvol_order-2)*G20^4,0)+IF(impvol_order&gt;4,OFFSET(ENAVolCoef,5,impvol_order-2)*G20^5,0)</f>
        <v>0.500157332880477</v>
      </c>
      <c r="BB20" s="48" t="e">
        <f aca="false">EURO(UnderlyingPrice,$D20,IntRate,Yield,AX20,$D$6,1,0)</f>
        <v>#NAME?</v>
      </c>
      <c r="BC20" s="48" t="e">
        <f aca="false">EURO(UnderlyingPrice,$D20*(1+$P$8),IntRate,Yield,AY20,$D$6,1,0)</f>
        <v>#NAME?</v>
      </c>
      <c r="BD20" s="48" t="e">
        <f aca="false">EURO(UnderlyingPrice,$D20*(1-$P$8),IntRate,Yield,AZ20,$D$6,1,0)</f>
        <v>#NAME?</v>
      </c>
      <c r="BF20" s="80" t="e">
        <f aca="false">(BC20+BD20-2*BB20)/($P$8*$D20)^2</f>
        <v>#NAME?</v>
      </c>
      <c r="BG20" s="48" t="e">
        <f aca="false">+BF20/$D$9</f>
        <v>#NAME?</v>
      </c>
      <c r="BI20" s="79" t="e">
        <f aca="false">+BB20-L20</f>
        <v>#NAME?</v>
      </c>
      <c r="BJ20" s="65" t="e">
        <f aca="false">+BI20/BB20</f>
        <v>#NAME?</v>
      </c>
    </row>
    <row r="21" customFormat="false" ht="11.25" hidden="false" customHeight="false" outlineLevel="0" collapsed="false">
      <c r="C21" s="77" t="n">
        <v>8</v>
      </c>
      <c r="D21" s="78" t="n">
        <f aca="true">D20+(ROUNDUP(MAX(StrikeRange),1)-ROUNDDOWN(MIN(StrikeRange),1))/100</f>
        <v>3.28</v>
      </c>
      <c r="E21" s="64" t="n">
        <f aca="false">+D21/UnderlyingPrice-1</f>
        <v>-0.323013415892673</v>
      </c>
      <c r="F21" s="64" t="n">
        <f aca="false">+D21*(1+$P$8)/UnderlyingPrice-1</f>
        <v>-0.322674922600619</v>
      </c>
      <c r="G21" s="64" t="n">
        <f aca="false">+D21*(1-$P$8)/UnderlyingPrice-1</f>
        <v>-0.323351909184726</v>
      </c>
      <c r="H21" s="64" t="n">
        <f aca="true">OFFSET(VolSkewCoef,0,impvol_order-2)+OFFSET(VolSkewCoef,1,impvol_order-2)*F21+OFFSET(VolSkewCoef,2,impvol_order-2)*F21^2+IF(impvol_order&gt;2,OFFSET(VolSkewCoef,3,impvol_order-2)*F21^3,0)+IF(impvol_order&gt;3,OFFSET(VolSkewCoef,4,impvol_order-2)*F21^4,0)+IF(impvol_order&gt;4,OFFSET(VolSkewCoef,5,impvol_order-2)*F21^5,0)</f>
        <v>0.526721258330254</v>
      </c>
      <c r="I21" s="64" t="n">
        <f aca="true">OFFSET(VolSkewCoef,0,impvol_order-2)+OFFSET(VolSkewCoef,1,impvol_order-2)*E21+OFFSET(VolSkewCoef,2,impvol_order-2)*E21^2+IF(impvol_order&gt;2,OFFSET(VolSkewCoef,3,impvol_order-2)*E21^3,0)+IF(impvol_order&gt;3,OFFSET(VolSkewCoef,4,impvol_order-2)*E21^4,0)+IF(impvol_order&gt;4,OFFSET(VolSkewCoef,5,impvol_order-2)*E21^5,0)</f>
        <v>0.526764002981173</v>
      </c>
      <c r="J21" s="64" t="n">
        <f aca="true">OFFSET(VolSkewCoef,0,impvol_order-2)+OFFSET(VolSkewCoef,1,impvol_order-2)*G21+OFFSET(VolSkewCoef,2,impvol_order-2)*G21^2+IF(impvol_order&gt;2,OFFSET(VolSkewCoef,3,impvol_order-2)*G21^3,0)+IF(impvol_order&gt;3,OFFSET(VolSkewCoef,4,impvol_order-2)*G21^4,0)+IF(impvol_order&gt;4,OFFSET(VolSkewCoef,5,impvol_order-2)*G21^5,0)</f>
        <v>0.526806829328262</v>
      </c>
      <c r="L21" s="79" t="e">
        <f aca="false">EURO(UnderlyingPrice,$D21,IntRate,Yield,$I21,$D$6,L$12,0)</f>
        <v>#NAME?</v>
      </c>
      <c r="M21" s="79" t="e">
        <f aca="false">EURO(UnderlyingPrice,$D21,IntRate,Yield,$I21,$D$6,M$12,0)</f>
        <v>#NAME?</v>
      </c>
      <c r="O21" s="79" t="e">
        <f aca="false">EURO(UnderlyingPrice,$D21*(1+$P$8),IntRate,Yield,$H21,Expiry-Today,O$12,0)</f>
        <v>#NAME?</v>
      </c>
      <c r="P21" s="79" t="e">
        <f aca="false">EURO(UnderlyingPrice,$D21*(1+$P$8),IntRate,Yield,$H21,Expiry-Today,P$12,0)</f>
        <v>#NAME?</v>
      </c>
      <c r="R21" s="79" t="e">
        <f aca="false">EURO(UnderlyingPrice,$D21*(1-$P$8),IntRate,Yield,$J21,Expiry-Today,R$12,0)</f>
        <v>#NAME?</v>
      </c>
      <c r="S21" s="79" t="e">
        <f aca="false">EURO(UnderlyingPrice,$D21*(1-$P$8),IntRate,Yield,$J21,Expiry-Today,S$12,0)</f>
        <v>#NAME?</v>
      </c>
      <c r="U21" s="80" t="e">
        <f aca="false">(O21+R21-2*L21)/($P$8*D21)^2</f>
        <v>#NAME?</v>
      </c>
      <c r="V21" s="80"/>
      <c r="W21" s="81" t="e">
        <f aca="false">U21/$D$9</f>
        <v>#NAME?</v>
      </c>
      <c r="X21" s="78"/>
      <c r="Z21" s="80" t="n">
        <f aca="false">(1/(D21*SQRT(2*PI()*T/365.25*ATMImpVol^2)))</f>
        <v>0.370866257749232</v>
      </c>
      <c r="AA21" s="80" t="n">
        <f aca="false">LN(D21/UnderlyingPrice)+0.5*T/365.25*ATMImpVol^2</f>
        <v>-0.336325431934239</v>
      </c>
      <c r="AB21" s="80" t="n">
        <f aca="false">-(AA21^2)</f>
        <v>-0.113114796165752</v>
      </c>
      <c r="AC21" s="80" t="n">
        <f aca="false">AB21/(2*T/365.25*ATMImpVol^2)</f>
        <v>-0.525837581025764</v>
      </c>
      <c r="AD21" s="82" t="n">
        <f aca="false">EXP(AC21)</f>
        <v>0.591060096260471</v>
      </c>
      <c r="AE21" s="82" t="n">
        <f aca="false">AD21*Z21</f>
        <v>0.219204246005022</v>
      </c>
      <c r="AF21" s="82"/>
      <c r="AG21" s="83" t="n">
        <f aca="false">(LN($D21/UnderlyingPrice)+0.5*ATMImpVol^2*(T/365.25))/(ATMImpVol*SQRT(T/365.25))</f>
        <v>-1.0255121462233</v>
      </c>
      <c r="AH21" s="83" t="n">
        <f aca="false">(LN(($D21*(1+$P$8))/UnderlyingPrice)+0.5*ATMImpVol^2*(T/365.25))/(ATMImpVol*SQRT(T/365.25))</f>
        <v>-1.02398794413172</v>
      </c>
      <c r="AI21" s="83" t="n">
        <f aca="false">(LN($D21*(1-$P$8)/UnderlyingPrice)+0.5*ATMImpVol^2*(T/365.25))/(ATMImpVol*SQRT(T/365.25))</f>
        <v>-1.02703711060654</v>
      </c>
      <c r="AJ21" s="83"/>
      <c r="AK21" s="83" t="e">
        <f aca="false">W21/(AH21-AI21)*(D21*2*$P$8)</f>
        <v>#NAME?</v>
      </c>
      <c r="AL21" s="83"/>
      <c r="AM21" s="84" t="n">
        <v>-2.3</v>
      </c>
      <c r="AN21" s="85" t="n">
        <f aca="false">NORMDIST(AM21,0,1,FALSE())</f>
        <v>0.0283270377416012</v>
      </c>
      <c r="AX21" s="87" t="n">
        <f aca="true">OFFSET(ENAVolCoef,0,impvol_order-2)+OFFSET(ENAVolCoef,1,impvol_order-2)*E21+OFFSET(ENAVolCoef,2,impvol_order-2)*E21^2+IF(impvol_order&gt;2,OFFSET(ENAVolCoef,3,impvol_order-2)*E21^3,0)+IF(impvol_order&gt;3,OFFSET(ENAVolCoef,4,impvol_order-2)*E21^4,0)+IF(impvol_order&gt;4,OFFSET(ENAVolCoef,5,impvol_order-2)*E21^5,0)</f>
        <v>0.499409023520774</v>
      </c>
      <c r="AY21" s="87" t="n">
        <f aca="true">OFFSET(ENAVolCoef,0,impvol_order-2)+OFFSET(ENAVolCoef,1,impvol_order-2)*F21+OFFSET(ENAVolCoef,2,impvol_order-2)*F21^2+IF(impvol_order&gt;2,OFFSET(ENAVolCoef,3,impvol_order-2)*F21^3,0)+IF(impvol_order&gt;3,OFFSET(ENAVolCoef,4,impvol_order-2)*F21^4,0)+IF(impvol_order&gt;4,OFFSET(ENAVolCoef,5,impvol_order-2)*F21^5,0)</f>
        <v>0.499376207911415</v>
      </c>
      <c r="AZ21" s="87" t="n">
        <f aca="true">OFFSET(ENAVolCoef,0,impvol_order-2)+OFFSET(ENAVolCoef,1,impvol_order-2)*G21+OFFSET(ENAVolCoef,2,impvol_order-2)*G21^2+IF(impvol_order&gt;2,OFFSET(ENAVolCoef,3,impvol_order-2)*G21^3,0)+IF(impvol_order&gt;3,OFFSET(ENAVolCoef,4,impvol_order-2)*G21^4,0)+IF(impvol_order&gt;4,OFFSET(ENAVolCoef,5,impvol_order-2)*G21^5,0)</f>
        <v>0.49944189850277</v>
      </c>
      <c r="BB21" s="48" t="e">
        <f aca="false">EURO(UnderlyingPrice,$D21,IntRate,Yield,AX21,$D$6,1,0)</f>
        <v>#NAME?</v>
      </c>
      <c r="BC21" s="48" t="e">
        <f aca="false">EURO(UnderlyingPrice,$D21*(1+$P$8),IntRate,Yield,AY21,$D$6,1,0)</f>
        <v>#NAME?</v>
      </c>
      <c r="BD21" s="48" t="e">
        <f aca="false">EURO(UnderlyingPrice,$D21*(1-$P$8),IntRate,Yield,AZ21,$D$6,1,0)</f>
        <v>#NAME?</v>
      </c>
      <c r="BF21" s="80" t="e">
        <f aca="false">(BC21+BD21-2*BB21)/($P$8*$D21)^2</f>
        <v>#NAME?</v>
      </c>
      <c r="BG21" s="48" t="e">
        <f aca="false">+BF21/$D$9</f>
        <v>#NAME?</v>
      </c>
      <c r="BI21" s="79" t="e">
        <f aca="false">+BB21-L21</f>
        <v>#NAME?</v>
      </c>
      <c r="BJ21" s="65" t="e">
        <f aca="false">+BI21/BB21</f>
        <v>#NAME?</v>
      </c>
    </row>
    <row r="22" customFormat="false" ht="11.25" hidden="false" customHeight="false" outlineLevel="0" collapsed="false">
      <c r="C22" s="77" t="n">
        <v>9</v>
      </c>
      <c r="D22" s="78" t="n">
        <f aca="true">D21+(ROUNDUP(MAX(StrikeRange),1)-ROUNDDOWN(MIN(StrikeRange),1))/100</f>
        <v>3.315</v>
      </c>
      <c r="E22" s="64" t="n">
        <f aca="false">+D22/UnderlyingPrice-1</f>
        <v>-0.31578947368421</v>
      </c>
      <c r="F22" s="64" t="n">
        <f aca="false">+D22*(1+$P$8)/UnderlyingPrice-1</f>
        <v>-0.315447368421052</v>
      </c>
      <c r="G22" s="64" t="n">
        <f aca="false">+D22*(1-$P$8)/UnderlyingPrice-1</f>
        <v>-0.316131578947368</v>
      </c>
      <c r="H22" s="64" t="n">
        <f aca="true">OFFSET(VolSkewCoef,0,impvol_order-2)+OFFSET(VolSkewCoef,1,impvol_order-2)*F22+OFFSET(VolSkewCoef,2,impvol_order-2)*F22^2+IF(impvol_order&gt;2,OFFSET(VolSkewCoef,3,impvol_order-2)*F22^3,0)+IF(impvol_order&gt;3,OFFSET(VolSkewCoef,4,impvol_order-2)*F22^4,0)+IF(impvol_order&gt;4,OFFSET(VolSkewCoef,5,impvol_order-2)*F22^5,0)</f>
        <v>0.525827991320263</v>
      </c>
      <c r="I22" s="64" t="n">
        <f aca="true">OFFSET(VolSkewCoef,0,impvol_order-2)+OFFSET(VolSkewCoef,1,impvol_order-2)*E22+OFFSET(VolSkewCoef,2,impvol_order-2)*E22^2+IF(impvol_order&gt;2,OFFSET(VolSkewCoef,3,impvol_order-2)*E22^3,0)+IF(impvol_order&gt;3,OFFSET(VolSkewCoef,4,impvol_order-2)*E22^4,0)+IF(impvol_order&gt;4,OFFSET(VolSkewCoef,5,impvol_order-2)*E22^5,0)</f>
        <v>0.525869438985275</v>
      </c>
      <c r="J22" s="64" t="n">
        <f aca="true">OFFSET(VolSkewCoef,0,impvol_order-2)+OFFSET(VolSkewCoef,1,impvol_order-2)*G22+OFFSET(VolSkewCoef,2,impvol_order-2)*G22^2+IF(impvol_order&gt;2,OFFSET(VolSkewCoef,3,impvol_order-2)*G22^3,0)+IF(impvol_order&gt;3,OFFSET(VolSkewCoef,4,impvol_order-2)*G22^4,0)+IF(impvol_order&gt;4,OFFSET(VolSkewCoef,5,impvol_order-2)*G22^5,0)</f>
        <v>0.525910969243955</v>
      </c>
      <c r="L22" s="79" t="e">
        <f aca="false">EURO(UnderlyingPrice,$D22,IntRate,Yield,$I22,$D$6,L$12,0)</f>
        <v>#NAME?</v>
      </c>
      <c r="M22" s="79" t="e">
        <f aca="false">EURO(UnderlyingPrice,$D22,IntRate,Yield,$I22,$D$6,M$12,0)</f>
        <v>#NAME?</v>
      </c>
      <c r="O22" s="79" t="e">
        <f aca="false">EURO(UnderlyingPrice,$D22*(1+$P$8),IntRate,Yield,$H22,Expiry-Today,O$12,0)</f>
        <v>#NAME?</v>
      </c>
      <c r="P22" s="79" t="e">
        <f aca="false">EURO(UnderlyingPrice,$D22*(1+$P$8),IntRate,Yield,$H22,Expiry-Today,P$12,0)</f>
        <v>#NAME?</v>
      </c>
      <c r="R22" s="79" t="e">
        <f aca="false">EURO(UnderlyingPrice,$D22*(1-$P$8),IntRate,Yield,$J22,Expiry-Today,R$12,0)</f>
        <v>#NAME?</v>
      </c>
      <c r="S22" s="79" t="e">
        <f aca="false">EURO(UnderlyingPrice,$D22*(1-$P$8),IntRate,Yield,$J22,Expiry-Today,S$12,0)</f>
        <v>#NAME?</v>
      </c>
      <c r="U22" s="80" t="e">
        <f aca="false">(O22+R22-2*L22)/($P$8*D22)^2</f>
        <v>#NAME?</v>
      </c>
      <c r="V22" s="80"/>
      <c r="W22" s="81" t="e">
        <f aca="false">U22/$D$9</f>
        <v>#NAME?</v>
      </c>
      <c r="X22" s="78"/>
      <c r="Z22" s="80" t="n">
        <f aca="false">(1/(D22*SQRT(2*PI()*T/365.25*ATMImpVol^2)))</f>
        <v>0.366950626068622</v>
      </c>
      <c r="AA22" s="80" t="n">
        <f aca="false">LN(D22/UnderlyingPrice)+0.5*T/365.25*ATMImpVol^2</f>
        <v>-0.325711230692465</v>
      </c>
      <c r="AB22" s="80" t="n">
        <f aca="false">-(AA22^2)</f>
        <v>-0.1060878057992</v>
      </c>
      <c r="AC22" s="80" t="n">
        <f aca="false">AB22/(2*T/365.25*ATMImpVol^2)</f>
        <v>-0.49317115946563</v>
      </c>
      <c r="AD22" s="82" t="n">
        <f aca="false">EXP(AC22)</f>
        <v>0.610686735304886</v>
      </c>
      <c r="AE22" s="82" t="n">
        <f aca="false">AD22*Z22</f>
        <v>0.224091879851931</v>
      </c>
      <c r="AF22" s="82"/>
      <c r="AG22" s="83" t="n">
        <f aca="false">(LN($D22/UnderlyingPrice)+0.5*ATMImpVol^2*(T/365.25))/(ATMImpVol*SQRT(T/365.25))</f>
        <v>-0.993147682336953</v>
      </c>
      <c r="AH22" s="83" t="n">
        <f aca="false">(LN(($D22*(1+$P$8))/UnderlyingPrice)+0.5*ATMImpVol^2*(T/365.25))/(ATMImpVol*SQRT(T/365.25))</f>
        <v>-0.991623480245369</v>
      </c>
      <c r="AI22" s="83" t="n">
        <f aca="false">(LN($D22*(1-$P$8)/UnderlyingPrice)+0.5*ATMImpVol^2*(T/365.25))/(ATMImpVol*SQRT(T/365.25))</f>
        <v>-0.994672646720187</v>
      </c>
      <c r="AJ22" s="83"/>
      <c r="AK22" s="83" t="e">
        <f aca="false">W22/(AH22-AI22)*(D22*2*$P$8)</f>
        <v>#NAME?</v>
      </c>
      <c r="AL22" s="83"/>
      <c r="AM22" s="84" t="n">
        <v>-2.2</v>
      </c>
      <c r="AN22" s="85" t="n">
        <f aca="false">NORMDIST(AM22,0,1,FALSE())</f>
        <v>0.0354745928462314</v>
      </c>
      <c r="AP22" s="77"/>
      <c r="AQ22" s="51" t="s">
        <v>54</v>
      </c>
      <c r="AR22" s="51" t="s">
        <v>53</v>
      </c>
      <c r="AX22" s="87" t="n">
        <f aca="true">OFFSET(ENAVolCoef,0,impvol_order-2)+OFFSET(ENAVolCoef,1,impvol_order-2)*E22+OFFSET(ENAVolCoef,2,impvol_order-2)*E22^2+IF(impvol_order&gt;2,OFFSET(ENAVolCoef,3,impvol_order-2)*E22^3,0)+IF(impvol_order&gt;3,OFFSET(ENAVolCoef,4,impvol_order-2)*E22^4,0)+IF(impvol_order&gt;4,OFFSET(ENAVolCoef,5,impvol_order-2)*E22^5,0)</f>
        <v>0.498721538999854</v>
      </c>
      <c r="AY22" s="87" t="n">
        <f aca="true">OFFSET(ENAVolCoef,0,impvol_order-2)+OFFSET(ENAVolCoef,1,impvol_order-2)*F22+OFFSET(ENAVolCoef,2,impvol_order-2)*F22^2+IF(impvol_order&gt;2,OFFSET(ENAVolCoef,3,impvol_order-2)*F22^3,0)+IF(impvol_order&gt;3,OFFSET(ENAVolCoef,4,impvol_order-2)*F22^4,0)+IF(impvol_order&gt;4,OFFSET(ENAVolCoef,5,impvol_order-2)*F22^5,0)</f>
        <v>0.498689648389956</v>
      </c>
      <c r="AZ22" s="87" t="n">
        <f aca="true">OFFSET(ENAVolCoef,0,impvol_order-2)+OFFSET(ENAVolCoef,1,impvol_order-2)*G22+OFFSET(ENAVolCoef,2,impvol_order-2)*G22^2+IF(impvol_order&gt;2,OFFSET(ENAVolCoef,3,impvol_order-2)*G22^3,0)+IF(impvol_order&gt;3,OFFSET(ENAVolCoef,4,impvol_order-2)*G22^4,0)+IF(impvol_order&gt;4,OFFSET(ENAVolCoef,5,impvol_order-2)*G22^5,0)</f>
        <v>0.498753489734108</v>
      </c>
      <c r="BB22" s="48" t="e">
        <f aca="false">EURO(UnderlyingPrice,$D22,IntRate,Yield,AX22,$D$6,1,0)</f>
        <v>#NAME?</v>
      </c>
      <c r="BC22" s="48" t="e">
        <f aca="false">EURO(UnderlyingPrice,$D22*(1+$P$8),IntRate,Yield,AY22,$D$6,1,0)</f>
        <v>#NAME?</v>
      </c>
      <c r="BD22" s="48" t="e">
        <f aca="false">EURO(UnderlyingPrice,$D22*(1-$P$8),IntRate,Yield,AZ22,$D$6,1,0)</f>
        <v>#NAME?</v>
      </c>
      <c r="BF22" s="80" t="e">
        <f aca="false">(BC22+BD22-2*BB22)/($P$8*$D22)^2</f>
        <v>#NAME?</v>
      </c>
      <c r="BG22" s="48" t="e">
        <f aca="false">+BF22/$D$9</f>
        <v>#NAME?</v>
      </c>
      <c r="BI22" s="79" t="e">
        <f aca="false">+BB22-L22</f>
        <v>#NAME?</v>
      </c>
      <c r="BJ22" s="65" t="e">
        <f aca="false">+BI22/BB22</f>
        <v>#NAME?</v>
      </c>
    </row>
    <row r="23" customFormat="false" ht="11.25" hidden="false" customHeight="false" outlineLevel="0" collapsed="false">
      <c r="C23" s="77" t="n">
        <v>10</v>
      </c>
      <c r="D23" s="78" t="n">
        <f aca="true">D22+(ROUNDUP(MAX(StrikeRange),1)-ROUNDDOWN(MIN(StrikeRange),1))/100</f>
        <v>3.35</v>
      </c>
      <c r="E23" s="64" t="n">
        <f aca="false">+D23/UnderlyingPrice-1</f>
        <v>-0.308565531475748</v>
      </c>
      <c r="F23" s="64" t="n">
        <f aca="false">+D23*(1+$P$8)/UnderlyingPrice-1</f>
        <v>-0.308219814241486</v>
      </c>
      <c r="G23" s="64" t="n">
        <f aca="false">+D23*(1-$P$8)/UnderlyingPrice-1</f>
        <v>-0.30891124871001</v>
      </c>
      <c r="H23" s="64" t="n">
        <f aca="true">OFFSET(VolSkewCoef,0,impvol_order-2)+OFFSET(VolSkewCoef,1,impvol_order-2)*F23+OFFSET(VolSkewCoef,2,impvol_order-2)*F23^2+IF(impvol_order&gt;2,OFFSET(VolSkewCoef,3,impvol_order-2)*F23^3,0)+IF(impvol_order&gt;3,OFFSET(VolSkewCoef,4,impvol_order-2)*F23^4,0)+IF(impvol_order&gt;4,OFFSET(VolSkewCoef,5,impvol_order-2)*F23^5,0)</f>
        <v>0.524971570867585</v>
      </c>
      <c r="I23" s="64" t="n">
        <f aca="true">OFFSET(VolSkewCoef,0,impvol_order-2)+OFFSET(VolSkewCoef,1,impvol_order-2)*E23+OFFSET(VolSkewCoef,2,impvol_order-2)*E23^2+IF(impvol_order&gt;2,OFFSET(VolSkewCoef,3,impvol_order-2)*E23^3,0)+IF(impvol_order&gt;3,OFFSET(VolSkewCoef,4,impvol_order-2)*E23^4,0)+IF(impvol_order&gt;4,OFFSET(VolSkewCoef,5,impvol_order-2)*E23^5,0)</f>
        <v>0.525011702788793</v>
      </c>
      <c r="J23" s="64" t="n">
        <f aca="true">OFFSET(VolSkewCoef,0,impvol_order-2)+OFFSET(VolSkewCoef,1,impvol_order-2)*G23+OFFSET(VolSkewCoef,2,impvol_order-2)*G23^2+IF(impvol_order&gt;2,OFFSET(VolSkewCoef,3,impvol_order-2)*G23^3,0)+IF(impvol_order&gt;3,OFFSET(VolSkewCoef,4,impvol_order-2)*G23^4,0)+IF(impvol_order&gt;4,OFFSET(VolSkewCoef,5,impvol_order-2)*G23^5,0)</f>
        <v>0.525051918183461</v>
      </c>
      <c r="L23" s="79" t="e">
        <f aca="false">EURO(UnderlyingPrice,$D23,IntRate,Yield,$I23,$D$6,L$12,0)</f>
        <v>#NAME?</v>
      </c>
      <c r="M23" s="79" t="e">
        <f aca="false">EURO(UnderlyingPrice,$D23,IntRate,Yield,$I23,$D$6,M$12,0)</f>
        <v>#NAME?</v>
      </c>
      <c r="O23" s="79" t="e">
        <f aca="false">EURO(UnderlyingPrice,$D23*(1+$P$8),IntRate,Yield,$H23,Expiry-Today,O$12,0)</f>
        <v>#NAME?</v>
      </c>
      <c r="P23" s="79" t="e">
        <f aca="false">EURO(UnderlyingPrice,$D23*(1+$P$8),IntRate,Yield,$H23,Expiry-Today,P$12,0)</f>
        <v>#NAME?</v>
      </c>
      <c r="R23" s="79" t="e">
        <f aca="false">EURO(UnderlyingPrice,$D23*(1-$P$8),IntRate,Yield,$J23,Expiry-Today,R$12,0)</f>
        <v>#NAME?</v>
      </c>
      <c r="S23" s="79" t="e">
        <f aca="false">EURO(UnderlyingPrice,$D23*(1-$P$8),IntRate,Yield,$J23,Expiry-Today,S$12,0)</f>
        <v>#NAME?</v>
      </c>
      <c r="U23" s="80" t="e">
        <f aca="false">(O23+R23-2*L23)/($P$8*D23)^2</f>
        <v>#NAME?</v>
      </c>
      <c r="V23" s="80"/>
      <c r="W23" s="81" t="e">
        <f aca="false">U23/$D$9</f>
        <v>#NAME?</v>
      </c>
      <c r="X23" s="78"/>
      <c r="Z23" s="80" t="n">
        <f aca="false">(1/(D23*SQRT(2*PI()*T/365.25*ATMImpVol^2)))</f>
        <v>0.363116813557457</v>
      </c>
      <c r="AA23" s="80" t="n">
        <f aca="false">LN(D23/UnderlyingPrice)+0.5*T/365.25*ATMImpVol^2</f>
        <v>-0.315208508493316</v>
      </c>
      <c r="AB23" s="80" t="n">
        <f aca="false">-(AA23^2)</f>
        <v>-0.0993564038265809</v>
      </c>
      <c r="AC23" s="80" t="n">
        <f aca="false">AB23/(2*T/365.25*ATMImpVol^2)</f>
        <v>-0.461878841836313</v>
      </c>
      <c r="AD23" s="82" t="n">
        <f aca="false">EXP(AC23)</f>
        <v>0.630098676916032</v>
      </c>
      <c r="AE23" s="82" t="n">
        <f aca="false">AD23*Z23</f>
        <v>0.228799423788519</v>
      </c>
      <c r="AF23" s="82"/>
      <c r="AG23" s="83" t="n">
        <f aca="false">(LN($D23/UnderlyingPrice)+0.5*ATMImpVol^2*(T/365.25))/(ATMImpVol*SQRT(T/365.25))</f>
        <v>-0.96112313658169</v>
      </c>
      <c r="AH23" s="83" t="n">
        <f aca="false">(LN(($D23*(1+$P$8))/UnderlyingPrice)+0.5*ATMImpVol^2*(T/365.25))/(ATMImpVol*SQRT(T/365.25))</f>
        <v>-0.959598934490106</v>
      </c>
      <c r="AI23" s="83" t="n">
        <f aca="false">(LN($D23*(1-$P$8)/UnderlyingPrice)+0.5*ATMImpVol^2*(T/365.25))/(ATMImpVol*SQRT(T/365.25))</f>
        <v>-0.962648100964924</v>
      </c>
      <c r="AJ23" s="83"/>
      <c r="AK23" s="83" t="e">
        <f aca="false">W23/(AH23-AI23)*(D23*2*$P$8)</f>
        <v>#NAME?</v>
      </c>
      <c r="AL23" s="83"/>
      <c r="AM23" s="84" t="n">
        <v>-2.1</v>
      </c>
      <c r="AN23" s="85" t="n">
        <f aca="false">NORMDIST(AM23,0,1,FALSE())</f>
        <v>0.0439835959804272</v>
      </c>
      <c r="AP23" s="51" t="s">
        <v>115</v>
      </c>
      <c r="AQ23" s="94" t="n">
        <f aca="false">2*PI()</f>
        <v>6.28318530717959</v>
      </c>
      <c r="AR23" s="54" t="n">
        <f aca="false">2*PI()</f>
        <v>6.28318530717959</v>
      </c>
      <c r="AX23" s="87" t="n">
        <f aca="true">OFFSET(ENAVolCoef,0,impvol_order-2)+OFFSET(ENAVolCoef,1,impvol_order-2)*E23+OFFSET(ENAVolCoef,2,impvol_order-2)*E23^2+IF(impvol_order&gt;2,OFFSET(ENAVolCoef,3,impvol_order-2)*E23^3,0)+IF(impvol_order&gt;3,OFFSET(ENAVolCoef,4,impvol_order-2)*E23^4,0)+IF(impvol_order&gt;4,OFFSET(ENAVolCoef,5,impvol_order-2)*E23^5,0)</f>
        <v>0.498060863406988</v>
      </c>
      <c r="AY23" s="87" t="n">
        <f aca="true">OFFSET(ENAVolCoef,0,impvol_order-2)+OFFSET(ENAVolCoef,1,impvol_order-2)*F23+OFFSET(ENAVolCoef,2,impvol_order-2)*F23^2+IF(impvol_order&gt;2,OFFSET(ENAVolCoef,3,impvol_order-2)*F23^3,0)+IF(impvol_order&gt;3,OFFSET(ENAVolCoef,4,impvol_order-2)*F23^4,0)+IF(impvol_order&gt;4,OFFSET(ENAVolCoef,5,impvol_order-2)*F23^5,0)</f>
        <v>0.498029913575572</v>
      </c>
      <c r="AZ23" s="87" t="n">
        <f aca="true">OFFSET(ENAVolCoef,0,impvol_order-2)+OFFSET(ENAVolCoef,1,impvol_order-2)*G23+OFFSET(ENAVolCoef,2,impvol_order-2)*G23^2+IF(impvol_order&gt;2,OFFSET(ENAVolCoef,3,impvol_order-2)*G23^3,0)+IF(impvol_order&gt;3,OFFSET(ENAVolCoef,4,impvol_order-2)*G23^4,0)+IF(impvol_order&gt;4,OFFSET(ENAVolCoef,5,impvol_order-2)*G23^5,0)</f>
        <v>0.498091874105832</v>
      </c>
      <c r="BB23" s="48" t="e">
        <f aca="false">EURO(UnderlyingPrice,$D23,IntRate,Yield,AX23,$D$6,1,0)</f>
        <v>#NAME?</v>
      </c>
      <c r="BC23" s="48" t="e">
        <f aca="false">EURO(UnderlyingPrice,$D23*(1+$P$8),IntRate,Yield,AY23,$D$6,1,0)</f>
        <v>#NAME?</v>
      </c>
      <c r="BD23" s="48" t="e">
        <f aca="false">EURO(UnderlyingPrice,$D23*(1-$P$8),IntRate,Yield,AZ23,$D$6,1,0)</f>
        <v>#NAME?</v>
      </c>
      <c r="BF23" s="80" t="e">
        <f aca="false">(BC23+BD23-2*BB23)/($P$8*$D23)^2</f>
        <v>#NAME?</v>
      </c>
      <c r="BG23" s="48" t="e">
        <f aca="false">+BF23/$D$9</f>
        <v>#NAME?</v>
      </c>
      <c r="BI23" s="79" t="e">
        <f aca="false">+BB23-L23</f>
        <v>#NAME?</v>
      </c>
      <c r="BJ23" s="65" t="e">
        <f aca="false">+BI23/BB23</f>
        <v>#NAME?</v>
      </c>
    </row>
    <row r="24" customFormat="false" ht="11.25" hidden="false" customHeight="false" outlineLevel="0" collapsed="false">
      <c r="C24" s="77" t="n">
        <v>11</v>
      </c>
      <c r="D24" s="78" t="n">
        <f aca="true">D23+(ROUNDUP(MAX(StrikeRange),1)-ROUNDDOWN(MIN(StrikeRange),1))/100</f>
        <v>3.385</v>
      </c>
      <c r="E24" s="64" t="n">
        <f aca="false">+D24/UnderlyingPrice-1</f>
        <v>-0.301341589267286</v>
      </c>
      <c r="F24" s="64" t="n">
        <f aca="false">+D24*(1+$P$8)/UnderlyingPrice-1</f>
        <v>-0.300992260061919</v>
      </c>
      <c r="G24" s="64" t="n">
        <f aca="false">+D24*(1-$P$8)/UnderlyingPrice-1</f>
        <v>-0.301690918472652</v>
      </c>
      <c r="H24" s="64" t="n">
        <f aca="true">OFFSET(VolSkewCoef,0,impvol_order-2)+OFFSET(VolSkewCoef,1,impvol_order-2)*F24+OFFSET(VolSkewCoef,2,impvol_order-2)*F24^2+IF(impvol_order&gt;2,OFFSET(VolSkewCoef,3,impvol_order-2)*F24^3,0)+IF(impvol_order&gt;3,OFFSET(VolSkewCoef,4,impvol_order-2)*F24^4,0)+IF(impvol_order&gt;4,OFFSET(VolSkewCoef,5,impvol_order-2)*F24^5,0)</f>
        <v>0.524151615020345</v>
      </c>
      <c r="I24" s="64" t="n">
        <f aca="true">OFFSET(VolSkewCoef,0,impvol_order-2)+OFFSET(VolSkewCoef,1,impvol_order-2)*E24+OFFSET(VolSkewCoef,2,impvol_order-2)*E24^2+IF(impvol_order&gt;2,OFFSET(VolSkewCoef,3,impvol_order-2)*E24^3,0)+IF(impvol_order&gt;3,OFFSET(VolSkewCoef,4,impvol_order-2)*E24^4,0)+IF(impvol_order&gt;4,OFFSET(VolSkewCoef,5,impvol_order-2)*E24^5,0)</f>
        <v>0.524190413012209</v>
      </c>
      <c r="J24" s="64" t="n">
        <f aca="true">OFFSET(VolSkewCoef,0,impvol_order-2)+OFFSET(VolSkewCoef,1,impvol_order-2)*G24+OFFSET(VolSkewCoef,2,impvol_order-2)*G24^2+IF(impvol_order&gt;2,OFFSET(VolSkewCoef,3,impvol_order-2)*G24^3,0)+IF(impvol_order&gt;3,OFFSET(VolSkewCoef,4,impvol_order-2)*G24^4,0)+IF(impvol_order&gt;4,OFFSET(VolSkewCoef,5,impvol_order-2)*G24^5,0)</f>
        <v>0.524229295339043</v>
      </c>
      <c r="L24" s="79" t="e">
        <f aca="false">EURO(UnderlyingPrice,$D24,IntRate,Yield,$I24,$D$6,L$12,0)</f>
        <v>#NAME?</v>
      </c>
      <c r="M24" s="79" t="e">
        <f aca="false">EURO(UnderlyingPrice,$D24,IntRate,Yield,$I24,$D$6,M$12,0)</f>
        <v>#NAME?</v>
      </c>
      <c r="O24" s="79" t="e">
        <f aca="false">EURO(UnderlyingPrice,$D24*(1+$P$8),IntRate,Yield,$H24,Expiry-Today,O$12,0)</f>
        <v>#NAME?</v>
      </c>
      <c r="P24" s="79" t="e">
        <f aca="false">EURO(UnderlyingPrice,$D24*(1+$P$8),IntRate,Yield,$H24,Expiry-Today,P$12,0)</f>
        <v>#NAME?</v>
      </c>
      <c r="R24" s="79" t="e">
        <f aca="false">EURO(UnderlyingPrice,$D24*(1-$P$8),IntRate,Yield,$J24,Expiry-Today,R$12,0)</f>
        <v>#NAME?</v>
      </c>
      <c r="S24" s="79" t="e">
        <f aca="false">EURO(UnderlyingPrice,$D24*(1-$P$8),IntRate,Yield,$J24,Expiry-Today,S$12,0)</f>
        <v>#NAME?</v>
      </c>
      <c r="U24" s="80" t="e">
        <f aca="false">(O24+R24-2*L24)/($P$8*D24)^2</f>
        <v>#NAME?</v>
      </c>
      <c r="V24" s="80"/>
      <c r="W24" s="81" t="e">
        <f aca="false">U24/$D$9</f>
        <v>#NAME?</v>
      </c>
      <c r="X24" s="78"/>
      <c r="Z24" s="80" t="n">
        <f aca="false">(1/(D24*SQRT(2*PI()*T/365.25*ATMImpVol^2)))</f>
        <v>0.359362282250364</v>
      </c>
      <c r="AA24" s="80" t="n">
        <f aca="false">LN(D24/UnderlyingPrice)+0.5*T/365.25*ATMImpVol^2</f>
        <v>-0.304814947966053</v>
      </c>
      <c r="AB24" s="80" t="n">
        <f aca="false">-(AA24^2)</f>
        <v>-0.0929121525035474</v>
      </c>
      <c r="AC24" s="80" t="n">
        <f aca="false">AB24/(2*T/365.25*ATMImpVol^2)</f>
        <v>-0.431921403533896</v>
      </c>
      <c r="AD24" s="82" t="n">
        <f aca="false">EXP(AC24)</f>
        <v>0.649260404253184</v>
      </c>
      <c r="AE24" s="82" t="n">
        <f aca="false">AD24*Z24</f>
        <v>0.233319700647218</v>
      </c>
      <c r="AF24" s="82"/>
      <c r="AG24" s="83" t="n">
        <f aca="false">(LN($D24/UnderlyingPrice)+0.5*ATMImpVol^2*(T/365.25))/(ATMImpVol*SQRT(T/365.25))</f>
        <v>-0.929431442908939</v>
      </c>
      <c r="AH24" s="83" t="n">
        <f aca="false">(LN(($D24*(1+$P$8))/UnderlyingPrice)+0.5*ATMImpVol^2*(T/365.25))/(ATMImpVol*SQRT(T/365.25))</f>
        <v>-0.927907240817355</v>
      </c>
      <c r="AI24" s="83" t="n">
        <f aca="false">(LN($D24*(1-$P$8)/UnderlyingPrice)+0.5*ATMImpVol^2*(T/365.25))/(ATMImpVol*SQRT(T/365.25))</f>
        <v>-0.930956407292173</v>
      </c>
      <c r="AJ24" s="83"/>
      <c r="AK24" s="83" t="e">
        <f aca="false">W24/(AH24-AI24)*(D24*2*$P$8)</f>
        <v>#NAME?</v>
      </c>
      <c r="AL24" s="83"/>
      <c r="AM24" s="84" t="n">
        <v>-2</v>
      </c>
      <c r="AN24" s="85" t="n">
        <f aca="false">NORMDIST(AM24,0,1,FALSE())</f>
        <v>0.0539909665131881</v>
      </c>
      <c r="AP24" s="51" t="s">
        <v>81</v>
      </c>
      <c r="AQ24" s="94" t="n">
        <f aca="false">AG13</f>
        <v>-1.29759270502319</v>
      </c>
      <c r="AR24" s="54" t="n">
        <f aca="false">AG113</f>
        <v>1.05999178438145</v>
      </c>
      <c r="AX24" s="87" t="n">
        <f aca="true">OFFSET(ENAVolCoef,0,impvol_order-2)+OFFSET(ENAVolCoef,1,impvol_order-2)*E24+OFFSET(ENAVolCoef,2,impvol_order-2)*E24^2+IF(impvol_order&gt;2,OFFSET(ENAVolCoef,3,impvol_order-2)*E24^3,0)+IF(impvol_order&gt;3,OFFSET(ENAVolCoef,4,impvol_order-2)*E24^4,0)+IF(impvol_order&gt;4,OFFSET(ENAVolCoef,5,impvol_order-2)*E24^5,0)</f>
        <v>0.497426763924467</v>
      </c>
      <c r="AY24" s="87" t="n">
        <f aca="true">OFFSET(ENAVolCoef,0,impvol_order-2)+OFFSET(ENAVolCoef,1,impvol_order-2)*F24+OFFSET(ENAVolCoef,2,impvol_order-2)*F24^2+IF(impvol_order&gt;2,OFFSET(ENAVolCoef,3,impvol_order-2)*F24^3,0)+IF(impvol_order&gt;3,OFFSET(ENAVolCoef,4,impvol_order-2)*F24^4,0)+IF(impvol_order&gt;4,OFFSET(ENAVolCoef,5,impvol_order-2)*F24^5,0)</f>
        <v>0.497396770301153</v>
      </c>
      <c r="AZ24" s="87" t="n">
        <f aca="true">OFFSET(ENAVolCoef,0,impvol_order-2)+OFFSET(ENAVolCoef,1,impvol_order-2)*G24+OFFSET(ENAVolCoef,2,impvol_order-2)*G24^2+IF(impvol_order&gt;2,OFFSET(ENAVolCoef,3,impvol_order-2)*G24^3,0)+IF(impvol_order&gt;3,OFFSET(ENAVolCoef,4,impvol_order-2)*G24^4,0)+IF(impvol_order&gt;4,OFFSET(ENAVolCoef,5,impvol_order-2)*G24^5,0)</f>
        <v>0.497456819149287</v>
      </c>
      <c r="BB24" s="48" t="e">
        <f aca="false">EURO(UnderlyingPrice,$D24,IntRate,Yield,AX24,$D$6,1,0)</f>
        <v>#NAME?</v>
      </c>
      <c r="BC24" s="48" t="e">
        <f aca="false">EURO(UnderlyingPrice,$D24*(1+$P$8),IntRate,Yield,AY24,$D$6,1,0)</f>
        <v>#NAME?</v>
      </c>
      <c r="BD24" s="48" t="e">
        <f aca="false">EURO(UnderlyingPrice,$D24*(1-$P$8),IntRate,Yield,AZ24,$D$6,1,0)</f>
        <v>#NAME?</v>
      </c>
      <c r="BF24" s="80" t="e">
        <f aca="false">(BC24+BD24-2*BB24)/($P$8*$D24)^2</f>
        <v>#NAME?</v>
      </c>
      <c r="BG24" s="48" t="e">
        <f aca="false">+BF24/$D$9</f>
        <v>#NAME?</v>
      </c>
      <c r="BI24" s="79" t="e">
        <f aca="false">+BB24-L24</f>
        <v>#NAME?</v>
      </c>
      <c r="BJ24" s="65" t="e">
        <f aca="false">+BI24/BB24</f>
        <v>#NAME?</v>
      </c>
    </row>
    <row r="25" customFormat="false" ht="11.25" hidden="false" customHeight="false" outlineLevel="0" collapsed="false">
      <c r="C25" s="77" t="n">
        <v>12</v>
      </c>
      <c r="D25" s="78" t="n">
        <f aca="true">D24+(ROUNDUP(MAX(StrikeRange),1)-ROUNDDOWN(MIN(StrikeRange),1))/100</f>
        <v>3.42</v>
      </c>
      <c r="E25" s="64" t="n">
        <f aca="false">+D25/UnderlyingPrice-1</f>
        <v>-0.294117647058823</v>
      </c>
      <c r="F25" s="64" t="n">
        <f aca="false">+D25*(1+$P$8)/UnderlyingPrice-1</f>
        <v>-0.293764705882353</v>
      </c>
      <c r="G25" s="64" t="n">
        <f aca="false">+D25*(1-$P$8)/UnderlyingPrice-1</f>
        <v>-0.294470588235294</v>
      </c>
      <c r="H25" s="64" t="n">
        <f aca="true">OFFSET(VolSkewCoef,0,impvol_order-2)+OFFSET(VolSkewCoef,1,impvol_order-2)*F25+OFFSET(VolSkewCoef,2,impvol_order-2)*F25^2+IF(impvol_order&gt;2,OFFSET(VolSkewCoef,3,impvol_order-2)*F25^3,0)+IF(impvol_order&gt;3,OFFSET(VolSkewCoef,4,impvol_order-2)*F25^4,0)+IF(impvol_order&gt;4,OFFSET(VolSkewCoef,5,impvol_order-2)*F25^5,0)</f>
        <v>0.523367741826668</v>
      </c>
      <c r="I25" s="64" t="n">
        <f aca="true">OFFSET(VolSkewCoef,0,impvol_order-2)+OFFSET(VolSkewCoef,1,impvol_order-2)*E25+OFFSET(VolSkewCoef,2,impvol_order-2)*E25^2+IF(impvol_order&gt;2,OFFSET(VolSkewCoef,3,impvol_order-2)*E25^3,0)+IF(impvol_order&gt;3,OFFSET(VolSkewCoef,4,impvol_order-2)*E25^4,0)+IF(impvol_order&gt;4,OFFSET(VolSkewCoef,5,impvol_order-2)*E25^5,0)</f>
        <v>0.523405188276002</v>
      </c>
      <c r="J25" s="64" t="n">
        <f aca="true">OFFSET(VolSkewCoef,0,impvol_order-2)+OFFSET(VolSkewCoef,1,impvol_order-2)*G25+OFFSET(VolSkewCoef,2,impvol_order-2)*G25^2+IF(impvol_order&gt;2,OFFSET(VolSkewCoef,3,impvol_order-2)*G25^3,0)+IF(impvol_order&gt;3,OFFSET(VolSkewCoef,4,impvol_order-2)*G25^4,0)+IF(impvol_order&gt;4,OFFSET(VolSkewCoef,5,impvol_order-2)*G25^5,0)</f>
        <v>0.523442719902963</v>
      </c>
      <c r="L25" s="79" t="e">
        <f aca="false">EURO(UnderlyingPrice,$D25,IntRate,Yield,$I25,$D$6,L$12,0)</f>
        <v>#NAME?</v>
      </c>
      <c r="M25" s="79" t="e">
        <f aca="false">EURO(UnderlyingPrice,$D25,IntRate,Yield,$I25,$D$6,M$12,0)</f>
        <v>#NAME?</v>
      </c>
      <c r="O25" s="79" t="e">
        <f aca="false">EURO(UnderlyingPrice,$D25*(1+$P$8),IntRate,Yield,$H25,Expiry-Today,O$12,0)</f>
        <v>#NAME?</v>
      </c>
      <c r="P25" s="79" t="e">
        <f aca="false">EURO(UnderlyingPrice,$D25*(1+$P$8),IntRate,Yield,$H25,Expiry-Today,P$12,0)</f>
        <v>#NAME?</v>
      </c>
      <c r="R25" s="79" t="e">
        <f aca="false">EURO(UnderlyingPrice,$D25*(1-$P$8),IntRate,Yield,$J25,Expiry-Today,R$12,0)</f>
        <v>#NAME?</v>
      </c>
      <c r="S25" s="79" t="e">
        <f aca="false">EURO(UnderlyingPrice,$D25*(1-$P$8),IntRate,Yield,$J25,Expiry-Today,S$12,0)</f>
        <v>#NAME?</v>
      </c>
      <c r="U25" s="80" t="e">
        <f aca="false">(O25+R25-2*L25)/($P$8*D25)^2</f>
        <v>#NAME?</v>
      </c>
      <c r="V25" s="80"/>
      <c r="W25" s="81" t="e">
        <f aca="false">U25/$D$9</f>
        <v>#NAME?</v>
      </c>
      <c r="X25" s="78"/>
      <c r="Z25" s="80" t="n">
        <f aca="false">(1/(D25*SQRT(2*PI()*T/365.25*ATMImpVol^2)))</f>
        <v>0.355684598075287</v>
      </c>
      <c r="AA25" s="80" t="n">
        <f aca="false">LN(D25/UnderlyingPrice)+0.5*T/365.25*ATMImpVol^2</f>
        <v>-0.294528303255777</v>
      </c>
      <c r="AB25" s="80" t="n">
        <f aca="false">-(AA25^2)</f>
        <v>-0.0867469214187271</v>
      </c>
      <c r="AC25" s="80" t="n">
        <f aca="false">AB25/(2*T/365.25*ATMImpVol^2)</f>
        <v>-0.40326104865551</v>
      </c>
      <c r="AD25" s="82" t="n">
        <f aca="false">EXP(AC25)</f>
        <v>0.668137660118122</v>
      </c>
      <c r="AE25" s="82" t="n">
        <f aca="false">AD25*Z25</f>
        <v>0.237646275098077</v>
      </c>
      <c r="AF25" s="82"/>
      <c r="AG25" s="83" t="n">
        <f aca="false">(LN($D25/UnderlyingPrice)+0.5*ATMImpVol^2*(T/365.25))/(ATMImpVol*SQRT(T/365.25))</f>
        <v>-0.898065753333808</v>
      </c>
      <c r="AH25" s="83" t="n">
        <f aca="false">(LN(($D25*(1+$P$8))/UnderlyingPrice)+0.5*ATMImpVol^2*(T/365.25))/(ATMImpVol*SQRT(T/365.25))</f>
        <v>-0.896541551242224</v>
      </c>
      <c r="AI25" s="83" t="n">
        <f aca="false">(LN($D25*(1-$P$8)/UnderlyingPrice)+0.5*ATMImpVol^2*(T/365.25))/(ATMImpVol*SQRT(T/365.25))</f>
        <v>-0.899590717717042</v>
      </c>
      <c r="AJ25" s="83"/>
      <c r="AK25" s="83" t="e">
        <f aca="false">W25/(AH25-AI25)*(D25*2*$P$8)</f>
        <v>#NAME?</v>
      </c>
      <c r="AL25" s="83"/>
      <c r="AM25" s="84" t="n">
        <v>-1.9</v>
      </c>
      <c r="AN25" s="85" t="n">
        <f aca="false">NORMDIST(AM25,0,1,FALSE())</f>
        <v>0.0656158147746766</v>
      </c>
      <c r="AP25" s="51" t="s">
        <v>116</v>
      </c>
      <c r="AQ25" s="94" t="n">
        <f aca="false">NORMSDIST(AG13/Gamma)</f>
        <v>0.499999999999647</v>
      </c>
      <c r="AR25" s="54" t="n">
        <f aca="false">NORMSDIST(AG113/Gamma)</f>
        <v>0.500000000000288</v>
      </c>
      <c r="AX25" s="87" t="n">
        <f aca="true">OFFSET(ENAVolCoef,0,impvol_order-2)+OFFSET(ENAVolCoef,1,impvol_order-2)*E25+OFFSET(ENAVolCoef,2,impvol_order-2)*E25^2+IF(impvol_order&gt;2,OFFSET(ENAVolCoef,3,impvol_order-2)*E25^3,0)+IF(impvol_order&gt;3,OFFSET(ENAVolCoef,4,impvol_order-2)*E25^4,0)+IF(impvol_order&gt;4,OFFSET(ENAVolCoef,5,impvol_order-2)*E25^5,0)</f>
        <v>0.496819007734582</v>
      </c>
      <c r="AY25" s="87" t="n">
        <f aca="true">OFFSET(ENAVolCoef,0,impvol_order-2)+OFFSET(ENAVolCoef,1,impvol_order-2)*F25+OFFSET(ENAVolCoef,2,impvol_order-2)*F25^2+IF(impvol_order&gt;2,OFFSET(ENAVolCoef,3,impvol_order-2)*F25^3,0)+IF(impvol_order&gt;3,OFFSET(ENAVolCoef,4,impvol_order-2)*F25^4,0)+IF(impvol_order&gt;4,OFFSET(ENAVolCoef,5,impvol_order-2)*F25^5,0)</f>
        <v>0.496789985399586</v>
      </c>
      <c r="AZ25" s="87" t="n">
        <f aca="true">OFFSET(ENAVolCoef,0,impvol_order-2)+OFFSET(ENAVolCoef,1,impvol_order-2)*G25+OFFSET(ENAVolCoef,2,impvol_order-2)*G25^2+IF(impvol_order&gt;2,OFFSET(ENAVolCoef,3,impvol_order-2)*G25^3,0)+IF(impvol_order&gt;3,OFFSET(ENAVolCoef,4,impvol_order-2)*G25^4,0)+IF(impvol_order&gt;4,OFFSET(ENAVolCoef,5,impvol_order-2)*G25^5,0)</f>
        <v>0.496848092395814</v>
      </c>
      <c r="BB25" s="48" t="e">
        <f aca="false">EURO(UnderlyingPrice,$D25,IntRate,Yield,AX25,$D$6,1,0)</f>
        <v>#NAME?</v>
      </c>
      <c r="BC25" s="48" t="e">
        <f aca="false">EURO(UnderlyingPrice,$D25*(1+$P$8),IntRate,Yield,AY25,$D$6,1,0)</f>
        <v>#NAME?</v>
      </c>
      <c r="BD25" s="48" t="e">
        <f aca="false">EURO(UnderlyingPrice,$D25*(1-$P$8),IntRate,Yield,AZ25,$D$6,1,0)</f>
        <v>#NAME?</v>
      </c>
      <c r="BF25" s="80" t="e">
        <f aca="false">(BC25+BD25-2*BB25)/($P$8*$D25)^2</f>
        <v>#NAME?</v>
      </c>
      <c r="BG25" s="48" t="e">
        <f aca="false">+BF25/$D$9</f>
        <v>#NAME?</v>
      </c>
      <c r="BI25" s="79" t="e">
        <f aca="false">+BB25-L25</f>
        <v>#NAME?</v>
      </c>
      <c r="BJ25" s="65" t="e">
        <f aca="false">+BI25/BB25</f>
        <v>#NAME?</v>
      </c>
    </row>
    <row r="26" customFormat="false" ht="11.25" hidden="false" customHeight="false" outlineLevel="0" collapsed="false">
      <c r="C26" s="77" t="n">
        <v>13</v>
      </c>
      <c r="D26" s="78" t="n">
        <f aca="true">D25+(ROUNDUP(MAX(StrikeRange),1)-ROUNDDOWN(MIN(StrikeRange),1))/100</f>
        <v>3.455</v>
      </c>
      <c r="E26" s="64" t="n">
        <f aca="false">+D26/UnderlyingPrice-1</f>
        <v>-0.286893704850361</v>
      </c>
      <c r="F26" s="64" t="n">
        <f aca="false">+D26*(1+$P$8)/UnderlyingPrice-1</f>
        <v>-0.286537151702786</v>
      </c>
      <c r="G26" s="64" t="n">
        <f aca="false">+D26*(1-$P$8)/UnderlyingPrice-1</f>
        <v>-0.287250257997936</v>
      </c>
      <c r="H26" s="64" t="n">
        <f aca="true">OFFSET(VolSkewCoef,0,impvol_order-2)+OFFSET(VolSkewCoef,1,impvol_order-2)*F26+OFFSET(VolSkewCoef,2,impvol_order-2)*F26^2+IF(impvol_order&gt;2,OFFSET(VolSkewCoef,3,impvol_order-2)*F26^3,0)+IF(impvol_order&gt;3,OFFSET(VolSkewCoef,4,impvol_order-2)*F26^4,0)+IF(impvol_order&gt;4,OFFSET(VolSkewCoef,5,impvol_order-2)*F26^5,0)</f>
        <v>0.522619569334679</v>
      </c>
      <c r="I26" s="64" t="n">
        <f aca="true">OFFSET(VolSkewCoef,0,impvol_order-2)+OFFSET(VolSkewCoef,1,impvol_order-2)*E26+OFFSET(VolSkewCoef,2,impvol_order-2)*E26^2+IF(impvol_order&gt;2,OFFSET(VolSkewCoef,3,impvol_order-2)*E26^3,0)+IF(impvol_order&gt;3,OFFSET(VolSkewCoef,4,impvol_order-2)*E26^4,0)+IF(impvol_order&gt;4,OFFSET(VolSkewCoef,5,impvol_order-2)*E26^5,0)</f>
        <v>0.522655647200653</v>
      </c>
      <c r="J26" s="64" t="n">
        <f aca="true">OFFSET(VolSkewCoef,0,impvol_order-2)+OFFSET(VolSkewCoef,1,impvol_order-2)*G26+OFFSET(VolSkewCoef,2,impvol_order-2)*G26^2+IF(impvol_order&gt;2,OFFSET(VolSkewCoef,3,impvol_order-2)*G26^3,0)+IF(impvol_order&gt;3,OFFSET(VolSkewCoef,4,impvol_order-2)*G26^4,0)+IF(impvol_order&gt;4,OFFSET(VolSkewCoef,5,impvol_order-2)*G26^5,0)</f>
        <v>0.522691811067487</v>
      </c>
      <c r="L26" s="79" t="e">
        <f aca="false">EURO(UnderlyingPrice,$D26,IntRate,Yield,$I26,$D$6,L$12,0)</f>
        <v>#NAME?</v>
      </c>
      <c r="M26" s="79" t="e">
        <f aca="false">EURO(UnderlyingPrice,$D26,IntRate,Yield,$I26,$D$6,M$12,0)</f>
        <v>#NAME?</v>
      </c>
      <c r="O26" s="79" t="e">
        <f aca="false">EURO(UnderlyingPrice,$D26*(1+$P$8),IntRate,Yield,$H26,Expiry-Today,O$12,0)</f>
        <v>#NAME?</v>
      </c>
      <c r="P26" s="79" t="e">
        <f aca="false">EURO(UnderlyingPrice,$D26*(1+$P$8),IntRate,Yield,$H26,Expiry-Today,P$12,0)</f>
        <v>#NAME?</v>
      </c>
      <c r="R26" s="79" t="e">
        <f aca="false">EURO(UnderlyingPrice,$D26*(1-$P$8),IntRate,Yield,$J26,Expiry-Today,R$12,0)</f>
        <v>#NAME?</v>
      </c>
      <c r="S26" s="79" t="e">
        <f aca="false">EURO(UnderlyingPrice,$D26*(1-$P$8),IntRate,Yield,$J26,Expiry-Today,S$12,0)</f>
        <v>#NAME?</v>
      </c>
      <c r="U26" s="80" t="e">
        <f aca="false">(O26+R26-2*L26)/($P$8*D26)^2</f>
        <v>#NAME?</v>
      </c>
      <c r="V26" s="80"/>
      <c r="W26" s="81" t="e">
        <f aca="false">U26/$D$9</f>
        <v>#NAME?</v>
      </c>
      <c r="X26" s="78"/>
      <c r="Z26" s="80" t="n">
        <f aca="false">(1/(D26*SQRT(2*PI()*T/365.25*ATMImpVol^2)))</f>
        <v>0.352081425591167</v>
      </c>
      <c r="AA26" s="80" t="n">
        <f aca="false">LN(D26/UnderlyingPrice)+0.5*T/365.25*ATMImpVol^2</f>
        <v>-0.284346397110658</v>
      </c>
      <c r="AB26" s="80" t="n">
        <f aca="false">-(AA26^2)</f>
        <v>-0.0808528735498119</v>
      </c>
      <c r="AC26" s="80" t="n">
        <f aca="false">AB26/(2*T/365.25*ATMImpVol^2)</f>
        <v>-0.375861345178178</v>
      </c>
      <c r="AD26" s="82" t="n">
        <f aca="false">EXP(AC26)</f>
        <v>0.686697540366776</v>
      </c>
      <c r="AE26" s="82" t="n">
        <f aca="false">AD26*Z26</f>
        <v>0.241773448962282</v>
      </c>
      <c r="AF26" s="82"/>
      <c r="AG26" s="83" t="n">
        <f aca="false">(LN($D26/UnderlyingPrice)+0.5*ATMImpVol^2*(T/365.25))/(ATMImpVol*SQRT(T/365.25))</f>
        <v>-0.867019429053557</v>
      </c>
      <c r="AH26" s="83" t="n">
        <f aca="false">(LN(($D26*(1+$P$8))/UnderlyingPrice)+0.5*ATMImpVol^2*(T/365.25))/(ATMImpVol*SQRT(T/365.25))</f>
        <v>-0.865495226961973</v>
      </c>
      <c r="AI26" s="83" t="n">
        <f aca="false">(LN($D26*(1-$P$8)/UnderlyingPrice)+0.5*ATMImpVol^2*(T/365.25))/(ATMImpVol*SQRT(T/365.25))</f>
        <v>-0.868544393436791</v>
      </c>
      <c r="AJ26" s="83"/>
      <c r="AK26" s="83" t="e">
        <f aca="false">W26/(AH26-AI26)*(D26*2*$P$8)</f>
        <v>#NAME?</v>
      </c>
      <c r="AL26" s="83"/>
      <c r="AM26" s="84" t="n">
        <v>-1.8</v>
      </c>
      <c r="AN26" s="85" t="n">
        <f aca="false">NORMDIST(AM26,0,1,FALSE())</f>
        <v>0.0789501583008942</v>
      </c>
      <c r="AP26" s="51" t="s">
        <v>117</v>
      </c>
      <c r="AQ26" s="94" t="e">
        <f aca="false">EXP(((Gamma*AG13)^2)/2)</f>
        <v>#NUM!</v>
      </c>
      <c r="AR26" s="54" t="e">
        <f aca="false">EXP(((Gamma*AG113)^2)/2)</f>
        <v>#NUM!</v>
      </c>
      <c r="AX26" s="87" t="n">
        <f aca="true">OFFSET(ENAVolCoef,0,impvol_order-2)+OFFSET(ENAVolCoef,1,impvol_order-2)*E26+OFFSET(ENAVolCoef,2,impvol_order-2)*E26^2+IF(impvol_order&gt;2,OFFSET(ENAVolCoef,3,impvol_order-2)*E26^3,0)+IF(impvol_order&gt;3,OFFSET(ENAVolCoef,4,impvol_order-2)*E26^4,0)+IF(impvol_order&gt;4,OFFSET(ENAVolCoef,5,impvol_order-2)*E26^5,0)</f>
        <v>0.496237362019622</v>
      </c>
      <c r="AY26" s="87" t="n">
        <f aca="true">OFFSET(ENAVolCoef,0,impvol_order-2)+OFFSET(ENAVolCoef,1,impvol_order-2)*F26+OFFSET(ENAVolCoef,2,impvol_order-2)*F26^2+IF(impvol_order&gt;2,OFFSET(ENAVolCoef,3,impvol_order-2)*F26^3,0)+IF(impvol_order&gt;3,OFFSET(ENAVolCoef,4,impvol_order-2)*F26^4,0)+IF(impvol_order&gt;4,OFFSET(ENAVolCoef,5,impvol_order-2)*F26^5,0)</f>
        <v>0.496209325703763</v>
      </c>
      <c r="AZ26" s="87" t="n">
        <f aca="true">OFFSET(ENAVolCoef,0,impvol_order-2)+OFFSET(ENAVolCoef,1,impvol_order-2)*G26+OFFSET(ENAVolCoef,2,impvol_order-2)*G26^2+IF(impvol_order&gt;2,OFFSET(ENAVolCoef,3,impvol_order-2)*G26^3,0)+IF(impvol_order&gt;3,OFFSET(ENAVolCoef,4,impvol_order-2)*G26^4,0)+IF(impvol_order&gt;4,OFFSET(ENAVolCoef,5,impvol_order-2)*G26^5,0)</f>
        <v>0.496265461376755</v>
      </c>
      <c r="BB26" s="48" t="e">
        <f aca="false">EURO(UnderlyingPrice,$D26,IntRate,Yield,AX26,$D$6,1,0)</f>
        <v>#NAME?</v>
      </c>
      <c r="BC26" s="48" t="e">
        <f aca="false">EURO(UnderlyingPrice,$D26*(1+$P$8),IntRate,Yield,AY26,$D$6,1,0)</f>
        <v>#NAME?</v>
      </c>
      <c r="BD26" s="48" t="e">
        <f aca="false">EURO(UnderlyingPrice,$D26*(1-$P$8),IntRate,Yield,AZ26,$D$6,1,0)</f>
        <v>#NAME?</v>
      </c>
      <c r="BF26" s="80" t="e">
        <f aca="false">(BC26+BD26-2*BB26)/($P$8*$D26)^2</f>
        <v>#NAME?</v>
      </c>
      <c r="BG26" s="48" t="e">
        <f aca="false">+BF26/$D$9</f>
        <v>#NAME?</v>
      </c>
      <c r="BI26" s="79" t="e">
        <f aca="false">+BB26-L26</f>
        <v>#NAME?</v>
      </c>
      <c r="BJ26" s="65" t="e">
        <f aca="false">+BI26/BB26</f>
        <v>#NAME?</v>
      </c>
    </row>
    <row r="27" customFormat="false" ht="11.25" hidden="false" customHeight="false" outlineLevel="0" collapsed="false">
      <c r="C27" s="77" t="n">
        <v>14</v>
      </c>
      <c r="D27" s="78" t="n">
        <f aca="true">D26+(ROUNDUP(MAX(StrikeRange),1)-ROUNDDOWN(MIN(StrikeRange),1))/100</f>
        <v>3.49</v>
      </c>
      <c r="E27" s="64" t="n">
        <f aca="false">+D27/UnderlyingPrice-1</f>
        <v>-0.279669762641898</v>
      </c>
      <c r="F27" s="64" t="n">
        <f aca="false">+D27*(1+$P$8)/UnderlyingPrice-1</f>
        <v>-0.27930959752322</v>
      </c>
      <c r="G27" s="64" t="n">
        <f aca="false">+D27*(1-$P$8)/UnderlyingPrice-1</f>
        <v>-0.280029927760577</v>
      </c>
      <c r="H27" s="64" t="n">
        <f aca="true">OFFSET(VolSkewCoef,0,impvol_order-2)+OFFSET(VolSkewCoef,1,impvol_order-2)*F27+OFFSET(VolSkewCoef,2,impvol_order-2)*F27^2+IF(impvol_order&gt;2,OFFSET(VolSkewCoef,3,impvol_order-2)*F27^3,0)+IF(impvol_order&gt;3,OFFSET(VolSkewCoef,4,impvol_order-2)*F27^4,0)+IF(impvol_order&gt;4,OFFSET(VolSkewCoef,5,impvol_order-2)*F27^5,0)</f>
        <v>0.521906715592503</v>
      </c>
      <c r="I27" s="64" t="n">
        <f aca="true">OFFSET(VolSkewCoef,0,impvol_order-2)+OFFSET(VolSkewCoef,1,impvol_order-2)*E27+OFFSET(VolSkewCoef,2,impvol_order-2)*E27^2+IF(impvol_order&gt;2,OFFSET(VolSkewCoef,3,impvol_order-2)*E27^3,0)+IF(impvol_order&gt;3,OFFSET(VolSkewCoef,4,impvol_order-2)*E27^4,0)+IF(impvol_order&gt;4,OFFSET(VolSkewCoef,5,impvol_order-2)*E27^5,0)</f>
        <v>0.521941408406641</v>
      </c>
      <c r="J27" s="64" t="n">
        <f aca="true">OFFSET(VolSkewCoef,0,impvol_order-2)+OFFSET(VolSkewCoef,1,impvol_order-2)*G27+OFFSET(VolSkewCoef,2,impvol_order-2)*G27^2+IF(impvol_order&gt;2,OFFSET(VolSkewCoef,3,impvol_order-2)*G27^3,0)+IF(impvol_order&gt;3,OFFSET(VolSkewCoef,4,impvol_order-2)*G27^4,0)+IF(impvol_order&gt;4,OFFSET(VolSkewCoef,5,impvol_order-2)*G27^5,0)</f>
        <v>0.521976188024877</v>
      </c>
      <c r="L27" s="79" t="e">
        <f aca="false">EURO(UnderlyingPrice,$D27,IntRate,Yield,$I27,$D$6,L$12,0)</f>
        <v>#NAME?</v>
      </c>
      <c r="M27" s="79" t="e">
        <f aca="false">EURO(UnderlyingPrice,$D27,IntRate,Yield,$I27,$D$6,M$12,0)</f>
        <v>#NAME?</v>
      </c>
      <c r="O27" s="79" t="e">
        <f aca="false">EURO(UnderlyingPrice,$D27*(1+$P$8),IntRate,Yield,$H27,Expiry-Today,O$12,0)</f>
        <v>#NAME?</v>
      </c>
      <c r="P27" s="79" t="e">
        <f aca="false">EURO(UnderlyingPrice,$D27*(1+$P$8),IntRate,Yield,$H27,Expiry-Today,P$12,0)</f>
        <v>#NAME?</v>
      </c>
      <c r="R27" s="79" t="e">
        <f aca="false">EURO(UnderlyingPrice,$D27*(1-$P$8),IntRate,Yield,$J27,Expiry-Today,R$12,0)</f>
        <v>#NAME?</v>
      </c>
      <c r="S27" s="79" t="e">
        <f aca="false">EURO(UnderlyingPrice,$D27*(1-$P$8),IntRate,Yield,$J27,Expiry-Today,S$12,0)</f>
        <v>#NAME?</v>
      </c>
      <c r="U27" s="80" t="e">
        <f aca="false">(O27+R27-2*L27)/($P$8*D27)^2</f>
        <v>#NAME?</v>
      </c>
      <c r="V27" s="80"/>
      <c r="W27" s="81" t="e">
        <f aca="false">U27/$D$9</f>
        <v>#NAME?</v>
      </c>
      <c r="X27" s="78"/>
      <c r="Z27" s="80" t="n">
        <f aca="false">(1/(D27*SQRT(2*PI()*T/365.25*ATMImpVol^2)))</f>
        <v>0.348550523042258</v>
      </c>
      <c r="AA27" s="80" t="n">
        <f aca="false">LN(D27/UnderlyingPrice)+0.5*T/365.25*ATMImpVol^2</f>
        <v>-0.274267118115955</v>
      </c>
      <c r="AB27" s="80" t="n">
        <f aca="false">-(AA27^2)</f>
        <v>-0.0752224520796313</v>
      </c>
      <c r="AC27" s="80" t="n">
        <f aca="false">AB27/(2*T/365.25*ATMImpVol^2)</f>
        <v>-0.349687163670598</v>
      </c>
      <c r="AD27" s="82" t="n">
        <f aca="false">EXP(AC27)</f>
        <v>0.704908576240373</v>
      </c>
      <c r="AE27" s="82" t="n">
        <f aca="false">AD27*Z27</f>
        <v>0.245696252945556</v>
      </c>
      <c r="AF27" s="82"/>
      <c r="AG27" s="83" t="n">
        <f aca="false">(LN($D27/UnderlyingPrice)+0.5*ATMImpVol^2*(T/365.25))/(ATMImpVol*SQRT(T/365.25))</f>
        <v>-0.836286032013687</v>
      </c>
      <c r="AH27" s="83" t="n">
        <f aca="false">(LN(($D27*(1+$P$8))/UnderlyingPrice)+0.5*ATMImpVol^2*(T/365.25))/(ATMImpVol*SQRT(T/365.25))</f>
        <v>-0.834761829922103</v>
      </c>
      <c r="AI27" s="83" t="n">
        <f aca="false">(LN($D27*(1-$P$8)/UnderlyingPrice)+0.5*ATMImpVol^2*(T/365.25))/(ATMImpVol*SQRT(T/365.25))</f>
        <v>-0.837810996396921</v>
      </c>
      <c r="AJ27" s="83"/>
      <c r="AK27" s="83" t="e">
        <f aca="false">W27/(AH27-AI27)*(D27*2*$P$8)</f>
        <v>#NAME?</v>
      </c>
      <c r="AL27" s="83"/>
      <c r="AM27" s="84" t="n">
        <v>-1.7</v>
      </c>
      <c r="AN27" s="85" t="n">
        <f aca="false">NORMDIST(AM27,0,1,FALSE())</f>
        <v>0.094049077376887</v>
      </c>
      <c r="AP27" s="51" t="s">
        <v>106</v>
      </c>
      <c r="AQ27" s="94" t="e">
        <f aca="false">AK13*SQRT(2*PI())*EXP(((Gamma*AG13)^2)/2)</f>
        <v>#NAME?</v>
      </c>
      <c r="AR27" s="54" t="e">
        <f aca="false">AK113*SQRT(2*PI())*EXP(((Gamma*AG113)^2)/2)</f>
        <v>#NAME?</v>
      </c>
      <c r="AX27" s="87" t="n">
        <f aca="true">OFFSET(ENAVolCoef,0,impvol_order-2)+OFFSET(ENAVolCoef,1,impvol_order-2)*E27+OFFSET(ENAVolCoef,2,impvol_order-2)*E27^2+IF(impvol_order&gt;2,OFFSET(ENAVolCoef,3,impvol_order-2)*E27^3,0)+IF(impvol_order&gt;3,OFFSET(ENAVolCoef,4,impvol_order-2)*E27^4,0)+IF(impvol_order&gt;4,OFFSET(ENAVolCoef,5,impvol_order-2)*E27^5,0)</f>
        <v>0.495681593961879</v>
      </c>
      <c r="AY27" s="87" t="n">
        <f aca="true">OFFSET(ENAVolCoef,0,impvol_order-2)+OFFSET(ENAVolCoef,1,impvol_order-2)*F27+OFFSET(ENAVolCoef,2,impvol_order-2)*F27^2+IF(impvol_order&gt;2,OFFSET(ENAVolCoef,3,impvol_order-2)*F27^3,0)+IF(impvol_order&gt;3,OFFSET(ENAVolCoef,4,impvol_order-2)*F27^4,0)+IF(impvol_order&gt;4,OFFSET(ENAVolCoef,5,impvol_order-2)*F27^5,0)</f>
        <v>0.495654558046572</v>
      </c>
      <c r="AZ27" s="87" t="n">
        <f aca="true">OFFSET(ENAVolCoef,0,impvol_order-2)+OFFSET(ENAVolCoef,1,impvol_order-2)*G27+OFFSET(ENAVolCoef,2,impvol_order-2)*G27^2+IF(impvol_order&gt;2,OFFSET(ENAVolCoef,3,impvol_order-2)*G27^3,0)+IF(impvol_order&gt;3,OFFSET(ENAVolCoef,4,impvol_order-2)*G27^4,0)+IF(impvol_order&gt;4,OFFSET(ENAVolCoef,5,impvol_order-2)*G27^5,0)</f>
        <v>0.495708693623455</v>
      </c>
      <c r="BB27" s="48" t="e">
        <f aca="false">EURO(UnderlyingPrice,$D27,IntRate,Yield,AX27,$D$6,1,0)</f>
        <v>#NAME?</v>
      </c>
      <c r="BC27" s="48" t="e">
        <f aca="false">EURO(UnderlyingPrice,$D27*(1+$P$8),IntRate,Yield,AY27,$D$6,1,0)</f>
        <v>#NAME?</v>
      </c>
      <c r="BD27" s="48" t="e">
        <f aca="false">EURO(UnderlyingPrice,$D27*(1-$P$8),IntRate,Yield,AZ27,$D$6,1,0)</f>
        <v>#NAME?</v>
      </c>
      <c r="BF27" s="80" t="e">
        <f aca="false">(BC27+BD27-2*BB27)/($P$8*$D27)^2</f>
        <v>#NAME?</v>
      </c>
      <c r="BG27" s="48" t="e">
        <f aca="false">+BF27/$D$9</f>
        <v>#NAME?</v>
      </c>
      <c r="BI27" s="79" t="e">
        <f aca="false">+BB27-L27</f>
        <v>#NAME?</v>
      </c>
      <c r="BJ27" s="65" t="e">
        <f aca="false">+BI27/BB27</f>
        <v>#NAME?</v>
      </c>
    </row>
    <row r="28" customFormat="false" ht="11.25" hidden="false" customHeight="false" outlineLevel="0" collapsed="false">
      <c r="C28" s="77" t="n">
        <v>15</v>
      </c>
      <c r="D28" s="78" t="n">
        <f aca="true">D27+(ROUNDUP(MAX(StrikeRange),1)-ROUNDDOWN(MIN(StrikeRange),1))/100</f>
        <v>3.525</v>
      </c>
      <c r="E28" s="64" t="n">
        <f aca="false">+D28/UnderlyingPrice-1</f>
        <v>-0.272445820433436</v>
      </c>
      <c r="F28" s="64" t="n">
        <f aca="false">+D28*(1+$P$8)/UnderlyingPrice-1</f>
        <v>-0.272082043343653</v>
      </c>
      <c r="G28" s="64" t="n">
        <f aca="false">+D28*(1-$P$8)/UnderlyingPrice-1</f>
        <v>-0.272809597523219</v>
      </c>
      <c r="H28" s="64" t="n">
        <f aca="true">OFFSET(VolSkewCoef,0,impvol_order-2)+OFFSET(VolSkewCoef,1,impvol_order-2)*F28+OFFSET(VolSkewCoef,2,impvol_order-2)*F28^2+IF(impvol_order&gt;2,OFFSET(VolSkewCoef,3,impvol_order-2)*F28^3,0)+IF(impvol_order&gt;3,OFFSET(VolSkewCoef,4,impvol_order-2)*F28^4,0)+IF(impvol_order&gt;4,OFFSET(VolSkewCoef,5,impvol_order-2)*F28^5,0)</f>
        <v>0.521228798648263</v>
      </c>
      <c r="I28" s="64" t="n">
        <f aca="true">OFFSET(VolSkewCoef,0,impvol_order-2)+OFFSET(VolSkewCoef,1,impvol_order-2)*E28+OFFSET(VolSkewCoef,2,impvol_order-2)*E28^2+IF(impvol_order&gt;2,OFFSET(VolSkewCoef,3,impvol_order-2)*E28^3,0)+IF(impvol_order&gt;3,OFFSET(VolSkewCoef,4,impvol_order-2)*E28^4,0)+IF(impvol_order&gt;4,OFFSET(VolSkewCoef,5,impvol_order-2)*E28^5,0)</f>
        <v>0.521262090514447</v>
      </c>
      <c r="J28" s="64" t="n">
        <f aca="true">OFFSET(VolSkewCoef,0,impvol_order-2)+OFFSET(VolSkewCoef,1,impvol_order-2)*G28+OFFSET(VolSkewCoef,2,impvol_order-2)*G28^2+IF(impvol_order&gt;2,OFFSET(VolSkewCoef,3,impvol_order-2)*G28^3,0)+IF(impvol_order&gt;3,OFFSET(VolSkewCoef,4,impvol_order-2)*G28^4,0)+IF(impvol_order&gt;4,OFFSET(VolSkewCoef,5,impvol_order-2)*G28^5,0)</f>
        <v>0.521295469967396</v>
      </c>
      <c r="L28" s="79" t="e">
        <f aca="false">EURO(UnderlyingPrice,$D28,IntRate,Yield,$I28,$D$6,L$12,0)</f>
        <v>#NAME?</v>
      </c>
      <c r="M28" s="79" t="e">
        <f aca="false">EURO(UnderlyingPrice,$D28,IntRate,Yield,$I28,$D$6,M$12,0)</f>
        <v>#NAME?</v>
      </c>
      <c r="O28" s="79" t="e">
        <f aca="false">EURO(UnderlyingPrice,$D28*(1+$P$8),IntRate,Yield,$H28,Expiry-Today,O$12,0)</f>
        <v>#NAME?</v>
      </c>
      <c r="P28" s="79" t="e">
        <f aca="false">EURO(UnderlyingPrice,$D28*(1+$P$8),IntRate,Yield,$H28,Expiry-Today,P$12,0)</f>
        <v>#NAME?</v>
      </c>
      <c r="R28" s="79" t="e">
        <f aca="false">EURO(UnderlyingPrice,$D28*(1-$P$8),IntRate,Yield,$J28,Expiry-Today,R$12,0)</f>
        <v>#NAME?</v>
      </c>
      <c r="S28" s="79" t="e">
        <f aca="false">EURO(UnderlyingPrice,$D28*(1-$P$8),IntRate,Yield,$J28,Expiry-Today,S$12,0)</f>
        <v>#NAME?</v>
      </c>
      <c r="U28" s="80" t="e">
        <f aca="false">(O28+R28-2*L28)/($P$8*D28)^2</f>
        <v>#NAME?</v>
      </c>
      <c r="V28" s="80"/>
      <c r="W28" s="81" t="e">
        <f aca="false">U28/$D$9</f>
        <v>#NAME?</v>
      </c>
      <c r="X28" s="78"/>
      <c r="Z28" s="80" t="n">
        <f aca="false">(1/(D28*SQRT(2*PI()*T/365.25*ATMImpVol^2)))</f>
        <v>0.345089737707087</v>
      </c>
      <c r="AA28" s="80" t="n">
        <f aca="false">LN(D28/UnderlyingPrice)+0.5*T/365.25*ATMImpVol^2</f>
        <v>-0.264288418066059</v>
      </c>
      <c r="AB28" s="80" t="n">
        <f aca="false">-(AA28^2)</f>
        <v>-0.0698483679238599</v>
      </c>
      <c r="AC28" s="80" t="n">
        <f aca="false">AB28/(2*T/365.25*ATMImpVol^2)</f>
        <v>-0.324704619313105</v>
      </c>
      <c r="AD28" s="82" t="n">
        <f aca="false">EXP(AC28)</f>
        <v>0.722740805791361</v>
      </c>
      <c r="AE28" s="82" t="n">
        <f aca="false">AD28*Z28</f>
        <v>0.249410435100749</v>
      </c>
      <c r="AF28" s="82"/>
      <c r="AG28" s="83" t="n">
        <f aca="false">(LN($D28/UnderlyingPrice)+0.5*ATMImpVol^2*(T/365.25))/(ATMImpVol*SQRT(T/365.25))</f>
        <v>-0.805859316894835</v>
      </c>
      <c r="AH28" s="83" t="n">
        <f aca="false">(LN(($D28*(1+$P$8))/UnderlyingPrice)+0.5*ATMImpVol^2*(T/365.25))/(ATMImpVol*SQRT(T/365.25))</f>
        <v>-0.804335114803251</v>
      </c>
      <c r="AI28" s="83" t="n">
        <f aca="false">(LN($D28*(1-$P$8)/UnderlyingPrice)+0.5*ATMImpVol^2*(T/365.25))/(ATMImpVol*SQRT(T/365.25))</f>
        <v>-0.807384281278069</v>
      </c>
      <c r="AJ28" s="83"/>
      <c r="AK28" s="83" t="e">
        <f aca="false">W28/(AH28-AI28)*(D28*2*$P$8)</f>
        <v>#NAME?</v>
      </c>
      <c r="AL28" s="83"/>
      <c r="AM28" s="84" t="n">
        <v>-1.6</v>
      </c>
      <c r="AN28" s="85" t="n">
        <f aca="false">NORMDIST(AM28,0,1,FALSE())</f>
        <v>0.110920834679456</v>
      </c>
      <c r="AP28" s="51" t="s">
        <v>108</v>
      </c>
      <c r="AQ28" s="95" t="n">
        <v>1466240572062.2</v>
      </c>
      <c r="AR28" s="96"/>
      <c r="AX28" s="87" t="n">
        <f aca="true">OFFSET(ENAVolCoef,0,impvol_order-2)+OFFSET(ENAVolCoef,1,impvol_order-2)*E28+OFFSET(ENAVolCoef,2,impvol_order-2)*E28^2+IF(impvol_order&gt;2,OFFSET(ENAVolCoef,3,impvol_order-2)*E28^3,0)+IF(impvol_order&gt;3,OFFSET(ENAVolCoef,4,impvol_order-2)*E28^4,0)+IF(impvol_order&gt;4,OFFSET(ENAVolCoef,5,impvol_order-2)*E28^5,0)</f>
        <v>0.495151470743644</v>
      </c>
      <c r="AY28" s="87" t="n">
        <f aca="true">OFFSET(ENAVolCoef,0,impvol_order-2)+OFFSET(ENAVolCoef,1,impvol_order-2)*F28+OFFSET(ENAVolCoef,2,impvol_order-2)*F28^2+IF(impvol_order&gt;2,OFFSET(ENAVolCoef,3,impvol_order-2)*F28^3,0)+IF(impvol_order&gt;3,OFFSET(ENAVolCoef,4,impvol_order-2)*F28^4,0)+IF(impvol_order&gt;4,OFFSET(ENAVolCoef,5,impvol_order-2)*F28^5,0)</f>
        <v>0.495125449260902</v>
      </c>
      <c r="AZ28" s="87" t="n">
        <f aca="true">OFFSET(ENAVolCoef,0,impvol_order-2)+OFFSET(ENAVolCoef,1,impvol_order-2)*G28+OFFSET(ENAVolCoef,2,impvol_order-2)*G28^2+IF(impvol_order&gt;2,OFFSET(ENAVolCoef,3,impvol_order-2)*G28^3,0)+IF(impvol_order&gt;3,OFFSET(ENAVolCoef,4,impvol_order-2)*G28^4,0)+IF(impvol_order&gt;4,OFFSET(ENAVolCoef,5,impvol_order-2)*G28^5,0)</f>
        <v>0.495177556667254</v>
      </c>
      <c r="BB28" s="48" t="e">
        <f aca="false">EURO(UnderlyingPrice,$D28,IntRate,Yield,AX28,$D$6,1,0)</f>
        <v>#NAME?</v>
      </c>
      <c r="BC28" s="48" t="e">
        <f aca="false">EURO(UnderlyingPrice,$D28*(1+$P$8),IntRate,Yield,AY28,$D$6,1,0)</f>
        <v>#NAME?</v>
      </c>
      <c r="BD28" s="48" t="e">
        <f aca="false">EURO(UnderlyingPrice,$D28*(1-$P$8),IntRate,Yield,AZ28,$D$6,1,0)</f>
        <v>#NAME?</v>
      </c>
      <c r="BF28" s="80" t="e">
        <f aca="false">(BC28+BD28-2*BB28)/($P$8*$D28)^2</f>
        <v>#NAME?</v>
      </c>
      <c r="BG28" s="48" t="e">
        <f aca="false">+BF28/$D$9</f>
        <v>#NAME?</v>
      </c>
      <c r="BI28" s="79" t="e">
        <f aca="false">+BB28-L28</f>
        <v>#NAME?</v>
      </c>
      <c r="BJ28" s="65" t="e">
        <f aca="false">+BI28/BB28</f>
        <v>#NAME?</v>
      </c>
    </row>
    <row r="29" customFormat="false" ht="11.25" hidden="false" customHeight="false" outlineLevel="0" collapsed="false">
      <c r="C29" s="77" t="n">
        <v>16</v>
      </c>
      <c r="D29" s="78" t="n">
        <f aca="true">D28+(ROUNDUP(MAX(StrikeRange),1)-ROUNDDOWN(MIN(StrikeRange),1))/100</f>
        <v>3.56</v>
      </c>
      <c r="E29" s="64" t="n">
        <f aca="false">+D29/UnderlyingPrice-1</f>
        <v>-0.265221878224974</v>
      </c>
      <c r="F29" s="64" t="n">
        <f aca="false">+D29*(1+$P$8)/UnderlyingPrice-1</f>
        <v>-0.264854489164086</v>
      </c>
      <c r="G29" s="64" t="n">
        <f aca="false">+D29*(1-$P$8)/UnderlyingPrice-1</f>
        <v>-0.265589267285861</v>
      </c>
      <c r="H29" s="64" t="n">
        <f aca="true">OFFSET(VolSkewCoef,0,impvol_order-2)+OFFSET(VolSkewCoef,1,impvol_order-2)*F29+OFFSET(VolSkewCoef,2,impvol_order-2)*F29^2+IF(impvol_order&gt;2,OFFSET(VolSkewCoef,3,impvol_order-2)*F29^3,0)+IF(impvol_order&gt;3,OFFSET(VolSkewCoef,4,impvol_order-2)*F29^4,0)+IF(impvol_order&gt;4,OFFSET(VolSkewCoef,5,impvol_order-2)*F29^5,0)</f>
        <v>0.520585436550086</v>
      </c>
      <c r="I29" s="64" t="n">
        <f aca="true">OFFSET(VolSkewCoef,0,impvol_order-2)+OFFSET(VolSkewCoef,1,impvol_order-2)*E29+OFFSET(VolSkewCoef,2,impvol_order-2)*E29^2+IF(impvol_order&gt;2,OFFSET(VolSkewCoef,3,impvol_order-2)*E29^3,0)+IF(impvol_order&gt;3,OFFSET(VolSkewCoef,4,impvol_order-2)*E29^4,0)+IF(impvol_order&gt;4,OFFSET(VolSkewCoef,5,impvol_order-2)*E29^5,0)</f>
        <v>0.520617312144551</v>
      </c>
      <c r="J29" s="64" t="n">
        <f aca="true">OFFSET(VolSkewCoef,0,impvol_order-2)+OFFSET(VolSkewCoef,1,impvol_order-2)*G29+OFFSET(VolSkewCoef,2,impvol_order-2)*G29^2+IF(impvol_order&gt;2,OFFSET(VolSkewCoef,3,impvol_order-2)*G29^3,0)+IF(impvol_order&gt;3,OFFSET(VolSkewCoef,4,impvol_order-2)*G29^4,0)+IF(impvol_order&gt;4,OFFSET(VolSkewCoef,5,impvol_order-2)*G29^5,0)</f>
        <v>0.520649276087308</v>
      </c>
      <c r="L29" s="79" t="e">
        <f aca="false">EURO(UnderlyingPrice,$D29,IntRate,Yield,$I29,$D$6,L$12,0)</f>
        <v>#NAME?</v>
      </c>
      <c r="M29" s="79" t="e">
        <f aca="false">EURO(UnderlyingPrice,$D29,IntRate,Yield,$I29,$D$6,M$12,0)</f>
        <v>#NAME?</v>
      </c>
      <c r="O29" s="79" t="e">
        <f aca="false">EURO(UnderlyingPrice,$D29*(1+$P$8),IntRate,Yield,$H29,Expiry-Today,O$12,0)</f>
        <v>#NAME?</v>
      </c>
      <c r="P29" s="79" t="e">
        <f aca="false">EURO(UnderlyingPrice,$D29*(1+$P$8),IntRate,Yield,$H29,Expiry-Today,P$12,0)</f>
        <v>#NAME?</v>
      </c>
      <c r="R29" s="79" t="e">
        <f aca="false">EURO(UnderlyingPrice,$D29*(1-$P$8),IntRate,Yield,$J29,Expiry-Today,R$12,0)</f>
        <v>#NAME?</v>
      </c>
      <c r="S29" s="79" t="e">
        <f aca="false">EURO(UnderlyingPrice,$D29*(1-$P$8),IntRate,Yield,$J29,Expiry-Today,S$12,0)</f>
        <v>#NAME?</v>
      </c>
      <c r="U29" s="80" t="e">
        <f aca="false">(O29+R29-2*L29)/($P$8*D29)^2</f>
        <v>#NAME?</v>
      </c>
      <c r="V29" s="80"/>
      <c r="W29" s="81" t="e">
        <f aca="false">U29/$D$9</f>
        <v>#NAME?</v>
      </c>
      <c r="X29" s="78"/>
      <c r="Z29" s="80" t="n">
        <f aca="false">(1/(D29*SQRT(2*PI()*T/365.25*ATMImpVol^2)))</f>
        <v>0.341697001521764</v>
      </c>
      <c r="AA29" s="80" t="n">
        <f aca="false">LN(D29/UnderlyingPrice)+0.5*T/365.25*ATMImpVol^2</f>
        <v>-0.254408309466352</v>
      </c>
      <c r="AB29" s="80" t="n">
        <f aca="false">-(AA29^2)</f>
        <v>-0.064723587925527</v>
      </c>
      <c r="AC29" s="80" t="n">
        <f aca="false">AB29/(2*T/365.25*ATMImpVol^2)</f>
        <v>-0.3008810170174</v>
      </c>
      <c r="AD29" s="82" t="n">
        <f aca="false">EXP(AC29)</f>
        <v>0.740165834646295</v>
      </c>
      <c r="AE29" s="82" t="n">
        <f aca="false">AD29*Z29</f>
        <v>0.252912446327493</v>
      </c>
      <c r="AF29" s="82"/>
      <c r="AG29" s="83" t="n">
        <f aca="false">(LN($D29/UnderlyingPrice)+0.5*ATMImpVol^2*(T/365.25))/(ATMImpVol*SQRT(T/365.25))</f>
        <v>-0.775733223495552</v>
      </c>
      <c r="AH29" s="83" t="n">
        <f aca="false">(LN(($D29*(1+$P$8))/UnderlyingPrice)+0.5*ATMImpVol^2*(T/365.25))/(ATMImpVol*SQRT(T/365.25))</f>
        <v>-0.774209021403969</v>
      </c>
      <c r="AI29" s="83" t="n">
        <f aca="false">(LN($D29*(1-$P$8)/UnderlyingPrice)+0.5*ATMImpVol^2*(T/365.25))/(ATMImpVol*SQRT(T/365.25))</f>
        <v>-0.777258187878787</v>
      </c>
      <c r="AJ29" s="83"/>
      <c r="AK29" s="83" t="e">
        <f aca="false">W29/(AH29-AI29)*(D29*2*$P$8)</f>
        <v>#NAME?</v>
      </c>
      <c r="AL29" s="83"/>
      <c r="AM29" s="84" t="n">
        <v>-1.5</v>
      </c>
      <c r="AN29" s="85" t="n">
        <f aca="false">NORMDIST(AM29,0,1,FALSE())</f>
        <v>0.129517595665892</v>
      </c>
      <c r="AP29" s="51" t="s">
        <v>110</v>
      </c>
      <c r="AQ29" s="94" t="e">
        <f aca="false">AQ15</f>
        <v>#NAME?</v>
      </c>
      <c r="AR29" s="96"/>
      <c r="AX29" s="87" t="n">
        <f aca="true">OFFSET(ENAVolCoef,0,impvol_order-2)+OFFSET(ENAVolCoef,1,impvol_order-2)*E29+OFFSET(ENAVolCoef,2,impvol_order-2)*E29^2+IF(impvol_order&gt;2,OFFSET(ENAVolCoef,3,impvol_order-2)*E29^3,0)+IF(impvol_order&gt;3,OFFSET(ENAVolCoef,4,impvol_order-2)*E29^4,0)+IF(impvol_order&gt;4,OFFSET(ENAVolCoef,5,impvol_order-2)*E29^5,0)</f>
        <v>0.494646759547206</v>
      </c>
      <c r="AY29" s="87" t="n">
        <f aca="true">OFFSET(ENAVolCoef,0,impvol_order-2)+OFFSET(ENAVolCoef,1,impvol_order-2)*F29+OFFSET(ENAVolCoef,2,impvol_order-2)*F29^2+IF(impvol_order&gt;2,OFFSET(ENAVolCoef,3,impvol_order-2)*F29^3,0)+IF(impvol_order&gt;3,OFFSET(ENAVolCoef,4,impvol_order-2)*F29^4,0)+IF(impvol_order&gt;4,OFFSET(ENAVolCoef,5,impvol_order-2)*F29^5,0)</f>
        <v>0.494621766179644</v>
      </c>
      <c r="AZ29" s="87" t="n">
        <f aca="true">OFFSET(ENAVolCoef,0,impvol_order-2)+OFFSET(ENAVolCoef,1,impvol_order-2)*G29+OFFSET(ENAVolCoef,2,impvol_order-2)*G29^2+IF(impvol_order&gt;2,OFFSET(ENAVolCoef,3,impvol_order-2)*G29^3,0)+IF(impvol_order&gt;3,OFFSET(ENAVolCoef,4,impvol_order-2)*G29^4,0)+IF(impvol_order&gt;4,OFFSET(ENAVolCoef,5,impvol_order-2)*G29^5,0)</f>
        <v>0.494671818039496</v>
      </c>
      <c r="BB29" s="48" t="e">
        <f aca="false">EURO(UnderlyingPrice,$D29,IntRate,Yield,AX29,$D$6,1,0)</f>
        <v>#NAME?</v>
      </c>
      <c r="BC29" s="48" t="e">
        <f aca="false">EURO(UnderlyingPrice,$D29*(1+$P$8),IntRate,Yield,AY29,$D$6,1,0)</f>
        <v>#NAME?</v>
      </c>
      <c r="BD29" s="48" t="e">
        <f aca="false">EURO(UnderlyingPrice,$D29*(1-$P$8),IntRate,Yield,AZ29,$D$6,1,0)</f>
        <v>#NAME?</v>
      </c>
      <c r="BF29" s="80" t="e">
        <f aca="false">(BC29+BD29-2*BB29)/($P$8*$D29)^2</f>
        <v>#NAME?</v>
      </c>
      <c r="BG29" s="48" t="e">
        <f aca="false">+BF29/$D$9</f>
        <v>#NAME?</v>
      </c>
      <c r="BI29" s="79" t="e">
        <f aca="false">+BB29-L29</f>
        <v>#NAME?</v>
      </c>
      <c r="BJ29" s="65" t="e">
        <f aca="false">+BI29/BB29</f>
        <v>#NAME?</v>
      </c>
    </row>
    <row r="30" customFormat="false" ht="11.25" hidden="false" customHeight="false" outlineLevel="0" collapsed="false">
      <c r="C30" s="77" t="n">
        <v>17</v>
      </c>
      <c r="D30" s="78" t="n">
        <f aca="true">D29+(ROUNDUP(MAX(StrikeRange),1)-ROUNDDOWN(MIN(StrikeRange),1))/100</f>
        <v>3.595</v>
      </c>
      <c r="E30" s="64" t="n">
        <f aca="false">+D30/UnderlyingPrice-1</f>
        <v>-0.257997936016511</v>
      </c>
      <c r="F30" s="64" t="n">
        <f aca="false">+D30*(1+$P$8)/UnderlyingPrice-1</f>
        <v>-0.25762693498452</v>
      </c>
      <c r="G30" s="64" t="n">
        <f aca="false">+D30*(1-$P$8)/UnderlyingPrice-1</f>
        <v>-0.258368937048503</v>
      </c>
      <c r="H30" s="64" t="n">
        <f aca="true">OFFSET(VolSkewCoef,0,impvol_order-2)+OFFSET(VolSkewCoef,1,impvol_order-2)*F30+OFFSET(VolSkewCoef,2,impvol_order-2)*F30^2+IF(impvol_order&gt;2,OFFSET(VolSkewCoef,3,impvol_order-2)*F30^3,0)+IF(impvol_order&gt;3,OFFSET(VolSkewCoef,4,impvol_order-2)*F30^4,0)+IF(impvol_order&gt;4,OFFSET(VolSkewCoef,5,impvol_order-2)*F30^5,0)</f>
        <v>0.519976247346096</v>
      </c>
      <c r="I30" s="64" t="n">
        <f aca="true">OFFSET(VolSkewCoef,0,impvol_order-2)+OFFSET(VolSkewCoef,1,impvol_order-2)*E30+OFFSET(VolSkewCoef,2,impvol_order-2)*E30^2+IF(impvol_order&gt;2,OFFSET(VolSkewCoef,3,impvol_order-2)*E30^3,0)+IF(impvol_order&gt;3,OFFSET(VolSkewCoef,4,impvol_order-2)*E30^4,0)+IF(impvol_order&gt;4,OFFSET(VolSkewCoef,5,impvol_order-2)*E30^5,0)</f>
        <v>0.520006691917432</v>
      </c>
      <c r="J30" s="64" t="n">
        <f aca="true">OFFSET(VolSkewCoef,0,impvol_order-2)+OFFSET(VolSkewCoef,1,impvol_order-2)*G30+OFFSET(VolSkewCoef,2,impvol_order-2)*G30^2+IF(impvol_order&gt;2,OFFSET(VolSkewCoef,3,impvol_order-2)*G30^3,0)+IF(impvol_order&gt;3,OFFSET(VolSkewCoef,4,impvol_order-2)*G30^4,0)+IF(impvol_order&gt;4,OFFSET(VolSkewCoef,5,impvol_order-2)*G30^5,0)</f>
        <v>0.520037225576877</v>
      </c>
      <c r="L30" s="79" t="e">
        <f aca="false">EURO(UnderlyingPrice,$D30,IntRate,Yield,$I30,$D$6,L$12,0)</f>
        <v>#NAME?</v>
      </c>
      <c r="M30" s="79" t="e">
        <f aca="false">EURO(UnderlyingPrice,$D30,IntRate,Yield,$I30,$D$6,M$12,0)</f>
        <v>#NAME?</v>
      </c>
      <c r="O30" s="79" t="e">
        <f aca="false">EURO(UnderlyingPrice,$D30*(1+$P$8),IntRate,Yield,$H30,Expiry-Today,O$12,0)</f>
        <v>#NAME?</v>
      </c>
      <c r="P30" s="79" t="e">
        <f aca="false">EURO(UnderlyingPrice,$D30*(1+$P$8),IntRate,Yield,$H30,Expiry-Today,P$12,0)</f>
        <v>#NAME?</v>
      </c>
      <c r="R30" s="79" t="e">
        <f aca="false">EURO(UnderlyingPrice,$D30*(1-$P$8),IntRate,Yield,$J30,Expiry-Today,R$12,0)</f>
        <v>#NAME?</v>
      </c>
      <c r="S30" s="79" t="e">
        <f aca="false">EURO(UnderlyingPrice,$D30*(1-$P$8),IntRate,Yield,$J30,Expiry-Today,S$12,0)</f>
        <v>#NAME?</v>
      </c>
      <c r="U30" s="80" t="e">
        <f aca="false">(O30+R30-2*L30)/($P$8*D30)^2</f>
        <v>#NAME?</v>
      </c>
      <c r="V30" s="80"/>
      <c r="W30" s="81" t="e">
        <f aca="false">U30/$D$9</f>
        <v>#NAME?</v>
      </c>
      <c r="X30" s="78"/>
      <c r="Z30" s="80" t="n">
        <f aca="false">(1/(D30*SQRT(2*PI()*T/365.25*ATMImpVol^2)))</f>
        <v>0.338370326958965</v>
      </c>
      <c r="AA30" s="80" t="n">
        <f aca="false">LN(D30/UnderlyingPrice)+0.5*T/365.25*ATMImpVol^2</f>
        <v>-0.244624863157281</v>
      </c>
      <c r="AB30" s="80" t="n">
        <f aca="false">-(AA30^2)</f>
        <v>-0.0598413236747184</v>
      </c>
      <c r="AC30" s="80" t="n">
        <f aca="false">AB30/(2*T/365.25*ATMImpVol^2)</f>
        <v>-0.278184799452619</v>
      </c>
      <c r="AD30" s="82" t="n">
        <f aca="false">EXP(AC30)</f>
        <v>0.757156886406614</v>
      </c>
      <c r="AE30" s="82" t="n">
        <f aca="false">AD30*Z30</f>
        <v>0.256199423212638</v>
      </c>
      <c r="AF30" s="82"/>
      <c r="AG30" s="83" t="n">
        <f aca="false">(LN($D30/UnderlyingPrice)+0.5*ATMImpVol^2*(T/365.25))/(ATMImpVol*SQRT(T/365.25))</f>
        <v>-0.745901869487695</v>
      </c>
      <c r="AH30" s="83" t="n">
        <f aca="false">(LN(($D30*(1+$P$8))/UnderlyingPrice)+0.5*ATMImpVol^2*(T/365.25))/(ATMImpVol*SQRT(T/365.25))</f>
        <v>-0.744377667396111</v>
      </c>
      <c r="AI30" s="83" t="n">
        <f aca="false">(LN($D30*(1-$P$8)/UnderlyingPrice)+0.5*ATMImpVol^2*(T/365.25))/(ATMImpVol*SQRT(T/365.25))</f>
        <v>-0.747426833870929</v>
      </c>
      <c r="AJ30" s="83"/>
      <c r="AK30" s="83" t="e">
        <f aca="false">W30/(AH30-AI30)*(D30*2*$P$8)</f>
        <v>#NAME?</v>
      </c>
      <c r="AL30" s="83"/>
      <c r="AM30" s="84" t="n">
        <v>-1.4</v>
      </c>
      <c r="AN30" s="85" t="n">
        <f aca="false">NORMDIST(AM30,0,1,FALSE())</f>
        <v>0.149727465635745</v>
      </c>
      <c r="AP30" s="51" t="s">
        <v>112</v>
      </c>
      <c r="AQ30" s="94" t="e">
        <f aca="false">1-AQ29</f>
        <v>#NAME?</v>
      </c>
      <c r="AR30" s="54"/>
      <c r="AX30" s="87" t="n">
        <f aca="true">OFFSET(ENAVolCoef,0,impvol_order-2)+OFFSET(ENAVolCoef,1,impvol_order-2)*E30+OFFSET(ENAVolCoef,2,impvol_order-2)*E30^2+IF(impvol_order&gt;2,OFFSET(ENAVolCoef,3,impvol_order-2)*E30^3,0)+IF(impvol_order&gt;3,OFFSET(ENAVolCoef,4,impvol_order-2)*E30^4,0)+IF(impvol_order&gt;4,OFFSET(ENAVolCoef,5,impvol_order-2)*E30^5,0)</f>
        <v>0.494167227554857</v>
      </c>
      <c r="AY30" s="87" t="n">
        <f aca="true">OFFSET(ENAVolCoef,0,impvol_order-2)+OFFSET(ENAVolCoef,1,impvol_order-2)*F30+OFFSET(ENAVolCoef,2,impvol_order-2)*F30^2+IF(impvol_order&gt;2,OFFSET(ENAVolCoef,3,impvol_order-2)*F30^3,0)+IF(impvol_order&gt;3,OFFSET(ENAVolCoef,4,impvol_order-2)*F30^4,0)+IF(impvol_order&gt;4,OFFSET(ENAVolCoef,5,impvol_order-2)*F30^5,0)</f>
        <v>0.494143275635686</v>
      </c>
      <c r="AZ30" s="87" t="n">
        <f aca="true">OFFSET(ENAVolCoef,0,impvol_order-2)+OFFSET(ENAVolCoef,1,impvol_order-2)*G30+OFFSET(ENAVolCoef,2,impvol_order-2)*G30^2+IF(impvol_order&gt;2,OFFSET(ENAVolCoef,3,impvol_order-2)*G30^3,0)+IF(impvol_order&gt;3,OFFSET(ENAVolCoef,4,impvol_order-2)*G30^4,0)+IF(impvol_order&gt;4,OFFSET(ENAVolCoef,5,impvol_order-2)*G30^5,0)</f>
        <v>0.494191245271523</v>
      </c>
      <c r="BB30" s="48" t="e">
        <f aca="false">EURO(UnderlyingPrice,$D30,IntRate,Yield,AX30,$D$6,1,0)</f>
        <v>#NAME?</v>
      </c>
      <c r="BC30" s="48" t="e">
        <f aca="false">EURO(UnderlyingPrice,$D30*(1+$P$8),IntRate,Yield,AY30,$D$6,1,0)</f>
        <v>#NAME?</v>
      </c>
      <c r="BD30" s="48" t="e">
        <f aca="false">EURO(UnderlyingPrice,$D30*(1-$P$8),IntRate,Yield,AZ30,$D$6,1,0)</f>
        <v>#NAME?</v>
      </c>
      <c r="BF30" s="80" t="e">
        <f aca="false">(BC30+BD30-2*BB30)/($P$8*$D30)^2</f>
        <v>#NAME?</v>
      </c>
      <c r="BG30" s="48" t="e">
        <f aca="false">+BF30/$D$9</f>
        <v>#NAME?</v>
      </c>
      <c r="BI30" s="79" t="e">
        <f aca="false">+BB30-L30</f>
        <v>#NAME?</v>
      </c>
      <c r="BJ30" s="65" t="e">
        <f aca="false">+BI30/BB30</f>
        <v>#NAME?</v>
      </c>
    </row>
    <row r="31" customFormat="false" ht="11.25" hidden="false" customHeight="false" outlineLevel="0" collapsed="false">
      <c r="C31" s="77" t="n">
        <v>18</v>
      </c>
      <c r="D31" s="78" t="n">
        <f aca="true">D30+(ROUNDUP(MAX(StrikeRange),1)-ROUNDDOWN(MIN(StrikeRange),1))/100</f>
        <v>3.63</v>
      </c>
      <c r="E31" s="64" t="n">
        <f aca="false">+D31/UnderlyingPrice-1</f>
        <v>-0.250773993808049</v>
      </c>
      <c r="F31" s="64" t="n">
        <f aca="false">+D31*(1+$P$8)/UnderlyingPrice-1</f>
        <v>-0.250399380804953</v>
      </c>
      <c r="G31" s="64" t="n">
        <f aca="false">+D31*(1-$P$8)/UnderlyingPrice-1</f>
        <v>-0.251148606811145</v>
      </c>
      <c r="H31" s="64" t="n">
        <f aca="true">OFFSET(VolSkewCoef,0,impvol_order-2)+OFFSET(VolSkewCoef,1,impvol_order-2)*F31+OFFSET(VolSkewCoef,2,impvol_order-2)*F31^2+IF(impvol_order&gt;2,OFFSET(VolSkewCoef,3,impvol_order-2)*F31^3,0)+IF(impvol_order&gt;3,OFFSET(VolSkewCoef,4,impvol_order-2)*F31^4,0)+IF(impvol_order&gt;4,OFFSET(VolSkewCoef,5,impvol_order-2)*F31^5,0)</f>
        <v>0.519400849084417</v>
      </c>
      <c r="I31" s="64" t="n">
        <f aca="true">OFFSET(VolSkewCoef,0,impvol_order-2)+OFFSET(VolSkewCoef,1,impvol_order-2)*E31+OFFSET(VolSkewCoef,2,impvol_order-2)*E31^2+IF(impvol_order&gt;2,OFFSET(VolSkewCoef,3,impvol_order-2)*E31^3,0)+IF(impvol_order&gt;3,OFFSET(VolSkewCoef,4,impvol_order-2)*E31^4,0)+IF(impvol_order&gt;4,OFFSET(VolSkewCoef,5,impvol_order-2)*E31^5,0)</f>
        <v>0.519429848453572</v>
      </c>
      <c r="J31" s="64" t="n">
        <f aca="true">OFFSET(VolSkewCoef,0,impvol_order-2)+OFFSET(VolSkewCoef,1,impvol_order-2)*G31+OFFSET(VolSkewCoef,2,impvol_order-2)*G31^2+IF(impvol_order&gt;2,OFFSET(VolSkewCoef,3,impvol_order-2)*G31^3,0)+IF(impvol_order&gt;3,OFFSET(VolSkewCoef,4,impvol_order-2)*G31^4,0)+IF(impvol_order&gt;4,OFFSET(VolSkewCoef,5,impvol_order-2)*G31^5,0)</f>
        <v>0.519458937628366</v>
      </c>
      <c r="L31" s="79" t="e">
        <f aca="false">EURO(UnderlyingPrice,$D31,IntRate,Yield,$I31,$D$6,L$12,0)</f>
        <v>#NAME?</v>
      </c>
      <c r="M31" s="79" t="e">
        <f aca="false">EURO(UnderlyingPrice,$D31,IntRate,Yield,$I31,$D$6,M$12,0)</f>
        <v>#NAME?</v>
      </c>
      <c r="O31" s="79" t="e">
        <f aca="false">EURO(UnderlyingPrice,$D31*(1+$P$8),IntRate,Yield,$H31,Expiry-Today,O$12,0)</f>
        <v>#NAME?</v>
      </c>
      <c r="P31" s="79" t="e">
        <f aca="false">EURO(UnderlyingPrice,$D31*(1+$P$8),IntRate,Yield,$H31,Expiry-Today,P$12,0)</f>
        <v>#NAME?</v>
      </c>
      <c r="R31" s="79" t="e">
        <f aca="false">EURO(UnderlyingPrice,$D31*(1-$P$8),IntRate,Yield,$J31,Expiry-Today,R$12,0)</f>
        <v>#NAME?</v>
      </c>
      <c r="S31" s="79" t="e">
        <f aca="false">EURO(UnderlyingPrice,$D31*(1-$P$8),IntRate,Yield,$J31,Expiry-Today,S$12,0)</f>
        <v>#NAME?</v>
      </c>
      <c r="U31" s="80" t="e">
        <f aca="false">(O31+R31-2*L31)/($P$8*D31)^2</f>
        <v>#NAME?</v>
      </c>
      <c r="V31" s="80"/>
      <c r="W31" s="81" t="e">
        <f aca="false">U31/$D$9</f>
        <v>#NAME?</v>
      </c>
      <c r="X31" s="78"/>
      <c r="Z31" s="80" t="n">
        <f aca="false">(1/(D31*SQRT(2*PI()*T/365.25*ATMImpVol^2)))</f>
        <v>0.335107803145312</v>
      </c>
      <c r="AA31" s="80" t="n">
        <f aca="false">LN(D31/UnderlyingPrice)+0.5*T/365.25*ATMImpVol^2</f>
        <v>-0.234936206053531</v>
      </c>
      <c r="AB31" s="80" t="n">
        <f aca="false">-(AA31^2)</f>
        <v>-0.0551950209148274</v>
      </c>
      <c r="AC31" s="80" t="n">
        <f aca="false">AB31/(2*T/365.25*ATMImpVol^2)</f>
        <v>-0.256585497798092</v>
      </c>
      <c r="AD31" s="82" t="n">
        <f aca="false">EXP(AC31)</f>
        <v>0.77368884303912</v>
      </c>
      <c r="AE31" s="82" t="n">
        <f aca="false">AD31*Z31</f>
        <v>0.259269168508877</v>
      </c>
      <c r="AF31" s="82"/>
      <c r="AG31" s="83" t="n">
        <f aca="false">(LN($D31/UnderlyingPrice)+0.5*ATMImpVol^2*(T/365.25))/(ATMImpVol*SQRT(T/365.25))</f>
        <v>-0.716359543522793</v>
      </c>
      <c r="AH31" s="83" t="n">
        <f aca="false">(LN(($D31*(1+$P$8))/UnderlyingPrice)+0.5*ATMImpVol^2*(T/365.25))/(ATMImpVol*SQRT(T/365.25))</f>
        <v>-0.714835341431209</v>
      </c>
      <c r="AI31" s="83" t="n">
        <f aca="false">(LN($D31*(1-$P$8)/UnderlyingPrice)+0.5*ATMImpVol^2*(T/365.25))/(ATMImpVol*SQRT(T/365.25))</f>
        <v>-0.717884507906027</v>
      </c>
      <c r="AJ31" s="83"/>
      <c r="AK31" s="83" t="e">
        <f aca="false">W31/(AH31-AI31)*(D31*2*$P$8)</f>
        <v>#NAME?</v>
      </c>
      <c r="AL31" s="83"/>
      <c r="AM31" s="84" t="n">
        <v>-1.3</v>
      </c>
      <c r="AN31" s="85" t="n">
        <f aca="false">NORMDIST(AM31,0,1,FALSE())</f>
        <v>0.171368592047807</v>
      </c>
      <c r="AP31" s="97" t="s">
        <v>113</v>
      </c>
      <c r="AQ31" s="98" t="e">
        <f aca="false">SQRT(AQ23)/Gamma*((AR24*AR26*(1-AR25))+(AQ24*AQ26*AQ25))</f>
        <v>#NUM!</v>
      </c>
      <c r="AR31" s="96"/>
      <c r="AX31" s="87" t="n">
        <f aca="true">OFFSET(ENAVolCoef,0,impvol_order-2)+OFFSET(ENAVolCoef,1,impvol_order-2)*E31+OFFSET(ENAVolCoef,2,impvol_order-2)*E31^2+IF(impvol_order&gt;2,OFFSET(ENAVolCoef,3,impvol_order-2)*E31^3,0)+IF(impvol_order&gt;3,OFFSET(ENAVolCoef,4,impvol_order-2)*E31^4,0)+IF(impvol_order&gt;4,OFFSET(ENAVolCoef,5,impvol_order-2)*E31^5,0)</f>
        <v>0.493712641948887</v>
      </c>
      <c r="AY31" s="87" t="n">
        <f aca="true">OFFSET(ENAVolCoef,0,impvol_order-2)+OFFSET(ENAVolCoef,1,impvol_order-2)*F31+OFFSET(ENAVolCoef,2,impvol_order-2)*F31^2+IF(impvol_order&gt;2,OFFSET(ENAVolCoef,3,impvol_order-2)*F31^3,0)+IF(impvol_order&gt;3,OFFSET(ENAVolCoef,4,impvol_order-2)*F31^4,0)+IF(impvol_order&gt;4,OFFSET(ENAVolCoef,5,impvol_order-2)*F31^5,0)</f>
        <v>0.493689744461918</v>
      </c>
      <c r="AZ31" s="87" t="n">
        <f aca="true">OFFSET(ENAVolCoef,0,impvol_order-2)+OFFSET(ENAVolCoef,1,impvol_order-2)*G31+OFFSET(ENAVolCoef,2,impvol_order-2)*G31^2+IF(impvol_order&gt;2,OFFSET(ENAVolCoef,3,impvol_order-2)*G31^3,0)+IF(impvol_order&gt;3,OFFSET(ENAVolCoef,4,impvol_order-2)*G31^4,0)+IF(impvol_order&gt;4,OFFSET(ENAVolCoef,5,impvol_order-2)*G31^5,0)</f>
        <v>0.493735605894678</v>
      </c>
      <c r="BB31" s="48" t="e">
        <f aca="false">EURO(UnderlyingPrice,$D31,IntRate,Yield,AX31,$D$6,1,0)</f>
        <v>#NAME?</v>
      </c>
      <c r="BC31" s="48" t="e">
        <f aca="false">EURO(UnderlyingPrice,$D31*(1+$P$8),IntRate,Yield,AY31,$D$6,1,0)</f>
        <v>#NAME?</v>
      </c>
      <c r="BD31" s="48" t="e">
        <f aca="false">EURO(UnderlyingPrice,$D31*(1-$P$8),IntRate,Yield,AZ31,$D$6,1,0)</f>
        <v>#NAME?</v>
      </c>
      <c r="BF31" s="80" t="e">
        <f aca="false">(BC31+BD31-2*BB31)/($P$8*$D31)^2</f>
        <v>#NAME?</v>
      </c>
      <c r="BG31" s="48" t="e">
        <f aca="false">+BF31/$D$9</f>
        <v>#NAME?</v>
      </c>
      <c r="BI31" s="79" t="e">
        <f aca="false">+BB31-L31</f>
        <v>#NAME?</v>
      </c>
      <c r="BJ31" s="65" t="e">
        <f aca="false">+BI31/BB31</f>
        <v>#NAME?</v>
      </c>
    </row>
    <row r="32" customFormat="false" ht="11.25" hidden="false" customHeight="false" outlineLevel="0" collapsed="false">
      <c r="C32" s="77" t="n">
        <v>19</v>
      </c>
      <c r="D32" s="78" t="n">
        <f aca="true">D31+(ROUNDUP(MAX(StrikeRange),1)-ROUNDDOWN(MIN(StrikeRange),1))/100</f>
        <v>3.665</v>
      </c>
      <c r="E32" s="64" t="n">
        <f aca="false">+D32/UnderlyingPrice-1</f>
        <v>-0.243550051599587</v>
      </c>
      <c r="F32" s="64" t="n">
        <f aca="false">+D32*(1+$P$8)/UnderlyingPrice-1</f>
        <v>-0.243171826625386</v>
      </c>
      <c r="G32" s="64" t="n">
        <f aca="false">+D32*(1-$P$8)/UnderlyingPrice-1</f>
        <v>-0.243928276573787</v>
      </c>
      <c r="H32" s="64" t="n">
        <f aca="true">OFFSET(VolSkewCoef,0,impvol_order-2)+OFFSET(VolSkewCoef,1,impvol_order-2)*F32+OFFSET(VolSkewCoef,2,impvol_order-2)*F32^2+IF(impvol_order&gt;2,OFFSET(VolSkewCoef,3,impvol_order-2)*F32^3,0)+IF(impvol_order&gt;3,OFFSET(VolSkewCoef,4,impvol_order-2)*F32^4,0)+IF(impvol_order&gt;4,OFFSET(VolSkewCoef,5,impvol_order-2)*F32^5,0)</f>
        <v>0.518858859813175</v>
      </c>
      <c r="I32" s="64" t="n">
        <f aca="true">OFFSET(VolSkewCoef,0,impvol_order-2)+OFFSET(VolSkewCoef,1,impvol_order-2)*E32+OFFSET(VolSkewCoef,2,impvol_order-2)*E32^2+IF(impvol_order&gt;2,OFFSET(VolSkewCoef,3,impvol_order-2)*E32^3,0)+IF(impvol_order&gt;3,OFFSET(VolSkewCoef,4,impvol_order-2)*E32^4,0)+IF(impvol_order&gt;4,OFFSET(VolSkewCoef,5,impvol_order-2)*E32^5,0)</f>
        <v>0.51888640037345</v>
      </c>
      <c r="J32" s="64" t="n">
        <f aca="true">OFFSET(VolSkewCoef,0,impvol_order-2)+OFFSET(VolSkewCoef,1,impvol_order-2)*G32+OFFSET(VolSkewCoef,2,impvol_order-2)*G32^2+IF(impvol_order&gt;2,OFFSET(VolSkewCoef,3,impvol_order-2)*G32^3,0)+IF(impvol_order&gt;3,OFFSET(VolSkewCoef,4,impvol_order-2)*G32^4,0)+IF(impvol_order&gt;4,OFFSET(VolSkewCoef,5,impvol_order-2)*G32^5,0)</f>
        <v>0.518914031434038</v>
      </c>
      <c r="L32" s="79" t="e">
        <f aca="false">EURO(UnderlyingPrice,$D32,IntRate,Yield,$I32,$D$6,L$12,0)</f>
        <v>#NAME?</v>
      </c>
      <c r="M32" s="79" t="e">
        <f aca="false">EURO(UnderlyingPrice,$D32,IntRate,Yield,$I32,$D$6,M$12,0)</f>
        <v>#NAME?</v>
      </c>
      <c r="O32" s="79" t="e">
        <f aca="false">EURO(UnderlyingPrice,$D32*(1+$P$8),IntRate,Yield,$H32,Expiry-Today,O$12,0)</f>
        <v>#NAME?</v>
      </c>
      <c r="P32" s="79" t="e">
        <f aca="false">EURO(UnderlyingPrice,$D32*(1+$P$8),IntRate,Yield,$H32,Expiry-Today,P$12,0)</f>
        <v>#NAME?</v>
      </c>
      <c r="R32" s="79" t="e">
        <f aca="false">EURO(UnderlyingPrice,$D32*(1-$P$8),IntRate,Yield,$J32,Expiry-Today,R$12,0)</f>
        <v>#NAME?</v>
      </c>
      <c r="S32" s="79" t="e">
        <f aca="false">EURO(UnderlyingPrice,$D32*(1-$P$8),IntRate,Yield,$J32,Expiry-Today,S$12,0)</f>
        <v>#NAME?</v>
      </c>
      <c r="U32" s="80" t="e">
        <f aca="false">(O32+R32-2*L32)/($P$8*D32)^2</f>
        <v>#NAME?</v>
      </c>
      <c r="V32" s="80"/>
      <c r="W32" s="81" t="e">
        <f aca="false">U32/$D$9</f>
        <v>#NAME?</v>
      </c>
      <c r="X32" s="78"/>
      <c r="Z32" s="80" t="n">
        <f aca="false">(1/(D32*SQRT(2*PI()*T/365.25*ATMImpVol^2)))</f>
        <v>0.331907592201223</v>
      </c>
      <c r="AA32" s="80" t="n">
        <f aca="false">LN(D32/UnderlyingPrice)+0.5*T/365.25*ATMImpVol^2</f>
        <v>-0.225340518991676</v>
      </c>
      <c r="AB32" s="80" t="n">
        <f aca="false">-(AA32^2)</f>
        <v>-0.0507783494994379</v>
      </c>
      <c r="AC32" s="80" t="n">
        <f aca="false">AB32/(2*T/365.25*ATMImpVol^2)</f>
        <v>-0.236053685055833</v>
      </c>
      <c r="AD32" s="82" t="n">
        <f aca="false">EXP(AC32)</f>
        <v>0.789738275651314</v>
      </c>
      <c r="AE32" s="82" t="n">
        <f aca="false">AD32*Z32</f>
        <v>0.262120129540573</v>
      </c>
      <c r="AF32" s="82"/>
      <c r="AG32" s="83" t="n">
        <f aca="false">(LN($D32/UnderlyingPrice)+0.5*ATMImpVol^2*(T/365.25))/(ATMImpVol*SQRT(T/365.25))</f>
        <v>-0.687100698669173</v>
      </c>
      <c r="AH32" s="83" t="n">
        <f aca="false">(LN(($D32*(1+$P$8))/UnderlyingPrice)+0.5*ATMImpVol^2*(T/365.25))/(ATMImpVol*SQRT(T/365.25))</f>
        <v>-0.685576496577589</v>
      </c>
      <c r="AI32" s="83" t="n">
        <f aca="false">(LN($D32*(1-$P$8)/UnderlyingPrice)+0.5*ATMImpVol^2*(T/365.25))/(ATMImpVol*SQRT(T/365.25))</f>
        <v>-0.688625663052407</v>
      </c>
      <c r="AJ32" s="83"/>
      <c r="AK32" s="83" t="e">
        <f aca="false">W32/(AH32-AI32)*(D32*2*$P$8)</f>
        <v>#NAME?</v>
      </c>
      <c r="AL32" s="83"/>
      <c r="AM32" s="84" t="n">
        <v>-1.2</v>
      </c>
      <c r="AN32" s="85" t="n">
        <f aca="false">NORMDIST(AM32,0,1,FALSE())</f>
        <v>0.194186054983213</v>
      </c>
      <c r="AX32" s="87" t="n">
        <f aca="true">OFFSET(ENAVolCoef,0,impvol_order-2)+OFFSET(ENAVolCoef,1,impvol_order-2)*E32+OFFSET(ENAVolCoef,2,impvol_order-2)*E32^2+IF(impvol_order&gt;2,OFFSET(ENAVolCoef,3,impvol_order-2)*E32^3,0)+IF(impvol_order&gt;3,OFFSET(ENAVolCoef,4,impvol_order-2)*E32^4,0)+IF(impvol_order&gt;4,OFFSET(ENAVolCoef,5,impvol_order-2)*E32^5,0)</f>
        <v>0.493282769911587</v>
      </c>
      <c r="AY32" s="87" t="n">
        <f aca="true">OFFSET(ENAVolCoef,0,impvol_order-2)+OFFSET(ENAVolCoef,1,impvol_order-2)*F32+OFFSET(ENAVolCoef,2,impvol_order-2)*F32^2+IF(impvol_order&gt;2,OFFSET(ENAVolCoef,3,impvol_order-2)*F32^3,0)+IF(impvol_order&gt;3,OFFSET(ENAVolCoef,4,impvol_order-2)*F32^4,0)+IF(impvol_order&gt;4,OFFSET(ENAVolCoef,5,impvol_order-2)*F32^5,0)</f>
        <v>0.493260939491229</v>
      </c>
      <c r="AZ32" s="87" t="n">
        <f aca="true">OFFSET(ENAVolCoef,0,impvol_order-2)+OFFSET(ENAVolCoef,1,impvol_order-2)*G32+OFFSET(ENAVolCoef,2,impvol_order-2)*G32^2+IF(impvol_order&gt;2,OFFSET(ENAVolCoef,3,impvol_order-2)*G32^3,0)+IF(impvol_order&gt;3,OFFSET(ENAVolCoef,4,impvol_order-2)*G32^4,0)+IF(impvol_order&gt;4,OFFSET(ENAVolCoef,5,impvol_order-2)*G32^5,0)</f>
        <v>0.493304667440303</v>
      </c>
      <c r="BB32" s="48" t="e">
        <f aca="false">EURO(UnderlyingPrice,$D32,IntRate,Yield,AX32,$D$6,1,0)</f>
        <v>#NAME?</v>
      </c>
      <c r="BC32" s="48" t="e">
        <f aca="false">EURO(UnderlyingPrice,$D32*(1+$P$8),IntRate,Yield,AY32,$D$6,1,0)</f>
        <v>#NAME?</v>
      </c>
      <c r="BD32" s="48" t="e">
        <f aca="false">EURO(UnderlyingPrice,$D32*(1-$P$8),IntRate,Yield,AZ32,$D$6,1,0)</f>
        <v>#NAME?</v>
      </c>
      <c r="BF32" s="80" t="e">
        <f aca="false">(BC32+BD32-2*BB32)/($P$8*$D32)^2</f>
        <v>#NAME?</v>
      </c>
      <c r="BG32" s="48" t="e">
        <f aca="false">+BF32/$D$9</f>
        <v>#NAME?</v>
      </c>
      <c r="BI32" s="79" t="e">
        <f aca="false">+BB32-L32</f>
        <v>#NAME?</v>
      </c>
      <c r="BJ32" s="65" t="e">
        <f aca="false">+BI32/BB32</f>
        <v>#NAME?</v>
      </c>
    </row>
    <row r="33" customFormat="false" ht="11.25" hidden="false" customHeight="false" outlineLevel="0" collapsed="false">
      <c r="C33" s="77" t="n">
        <v>20</v>
      </c>
      <c r="D33" s="78" t="n">
        <f aca="true">D32+(ROUNDUP(MAX(StrikeRange),1)-ROUNDDOWN(MIN(StrikeRange),1))/100</f>
        <v>3.7</v>
      </c>
      <c r="E33" s="64" t="n">
        <f aca="false">+D33/UnderlyingPrice-1</f>
        <v>-0.236326109391124</v>
      </c>
      <c r="F33" s="64" t="n">
        <f aca="false">+D33*(1+$P$8)/UnderlyingPrice-1</f>
        <v>-0.23594427244582</v>
      </c>
      <c r="G33" s="64" t="n">
        <f aca="false">+D33*(1-$P$8)/UnderlyingPrice-1</f>
        <v>-0.236707946336429</v>
      </c>
      <c r="H33" s="64" t="n">
        <f aca="true">OFFSET(VolSkewCoef,0,impvol_order-2)+OFFSET(VolSkewCoef,1,impvol_order-2)*F33+OFFSET(VolSkewCoef,2,impvol_order-2)*F33^2+IF(impvol_order&gt;2,OFFSET(VolSkewCoef,3,impvol_order-2)*F33^3,0)+IF(impvol_order&gt;3,OFFSET(VolSkewCoef,4,impvol_order-2)*F33^4,0)+IF(impvol_order&gt;4,OFFSET(VolSkewCoef,5,impvol_order-2)*F33^5,0)</f>
        <v>0.518349897580493</v>
      </c>
      <c r="I33" s="64" t="n">
        <f aca="true">OFFSET(VolSkewCoef,0,impvol_order-2)+OFFSET(VolSkewCoef,1,impvol_order-2)*E33+OFFSET(VolSkewCoef,2,impvol_order-2)*E33^2+IF(impvol_order&gt;2,OFFSET(VolSkewCoef,3,impvol_order-2)*E33^3,0)+IF(impvol_order&gt;3,OFFSET(VolSkewCoef,4,impvol_order-2)*E33^4,0)+IF(impvol_order&gt;4,OFFSET(VolSkewCoef,5,impvol_order-2)*E33^5,0)</f>
        <v>0.518375966297546</v>
      </c>
      <c r="J33" s="64" t="n">
        <f aca="true">OFFSET(VolSkewCoef,0,impvol_order-2)+OFFSET(VolSkewCoef,1,impvol_order-2)*G33+OFFSET(VolSkewCoef,2,impvol_order-2)*G33^2+IF(impvol_order&gt;2,OFFSET(VolSkewCoef,3,impvol_order-2)*G33^3,0)+IF(impvol_order&gt;3,OFFSET(VolSkewCoef,4,impvol_order-2)*G33^4,0)+IF(impvol_order&gt;4,OFFSET(VolSkewCoef,5,impvol_order-2)*G33^5,0)</f>
        <v>0.518402126186156</v>
      </c>
      <c r="L33" s="79" t="e">
        <f aca="false">EURO(UnderlyingPrice,$D33,IntRate,Yield,$I33,$D$6,L$12,0)</f>
        <v>#NAME?</v>
      </c>
      <c r="M33" s="79" t="e">
        <f aca="false">EURO(UnderlyingPrice,$D33,IntRate,Yield,$I33,$D$6,M$12,0)</f>
        <v>#NAME?</v>
      </c>
      <c r="O33" s="79" t="e">
        <f aca="false">EURO(UnderlyingPrice,$D33*(1+$P$8),IntRate,Yield,$H33,Expiry-Today,O$12,0)</f>
        <v>#NAME?</v>
      </c>
      <c r="P33" s="79" t="e">
        <f aca="false">EURO(UnderlyingPrice,$D33*(1+$P$8),IntRate,Yield,$H33,Expiry-Today,P$12,0)</f>
        <v>#NAME?</v>
      </c>
      <c r="R33" s="79" t="e">
        <f aca="false">EURO(UnderlyingPrice,$D33*(1-$P$8),IntRate,Yield,$J33,Expiry-Today,R$12,0)</f>
        <v>#NAME?</v>
      </c>
      <c r="S33" s="79" t="e">
        <f aca="false">EURO(UnderlyingPrice,$D33*(1-$P$8),IntRate,Yield,$J33,Expiry-Today,S$12,0)</f>
        <v>#NAME?</v>
      </c>
      <c r="U33" s="80" t="e">
        <f aca="false">(O33+R33-2*L33)/($P$8*D33)^2</f>
        <v>#NAME?</v>
      </c>
      <c r="V33" s="80"/>
      <c r="W33" s="81" t="e">
        <f aca="false">U33/$D$9</f>
        <v>#NAME?</v>
      </c>
      <c r="X33" s="78"/>
      <c r="Z33" s="80" t="n">
        <f aca="false">(1/(D33*SQRT(2*PI()*T/365.25*ATMImpVol^2)))</f>
        <v>0.328767925788508</v>
      </c>
      <c r="AA33" s="80" t="n">
        <f aca="false">LN(D33/UnderlyingPrice)+0.5*T/365.25*ATMImpVol^2</f>
        <v>-0.215836034680112</v>
      </c>
      <c r="AB33" s="80" t="n">
        <f aca="false">-(AA33^2)</f>
        <v>-0.0465851938664345</v>
      </c>
      <c r="AC33" s="80" t="n">
        <f aca="false">AB33/(2*T/365.25*ATMImpVol^2)</f>
        <v>-0.216560931767465</v>
      </c>
      <c r="AD33" s="82" t="n">
        <f aca="false">EXP(AC33)</f>
        <v>0.805283466082863</v>
      </c>
      <c r="AE33" s="82" t="n">
        <f aca="false">AD33*Z33</f>
        <v>0.264751374815843</v>
      </c>
      <c r="AF33" s="82"/>
      <c r="AG33" s="83" t="n">
        <f aca="false">(LN($D33/UnderlyingPrice)+0.5*ATMImpVol^2*(T/365.25))/(ATMImpVol*SQRT(T/365.25))</f>
        <v>-0.658119946160979</v>
      </c>
      <c r="AH33" s="83" t="n">
        <f aca="false">(LN(($D33*(1+$P$8))/UnderlyingPrice)+0.5*ATMImpVol^2*(T/365.25))/(ATMImpVol*SQRT(T/365.25))</f>
        <v>-0.656595744069395</v>
      </c>
      <c r="AI33" s="83" t="n">
        <f aca="false">(LN($D33*(1-$P$8)/UnderlyingPrice)+0.5*ATMImpVol^2*(T/365.25))/(ATMImpVol*SQRT(T/365.25))</f>
        <v>-0.659644910544213</v>
      </c>
      <c r="AJ33" s="83"/>
      <c r="AK33" s="83" t="e">
        <f aca="false">W33/(AH33-AI33)*(D33*2*$P$8)</f>
        <v>#NAME?</v>
      </c>
      <c r="AL33" s="83"/>
      <c r="AM33" s="84" t="n">
        <v>-1.1</v>
      </c>
      <c r="AN33" s="85" t="n">
        <f aca="false">NORMDIST(AM33,0,1,FALSE())</f>
        <v>0.217852177032551</v>
      </c>
      <c r="AX33" s="87" t="n">
        <f aca="true">OFFSET(ENAVolCoef,0,impvol_order-2)+OFFSET(ENAVolCoef,1,impvol_order-2)*E33+OFFSET(ENAVolCoef,2,impvol_order-2)*E33^2+IF(impvol_order&gt;2,OFFSET(ENAVolCoef,3,impvol_order-2)*E33^3,0)+IF(impvol_order&gt;3,OFFSET(ENAVolCoef,4,impvol_order-2)*E33^4,0)+IF(impvol_order&gt;4,OFFSET(ENAVolCoef,5,impvol_order-2)*E33^5,0)</f>
        <v>0.492877378625247</v>
      </c>
      <c r="AY33" s="87" t="n">
        <f aca="true">OFFSET(ENAVolCoef,0,impvol_order-2)+OFFSET(ENAVolCoef,1,impvol_order-2)*F33+OFFSET(ENAVolCoef,2,impvol_order-2)*F33^2+IF(impvol_order&gt;2,OFFSET(ENAVolCoef,3,impvol_order-2)*F33^3,0)+IF(impvol_order&gt;3,OFFSET(ENAVolCoef,4,impvol_order-2)*F33^4,0)+IF(impvol_order&gt;4,OFFSET(ENAVolCoef,5,impvol_order-2)*F33^5,0)</f>
        <v>0.492856627556509</v>
      </c>
      <c r="AZ33" s="87" t="n">
        <f aca="true">OFFSET(ENAVolCoef,0,impvol_order-2)+OFFSET(ENAVolCoef,1,impvol_order-2)*G33+OFFSET(ENAVolCoef,2,impvol_order-2)*G33^2+IF(impvol_order&gt;2,OFFSET(ENAVolCoef,3,impvol_order-2)*G33^3,0)+IF(impvol_order&gt;3,OFFSET(ENAVolCoef,4,impvol_order-2)*G33^4,0)+IF(impvol_order&gt;4,OFFSET(ENAVolCoef,5,impvol_order-2)*G33^5,0)</f>
        <v>0.492898197439742</v>
      </c>
      <c r="BB33" s="48" t="e">
        <f aca="false">EURO(UnderlyingPrice,$D33,IntRate,Yield,AX33,$D$6,1,0)</f>
        <v>#NAME?</v>
      </c>
      <c r="BC33" s="48" t="e">
        <f aca="false">EURO(UnderlyingPrice,$D33*(1+$P$8),IntRate,Yield,AY33,$D$6,1,0)</f>
        <v>#NAME?</v>
      </c>
      <c r="BD33" s="48" t="e">
        <f aca="false">EURO(UnderlyingPrice,$D33*(1-$P$8),IntRate,Yield,AZ33,$D$6,1,0)</f>
        <v>#NAME?</v>
      </c>
      <c r="BF33" s="80" t="e">
        <f aca="false">(BC33+BD33-2*BB33)/($P$8*$D33)^2</f>
        <v>#NAME?</v>
      </c>
      <c r="BG33" s="48" t="e">
        <f aca="false">+BF33/$D$9</f>
        <v>#NAME?</v>
      </c>
      <c r="BI33" s="79" t="e">
        <f aca="false">+BB33-L33</f>
        <v>#NAME?</v>
      </c>
      <c r="BJ33" s="65" t="e">
        <f aca="false">+BI33/BB33</f>
        <v>#NAME?</v>
      </c>
    </row>
    <row r="34" customFormat="false" ht="11.25" hidden="false" customHeight="false" outlineLevel="0" collapsed="false">
      <c r="C34" s="77" t="n">
        <v>21</v>
      </c>
      <c r="D34" s="78" t="n">
        <f aca="true">D33+(ROUNDUP(MAX(StrikeRange),1)-ROUNDDOWN(MIN(StrikeRange),1))/100</f>
        <v>3.735</v>
      </c>
      <c r="E34" s="64" t="n">
        <f aca="false">+D34/UnderlyingPrice-1</f>
        <v>-0.229102167182662</v>
      </c>
      <c r="F34" s="64" t="n">
        <f aca="false">+D34*(1+$P$8)/UnderlyingPrice-1</f>
        <v>-0.228716718266253</v>
      </c>
      <c r="G34" s="64" t="n">
        <f aca="false">+D34*(1-$P$8)/UnderlyingPrice-1</f>
        <v>-0.229487616099071</v>
      </c>
      <c r="H34" s="64" t="n">
        <f aca="true">OFFSET(VolSkewCoef,0,impvol_order-2)+OFFSET(VolSkewCoef,1,impvol_order-2)*F34+OFFSET(VolSkewCoef,2,impvol_order-2)*F34^2+IF(impvol_order&gt;2,OFFSET(VolSkewCoef,3,impvol_order-2)*F34^3,0)+IF(impvol_order&gt;3,OFFSET(VolSkewCoef,4,impvol_order-2)*F34^4,0)+IF(impvol_order&gt;4,OFFSET(VolSkewCoef,5,impvol_order-2)*F34^5,0)</f>
        <v>0.517873580434498</v>
      </c>
      <c r="I34" s="64" t="n">
        <f aca="true">OFFSET(VolSkewCoef,0,impvol_order-2)+OFFSET(VolSkewCoef,1,impvol_order-2)*E34+OFFSET(VolSkewCoef,2,impvol_order-2)*E34^2+IF(impvol_order&gt;2,OFFSET(VolSkewCoef,3,impvol_order-2)*E34^3,0)+IF(impvol_order&gt;3,OFFSET(VolSkewCoef,4,impvol_order-2)*E34^4,0)+IF(impvol_order&gt;4,OFFSET(VolSkewCoef,5,impvol_order-2)*E34^5,0)</f>
        <v>0.517898164846341</v>
      </c>
      <c r="J34" s="64" t="n">
        <f aca="true">OFFSET(VolSkewCoef,0,impvol_order-2)+OFFSET(VolSkewCoef,1,impvol_order-2)*G34+OFFSET(VolSkewCoef,2,impvol_order-2)*G34^2+IF(impvol_order&gt;2,OFFSET(VolSkewCoef,3,impvol_order-2)*G34^3,0)+IF(impvol_order&gt;3,OFFSET(VolSkewCoef,4,impvol_order-2)*G34^4,0)+IF(impvol_order&gt;4,OFFSET(VolSkewCoef,5,impvol_order-2)*G34^5,0)</f>
        <v>0.517922841076985</v>
      </c>
      <c r="L34" s="79" t="e">
        <f aca="false">EURO(UnderlyingPrice,$D34,IntRate,Yield,$I34,$D$6,L$12,0)</f>
        <v>#NAME?</v>
      </c>
      <c r="M34" s="79" t="e">
        <f aca="false">EURO(UnderlyingPrice,$D34,IntRate,Yield,$I34,$D$6,M$12,0)</f>
        <v>#NAME?</v>
      </c>
      <c r="O34" s="79" t="e">
        <f aca="false">EURO(UnderlyingPrice,$D34*(1+$P$8),IntRate,Yield,$H34,Expiry-Today,O$12,0)</f>
        <v>#NAME?</v>
      </c>
      <c r="P34" s="79" t="e">
        <f aca="false">EURO(UnderlyingPrice,$D34*(1+$P$8),IntRate,Yield,$H34,Expiry-Today,P$12,0)</f>
        <v>#NAME?</v>
      </c>
      <c r="R34" s="79" t="e">
        <f aca="false">EURO(UnderlyingPrice,$D34*(1-$P$8),IntRate,Yield,$J34,Expiry-Today,R$12,0)</f>
        <v>#NAME?</v>
      </c>
      <c r="S34" s="79" t="e">
        <f aca="false">EURO(UnderlyingPrice,$D34*(1-$P$8),IntRate,Yield,$J34,Expiry-Today,S$12,0)</f>
        <v>#NAME?</v>
      </c>
      <c r="U34" s="80" t="e">
        <f aca="false">(O34+R34-2*L34)/($P$8*D34)^2</f>
        <v>#NAME?</v>
      </c>
      <c r="V34" s="80"/>
      <c r="W34" s="81" t="e">
        <f aca="false">U34/$D$9</f>
        <v>#NAME?</v>
      </c>
      <c r="X34" s="78"/>
      <c r="Z34" s="80" t="n">
        <f aca="false">(1/(D34*SQRT(2*PI()*T/365.25*ATMImpVol^2)))</f>
        <v>0.32568710185207</v>
      </c>
      <c r="AA34" s="80" t="n">
        <f aca="false">LN(D34/UnderlyingPrice)+0.5*T/365.25*ATMImpVol^2</f>
        <v>-0.20642103574551</v>
      </c>
      <c r="AB34" s="80" t="n">
        <f aca="false">-(AA34^2)</f>
        <v>-0.0426096439982491</v>
      </c>
      <c r="AC34" s="80" t="n">
        <f aca="false">AB34/(2*T/365.25*ATMImpVol^2)</f>
        <v>-0.198079763991053</v>
      </c>
      <c r="AD34" s="82" t="n">
        <f aca="false">EXP(AC34)</f>
        <v>0.820304419773853</v>
      </c>
      <c r="AE34" s="82" t="n">
        <f aca="false">AD34*Z34</f>
        <v>0.26716256911259</v>
      </c>
      <c r="AF34" s="82"/>
      <c r="AG34" s="83" t="n">
        <f aca="false">(LN($D34/UnderlyingPrice)+0.5*ATMImpVol^2*(T/365.25))/(ATMImpVol*SQRT(T/365.25))</f>
        <v>-0.629412049441466</v>
      </c>
      <c r="AH34" s="83" t="n">
        <f aca="false">(LN(($D34*(1+$P$8))/UnderlyingPrice)+0.5*ATMImpVol^2*(T/365.25))/(ATMImpVol*SQRT(T/365.25))</f>
        <v>-0.627887847349882</v>
      </c>
      <c r="AI34" s="83" t="n">
        <f aca="false">(LN($D34*(1-$P$8)/UnderlyingPrice)+0.5*ATMImpVol^2*(T/365.25))/(ATMImpVol*SQRT(T/365.25))</f>
        <v>-0.6309370138247</v>
      </c>
      <c r="AJ34" s="83"/>
      <c r="AK34" s="83" t="e">
        <f aca="false">W34/(AH34-AI34)*(D34*2*$P$8)</f>
        <v>#NAME?</v>
      </c>
      <c r="AL34" s="83"/>
      <c r="AM34" s="84" t="n">
        <v>-1</v>
      </c>
      <c r="AN34" s="85" t="n">
        <f aca="false">NORMDIST(AM34,0,1,FALSE())</f>
        <v>0.241970724519143</v>
      </c>
      <c r="AX34" s="87" t="n">
        <f aca="true">OFFSET(ENAVolCoef,0,impvol_order-2)+OFFSET(ENAVolCoef,1,impvol_order-2)*E34+OFFSET(ENAVolCoef,2,impvol_order-2)*E34^2+IF(impvol_order&gt;2,OFFSET(ENAVolCoef,3,impvol_order-2)*E34^3,0)+IF(impvol_order&gt;3,OFFSET(ENAVolCoef,4,impvol_order-2)*E34^4,0)+IF(impvol_order&gt;4,OFFSET(ENAVolCoef,5,impvol_order-2)*E34^5,0)</f>
        <v>0.492496235272158</v>
      </c>
      <c r="AY34" s="87" t="n">
        <f aca="true">OFFSET(ENAVolCoef,0,impvol_order-2)+OFFSET(ENAVolCoef,1,impvol_order-2)*F34+OFFSET(ENAVolCoef,2,impvol_order-2)*F34^2+IF(impvol_order&gt;2,OFFSET(ENAVolCoef,3,impvol_order-2)*F34^3,0)+IF(impvol_order&gt;3,OFFSET(ENAVolCoef,4,impvol_order-2)*F34^4,0)+IF(impvol_order&gt;4,OFFSET(ENAVolCoef,5,impvol_order-2)*F34^5,0)</f>
        <v>0.492476575490647</v>
      </c>
      <c r="AZ34" s="87" t="n">
        <f aca="true">OFFSET(ENAVolCoef,0,impvol_order-2)+OFFSET(ENAVolCoef,1,impvol_order-2)*G34+OFFSET(ENAVolCoef,2,impvol_order-2)*G34^2+IF(impvol_order&gt;2,OFFSET(ENAVolCoef,3,impvol_order-2)*G34^3,0)+IF(impvol_order&gt;3,OFFSET(ENAVolCoef,4,impvol_order-2)*G34^4,0)+IF(impvol_order&gt;4,OFFSET(ENAVolCoef,5,impvol_order-2)*G34^5,0)</f>
        <v>0.492515963424336</v>
      </c>
      <c r="BB34" s="48" t="e">
        <f aca="false">EURO(UnderlyingPrice,$D34,IntRate,Yield,AX34,$D$6,1,0)</f>
        <v>#NAME?</v>
      </c>
      <c r="BC34" s="48" t="e">
        <f aca="false">EURO(UnderlyingPrice,$D34*(1+$P$8),IntRate,Yield,AY34,$D$6,1,0)</f>
        <v>#NAME?</v>
      </c>
      <c r="BD34" s="48" t="e">
        <f aca="false">EURO(UnderlyingPrice,$D34*(1-$P$8),IntRate,Yield,AZ34,$D$6,1,0)</f>
        <v>#NAME?</v>
      </c>
      <c r="BF34" s="80" t="e">
        <f aca="false">(BC34+BD34-2*BB34)/($P$8*$D34)^2</f>
        <v>#NAME?</v>
      </c>
      <c r="BG34" s="48" t="e">
        <f aca="false">+BF34/$D$9</f>
        <v>#NAME?</v>
      </c>
      <c r="BI34" s="79" t="e">
        <f aca="false">+BB34-L34</f>
        <v>#NAME?</v>
      </c>
      <c r="BJ34" s="65" t="e">
        <f aca="false">+BI34/BB34</f>
        <v>#NAME?</v>
      </c>
    </row>
    <row r="35" customFormat="false" ht="11.25" hidden="false" customHeight="false" outlineLevel="0" collapsed="false">
      <c r="C35" s="77" t="n">
        <v>22</v>
      </c>
      <c r="D35" s="78" t="n">
        <f aca="true">D34+(ROUNDUP(MAX(StrikeRange),1)-ROUNDDOWN(MIN(StrikeRange),1))/100</f>
        <v>3.77</v>
      </c>
      <c r="E35" s="64" t="n">
        <f aca="false">+D35/UnderlyingPrice-1</f>
        <v>-0.2218782249742</v>
      </c>
      <c r="F35" s="64" t="n">
        <f aca="false">+D35*(1+$P$8)/UnderlyingPrice-1</f>
        <v>-0.221489164086687</v>
      </c>
      <c r="G35" s="64" t="n">
        <f aca="false">+D35*(1-$P$8)/UnderlyingPrice-1</f>
        <v>-0.222267285861712</v>
      </c>
      <c r="H35" s="64" t="n">
        <f aca="true">OFFSET(VolSkewCoef,0,impvol_order-2)+OFFSET(VolSkewCoef,1,impvol_order-2)*F35+OFFSET(VolSkewCoef,2,impvol_order-2)*F35^2+IF(impvol_order&gt;2,OFFSET(VolSkewCoef,3,impvol_order-2)*F35^3,0)+IF(impvol_order&gt;3,OFFSET(VolSkewCoef,4,impvol_order-2)*F35^4,0)+IF(impvol_order&gt;4,OFFSET(VolSkewCoef,5,impvol_order-2)*F35^5,0)</f>
        <v>0.517429526423313</v>
      </c>
      <c r="I35" s="64" t="n">
        <f aca="true">OFFSET(VolSkewCoef,0,impvol_order-2)+OFFSET(VolSkewCoef,1,impvol_order-2)*E35+OFFSET(VolSkewCoef,2,impvol_order-2)*E35^2+IF(impvol_order&gt;2,OFFSET(VolSkewCoef,3,impvol_order-2)*E35^3,0)+IF(impvol_order&gt;3,OFFSET(VolSkewCoef,4,impvol_order-2)*E35^4,0)+IF(impvol_order&gt;4,OFFSET(VolSkewCoef,5,impvol_order-2)*E35^5,0)</f>
        <v>0.517452614640314</v>
      </c>
      <c r="J35" s="64" t="n">
        <f aca="true">OFFSET(VolSkewCoef,0,impvol_order-2)+OFFSET(VolSkewCoef,1,impvol_order-2)*G35+OFFSET(VolSkewCoef,2,impvol_order-2)*G35^2+IF(impvol_order&gt;2,OFFSET(VolSkewCoef,3,impvol_order-2)*G35^3,0)+IF(impvol_order&gt;3,OFFSET(VolSkewCoef,4,impvol_order-2)*G35^4,0)+IF(impvol_order&gt;4,OFFSET(VolSkewCoef,5,impvol_order-2)*G35^5,0)</f>
        <v>0.517475795298787</v>
      </c>
      <c r="L35" s="79" t="e">
        <f aca="false">EURO(UnderlyingPrice,$D35,IntRate,Yield,$I35,$D$6,L$12,0)</f>
        <v>#NAME?</v>
      </c>
      <c r="M35" s="79" t="e">
        <f aca="false">EURO(UnderlyingPrice,$D35,IntRate,Yield,$I35,$D$6,M$12,0)</f>
        <v>#NAME?</v>
      </c>
      <c r="O35" s="79" t="e">
        <f aca="false">EURO(UnderlyingPrice,$D35*(1+$P$8),IntRate,Yield,$H35,Expiry-Today,O$12,0)</f>
        <v>#NAME?</v>
      </c>
      <c r="P35" s="79" t="e">
        <f aca="false">EURO(UnderlyingPrice,$D35*(1+$P$8),IntRate,Yield,$H35,Expiry-Today,P$12,0)</f>
        <v>#NAME?</v>
      </c>
      <c r="R35" s="79" t="e">
        <f aca="false">EURO(UnderlyingPrice,$D35*(1-$P$8),IntRate,Yield,$J35,Expiry-Today,R$12,0)</f>
        <v>#NAME?</v>
      </c>
      <c r="S35" s="79" t="e">
        <f aca="false">EURO(UnderlyingPrice,$D35*(1-$P$8),IntRate,Yield,$J35,Expiry-Today,S$12,0)</f>
        <v>#NAME?</v>
      </c>
      <c r="U35" s="80" t="e">
        <f aca="false">(O35+R35-2*L35)/($P$8*D35)^2</f>
        <v>#NAME?</v>
      </c>
      <c r="V35" s="80"/>
      <c r="W35" s="81" t="e">
        <f aca="false">U35/$D$9</f>
        <v>#NAME?</v>
      </c>
      <c r="X35" s="78"/>
      <c r="Z35" s="80" t="n">
        <f aca="false">(1/(D35*SQRT(2*PI()*T/365.25*ATMImpVol^2)))</f>
        <v>0.322663481543098</v>
      </c>
      <c r="AA35" s="80" t="n">
        <f aca="false">LN(D35/UnderlyingPrice)+0.5*T/365.25*ATMImpVol^2</f>
        <v>-0.197093852870371</v>
      </c>
      <c r="AB35" s="80" t="n">
        <f aca="false">-(AA35^2)</f>
        <v>-0.0388459868392876</v>
      </c>
      <c r="AC35" s="80" t="n">
        <f aca="false">AB35/(2*T/365.25*ATMImpVol^2)</f>
        <v>-0.180583623403233</v>
      </c>
      <c r="AD35" s="82" t="n">
        <f aca="false">EXP(AC35)</f>
        <v>0.834782870393514</v>
      </c>
      <c r="AE35" s="82" t="n">
        <f aca="false">AD35*Z35</f>
        <v>0.269353947293712</v>
      </c>
      <c r="AF35" s="82"/>
      <c r="AG35" s="83" t="n">
        <f aca="false">(LN($D35/UnderlyingPrice)+0.5*ATMImpVol^2*(T/365.25))/(ATMImpVol*SQRT(T/365.25))</f>
        <v>-0.600971918484105</v>
      </c>
      <c r="AH35" s="83" t="n">
        <f aca="false">(LN(($D35*(1+$P$8))/UnderlyingPrice)+0.5*ATMImpVol^2*(T/365.25))/(ATMImpVol*SQRT(T/365.25))</f>
        <v>-0.599447716392521</v>
      </c>
      <c r="AI35" s="83" t="n">
        <f aca="false">(LN($D35*(1-$P$8)/UnderlyingPrice)+0.5*ATMImpVol^2*(T/365.25))/(ATMImpVol*SQRT(T/365.25))</f>
        <v>-0.602496882867339</v>
      </c>
      <c r="AJ35" s="83"/>
      <c r="AK35" s="83" t="e">
        <f aca="false">W35/(AH35-AI35)*(D35*2*$P$8)</f>
        <v>#NAME?</v>
      </c>
      <c r="AL35" s="83"/>
      <c r="AM35" s="84" t="n">
        <v>-0.9</v>
      </c>
      <c r="AN35" s="85" t="n">
        <f aca="false">NORMDIST(AM35,0,1,FALSE())</f>
        <v>0.266085249898755</v>
      </c>
      <c r="AX35" s="87" t="n">
        <f aca="true">OFFSET(ENAVolCoef,0,impvol_order-2)+OFFSET(ENAVolCoef,1,impvol_order-2)*E35+OFFSET(ENAVolCoef,2,impvol_order-2)*E35^2+IF(impvol_order&gt;2,OFFSET(ENAVolCoef,3,impvol_order-2)*E35^3,0)+IF(impvol_order&gt;3,OFFSET(ENAVolCoef,4,impvol_order-2)*E35^4,0)+IF(impvol_order&gt;4,OFFSET(ENAVolCoef,5,impvol_order-2)*E35^5,0)</f>
        <v>0.492139107034611</v>
      </c>
      <c r="AY35" s="87" t="n">
        <f aca="true">OFFSET(ENAVolCoef,0,impvol_order-2)+OFFSET(ENAVolCoef,1,impvol_order-2)*F35+OFFSET(ENAVolCoef,2,impvol_order-2)*F35^2+IF(impvol_order&gt;2,OFFSET(ENAVolCoef,3,impvol_order-2)*F35^3,0)+IF(impvol_order&gt;3,OFFSET(ENAVolCoef,4,impvol_order-2)*F35^4,0)+IF(impvol_order&gt;4,OFFSET(ENAVolCoef,5,impvol_order-2)*F35^5,0)</f>
        <v>0.492120550126533</v>
      </c>
      <c r="AZ35" s="87" t="n">
        <f aca="true">OFFSET(ENAVolCoef,0,impvol_order-2)+OFFSET(ENAVolCoef,1,impvol_order-2)*G35+OFFSET(ENAVolCoef,2,impvol_order-2)*G35^2+IF(impvol_order&gt;2,OFFSET(ENAVolCoef,3,impvol_order-2)*G35^3,0)+IF(impvol_order&gt;3,OFFSET(ENAVolCoef,4,impvol_order-2)*G35^4,0)+IF(impvol_order&gt;4,OFFSET(ENAVolCoef,5,impvol_order-2)*G35^5,0)</f>
        <v>0.492157732925428</v>
      </c>
      <c r="BB35" s="48" t="e">
        <f aca="false">EURO(UnderlyingPrice,$D35,IntRate,Yield,AX35,$D$6,1,0)</f>
        <v>#NAME?</v>
      </c>
      <c r="BC35" s="48" t="e">
        <f aca="false">EURO(UnderlyingPrice,$D35*(1+$P$8),IntRate,Yield,AY35,$D$6,1,0)</f>
        <v>#NAME?</v>
      </c>
      <c r="BD35" s="48" t="e">
        <f aca="false">EURO(UnderlyingPrice,$D35*(1-$P$8),IntRate,Yield,AZ35,$D$6,1,0)</f>
        <v>#NAME?</v>
      </c>
      <c r="BF35" s="80" t="e">
        <f aca="false">(BC35+BD35-2*BB35)/($P$8*$D35)^2</f>
        <v>#NAME?</v>
      </c>
      <c r="BG35" s="48" t="e">
        <f aca="false">+BF35/$D$9</f>
        <v>#NAME?</v>
      </c>
      <c r="BI35" s="79" t="e">
        <f aca="false">+BB35-L35</f>
        <v>#NAME?</v>
      </c>
      <c r="BJ35" s="65" t="e">
        <f aca="false">+BI35/BB35</f>
        <v>#NAME?</v>
      </c>
    </row>
    <row r="36" customFormat="false" ht="11.25" hidden="false" customHeight="false" outlineLevel="0" collapsed="false">
      <c r="C36" s="77" t="n">
        <v>23</v>
      </c>
      <c r="D36" s="78" t="n">
        <f aca="true">D35+(ROUNDUP(MAX(StrikeRange),1)-ROUNDDOWN(MIN(StrikeRange),1))/100</f>
        <v>3.805</v>
      </c>
      <c r="E36" s="64" t="n">
        <f aca="false">+D36/UnderlyingPrice-1</f>
        <v>-0.214654282765737</v>
      </c>
      <c r="F36" s="64" t="n">
        <f aca="false">+D36*(1+$P$8)/UnderlyingPrice-1</f>
        <v>-0.21426160990712</v>
      </c>
      <c r="G36" s="64" t="n">
        <f aca="false">+D36*(1-$P$8)/UnderlyingPrice-1</f>
        <v>-0.215046955624354</v>
      </c>
      <c r="H36" s="64" t="n">
        <f aca="true">OFFSET(VolSkewCoef,0,impvol_order-2)+OFFSET(VolSkewCoef,1,impvol_order-2)*F36+OFFSET(VolSkewCoef,2,impvol_order-2)*F36^2+IF(impvol_order&gt;2,OFFSET(VolSkewCoef,3,impvol_order-2)*F36^3,0)+IF(impvol_order&gt;3,OFFSET(VolSkewCoef,4,impvol_order-2)*F36^4,0)+IF(impvol_order&gt;4,OFFSET(VolSkewCoef,5,impvol_order-2)*F36^5,0)</f>
        <v>0.517017353595064</v>
      </c>
      <c r="I36" s="64" t="n">
        <f aca="true">OFFSET(VolSkewCoef,0,impvol_order-2)+OFFSET(VolSkewCoef,1,impvol_order-2)*E36+OFFSET(VolSkewCoef,2,impvol_order-2)*E36^2+IF(impvol_order&gt;2,OFFSET(VolSkewCoef,3,impvol_order-2)*E36^3,0)+IF(impvol_order&gt;3,OFFSET(VolSkewCoef,4,impvol_order-2)*E36^4,0)+IF(impvol_order&gt;4,OFFSET(VolSkewCoef,5,impvol_order-2)*E36^5,0)</f>
        <v>0.517038934299946</v>
      </c>
      <c r="J36" s="64" t="n">
        <f aca="true">OFFSET(VolSkewCoef,0,impvol_order-2)+OFFSET(VolSkewCoef,1,impvol_order-2)*G36+OFFSET(VolSkewCoef,2,impvol_order-2)*G36^2+IF(impvol_order&gt;2,OFFSET(VolSkewCoef,3,impvol_order-2)*G36^3,0)+IF(impvol_order&gt;3,OFFSET(VolSkewCoef,4,impvol_order-2)*G36^4,0)+IF(impvol_order&gt;4,OFFSET(VolSkewCoef,5,impvol_order-2)*G36^5,0)</f>
        <v>0.517060608043826</v>
      </c>
      <c r="L36" s="79" t="e">
        <f aca="false">EURO(UnderlyingPrice,$D36,IntRate,Yield,$I36,$D$6,L$12,0)</f>
        <v>#NAME?</v>
      </c>
      <c r="M36" s="79" t="e">
        <f aca="false">EURO(UnderlyingPrice,$D36,IntRate,Yield,$I36,$D$6,M$12,0)</f>
        <v>#NAME?</v>
      </c>
      <c r="O36" s="79" t="e">
        <f aca="false">EURO(UnderlyingPrice,$D36*(1+$P$8),IntRate,Yield,$H36,Expiry-Today,O$12,0)</f>
        <v>#NAME?</v>
      </c>
      <c r="P36" s="79" t="e">
        <f aca="false">EURO(UnderlyingPrice,$D36*(1+$P$8),IntRate,Yield,$H36,Expiry-Today,P$12,0)</f>
        <v>#NAME?</v>
      </c>
      <c r="R36" s="79" t="e">
        <f aca="false">EURO(UnderlyingPrice,$D36*(1-$P$8),IntRate,Yield,$J36,Expiry-Today,R$12,0)</f>
        <v>#NAME?</v>
      </c>
      <c r="S36" s="79" t="e">
        <f aca="false">EURO(UnderlyingPrice,$D36*(1-$P$8),IntRate,Yield,$J36,Expiry-Today,S$12,0)</f>
        <v>#NAME?</v>
      </c>
      <c r="U36" s="80" t="e">
        <f aca="false">(O36+R36-2*L36)/($P$8*D36)^2</f>
        <v>#NAME?</v>
      </c>
      <c r="V36" s="80"/>
      <c r="W36" s="81" t="e">
        <f aca="false">U36/$D$9</f>
        <v>#NAME?</v>
      </c>
      <c r="X36" s="78"/>
      <c r="Z36" s="80" t="n">
        <f aca="false">(1/(D36*SQRT(2*PI()*T/365.25*ATMImpVol^2)))</f>
        <v>0.319695486312084</v>
      </c>
      <c r="AA36" s="80" t="n">
        <f aca="false">LN(D36/UnderlyingPrice)+0.5*T/365.25*ATMImpVol^2</f>
        <v>-0.187852863016642</v>
      </c>
      <c r="AB36" s="80" t="n">
        <f aca="false">-(AA36^2)</f>
        <v>-0.0352886981435491</v>
      </c>
      <c r="AC36" s="80" t="n">
        <f aca="false">AB36/(2*T/365.25*ATMImpVol^2)</f>
        <v>-0.164046829401178</v>
      </c>
      <c r="AD36" s="82" t="n">
        <f aca="false">EXP(AC36)</f>
        <v>0.848702276730195</v>
      </c>
      <c r="AE36" s="82" t="n">
        <f aca="false">AD36*Z36</f>
        <v>0.271326287093433</v>
      </c>
      <c r="AF36" s="82"/>
      <c r="AG36" s="83" t="n">
        <f aca="false">(LN($D36/UnderlyingPrice)+0.5*ATMImpVol^2*(T/365.25))/(ATMImpVol*SQRT(T/365.25))</f>
        <v>-0.572794604376086</v>
      </c>
      <c r="AH36" s="83" t="n">
        <f aca="false">(LN(($D36*(1+$P$8))/UnderlyingPrice)+0.5*ATMImpVol^2*(T/365.25))/(ATMImpVol*SQRT(T/365.25))</f>
        <v>-0.571270402284502</v>
      </c>
      <c r="AI36" s="83" t="n">
        <f aca="false">(LN($D36*(1-$P$8)/UnderlyingPrice)+0.5*ATMImpVol^2*(T/365.25))/(ATMImpVol*SQRT(T/365.25))</f>
        <v>-0.57431956875932</v>
      </c>
      <c r="AJ36" s="83"/>
      <c r="AK36" s="83" t="e">
        <f aca="false">W36/(AH36-AI36)*(D36*2*$P$8)</f>
        <v>#NAME?</v>
      </c>
      <c r="AL36" s="83"/>
      <c r="AM36" s="84" t="n">
        <v>-0.8</v>
      </c>
      <c r="AN36" s="85" t="n">
        <f aca="false">NORMDIST(AM36,0,1,FALSE())</f>
        <v>0.289691552761483</v>
      </c>
      <c r="AX36" s="87" t="n">
        <f aca="true">OFFSET(ENAVolCoef,0,impvol_order-2)+OFFSET(ENAVolCoef,1,impvol_order-2)*E36+OFFSET(ENAVolCoef,2,impvol_order-2)*E36^2+IF(impvol_order&gt;2,OFFSET(ENAVolCoef,3,impvol_order-2)*E36^3,0)+IF(impvol_order&gt;3,OFFSET(ENAVolCoef,4,impvol_order-2)*E36^4,0)+IF(impvol_order&gt;4,OFFSET(ENAVolCoef,5,impvol_order-2)*E36^5,0)</f>
        <v>0.491805761094896</v>
      </c>
      <c r="AY36" s="87" t="n">
        <f aca="true">OFFSET(ENAVolCoef,0,impvol_order-2)+OFFSET(ENAVolCoef,1,impvol_order-2)*F36+OFFSET(ENAVolCoef,2,impvol_order-2)*F36^2+IF(impvol_order&gt;2,OFFSET(ENAVolCoef,3,impvol_order-2)*F36^3,0)+IF(impvol_order&gt;3,OFFSET(ENAVolCoef,4,impvol_order-2)*F36^4,0)+IF(impvol_order&gt;4,OFFSET(ENAVolCoef,5,impvol_order-2)*F36^5,0)</f>
        <v>0.491788318297055</v>
      </c>
      <c r="AZ36" s="87" t="n">
        <f aca="true">OFFSET(ENAVolCoef,0,impvol_order-2)+OFFSET(ENAVolCoef,1,impvol_order-2)*G36+OFFSET(ENAVolCoef,2,impvol_order-2)*G36^2+IF(impvol_order&gt;2,OFFSET(ENAVolCoef,3,impvol_order-2)*G36^3,0)+IF(impvol_order&gt;3,OFFSET(ENAVolCoef,4,impvol_order-2)*G36^4,0)+IF(impvol_order&gt;4,OFFSET(ENAVolCoef,5,impvol_order-2)*G36^5,0)</f>
        <v>0.491823273474361</v>
      </c>
      <c r="BB36" s="48" t="e">
        <f aca="false">EURO(UnderlyingPrice,$D36,IntRate,Yield,AX36,$D$6,1,0)</f>
        <v>#NAME?</v>
      </c>
      <c r="BC36" s="48" t="e">
        <f aca="false">EURO(UnderlyingPrice,$D36*(1+$P$8),IntRate,Yield,AY36,$D$6,1,0)</f>
        <v>#NAME?</v>
      </c>
      <c r="BD36" s="48" t="e">
        <f aca="false">EURO(UnderlyingPrice,$D36*(1-$P$8),IntRate,Yield,AZ36,$D$6,1,0)</f>
        <v>#NAME?</v>
      </c>
      <c r="BF36" s="80" t="e">
        <f aca="false">(BC36+BD36-2*BB36)/($P$8*$D36)^2</f>
        <v>#NAME?</v>
      </c>
      <c r="BG36" s="48" t="e">
        <f aca="false">+BF36/$D$9</f>
        <v>#NAME?</v>
      </c>
      <c r="BI36" s="79" t="e">
        <f aca="false">+BB36-L36</f>
        <v>#NAME?</v>
      </c>
      <c r="BJ36" s="65" t="e">
        <f aca="false">+BI36/BB36</f>
        <v>#NAME?</v>
      </c>
    </row>
    <row r="37" customFormat="false" ht="11.25" hidden="false" customHeight="false" outlineLevel="0" collapsed="false">
      <c r="C37" s="77" t="n">
        <v>24</v>
      </c>
      <c r="D37" s="78" t="n">
        <f aca="true">D36+(ROUNDUP(MAX(StrikeRange),1)-ROUNDDOWN(MIN(StrikeRange),1))/100</f>
        <v>3.84</v>
      </c>
      <c r="E37" s="64" t="n">
        <f aca="false">+D37/UnderlyingPrice-1</f>
        <v>-0.207430340557275</v>
      </c>
      <c r="F37" s="64" t="n">
        <f aca="false">+D37*(1+$P$8)/UnderlyingPrice-1</f>
        <v>-0.207034055727554</v>
      </c>
      <c r="G37" s="64" t="n">
        <f aca="false">+D37*(1-$P$8)/UnderlyingPrice-1</f>
        <v>-0.207826625386996</v>
      </c>
      <c r="H37" s="64" t="n">
        <f aca="true">OFFSET(VolSkewCoef,0,impvol_order-2)+OFFSET(VolSkewCoef,1,impvol_order-2)*F37+OFFSET(VolSkewCoef,2,impvol_order-2)*F37^2+IF(impvol_order&gt;2,OFFSET(VolSkewCoef,3,impvol_order-2)*F37^3,0)+IF(impvol_order&gt;3,OFFSET(VolSkewCoef,4,impvol_order-2)*F37^4,0)+IF(impvol_order&gt;4,OFFSET(VolSkewCoef,5,impvol_order-2)*F37^5,0)</f>
        <v>0.516636679997875</v>
      </c>
      <c r="I37" s="64" t="n">
        <f aca="true">OFFSET(VolSkewCoef,0,impvol_order-2)+OFFSET(VolSkewCoef,1,impvol_order-2)*E37+OFFSET(VolSkewCoef,2,impvol_order-2)*E37^2+IF(impvol_order&gt;2,OFFSET(VolSkewCoef,3,impvol_order-2)*E37^3,0)+IF(impvol_order&gt;3,OFFSET(VolSkewCoef,4,impvol_order-2)*E37^4,0)+IF(impvol_order&gt;4,OFFSET(VolSkewCoef,5,impvol_order-2)*E37^5,0)</f>
        <v>0.516656742445717</v>
      </c>
      <c r="J37" s="64" t="n">
        <f aca="true">OFFSET(VolSkewCoef,0,impvol_order-2)+OFFSET(VolSkewCoef,1,impvol_order-2)*G37+OFFSET(VolSkewCoef,2,impvol_order-2)*G37^2+IF(impvol_order&gt;2,OFFSET(VolSkewCoef,3,impvol_order-2)*G37^3,0)+IF(impvol_order&gt;3,OFFSET(VolSkewCoef,4,impvol_order-2)*G37^4,0)+IF(impvol_order&gt;4,OFFSET(VolSkewCoef,5,impvol_order-2)*G37^5,0)</f>
        <v>0.516676898504365</v>
      </c>
      <c r="L37" s="79" t="e">
        <f aca="false">EURO(UnderlyingPrice,$D37,IntRate,Yield,$I37,$D$6,L$12,0)</f>
        <v>#NAME?</v>
      </c>
      <c r="M37" s="79" t="e">
        <f aca="false">EURO(UnderlyingPrice,$D37,IntRate,Yield,$I37,$D$6,M$12,0)</f>
        <v>#NAME?</v>
      </c>
      <c r="O37" s="79" t="e">
        <f aca="false">EURO(UnderlyingPrice,$D37*(1+$P$8),IntRate,Yield,$H37,Expiry-Today,O$12,0)</f>
        <v>#NAME?</v>
      </c>
      <c r="P37" s="79" t="e">
        <f aca="false">EURO(UnderlyingPrice,$D37*(1+$P$8),IntRate,Yield,$H37,Expiry-Today,P$12,0)</f>
        <v>#NAME?</v>
      </c>
      <c r="R37" s="79" t="e">
        <f aca="false">EURO(UnderlyingPrice,$D37*(1-$P$8),IntRate,Yield,$J37,Expiry-Today,R$12,0)</f>
        <v>#NAME?</v>
      </c>
      <c r="S37" s="79" t="e">
        <f aca="false">EURO(UnderlyingPrice,$D37*(1-$P$8),IntRate,Yield,$J37,Expiry-Today,S$12,0)</f>
        <v>#NAME?</v>
      </c>
      <c r="U37" s="80" t="e">
        <f aca="false">(O37+R37-2*L37)/($P$8*D37)^2</f>
        <v>#NAME?</v>
      </c>
      <c r="V37" s="80"/>
      <c r="W37" s="81" t="e">
        <f aca="false">U37/$D$9</f>
        <v>#NAME?</v>
      </c>
      <c r="Z37" s="80" t="n">
        <f aca="false">(1/(D37*SQRT(2*PI()*T/365.25*ATMImpVol^2)))</f>
        <v>0.316781595160802</v>
      </c>
      <c r="AA37" s="80" t="n">
        <f aca="false">LN(D37/UnderlyingPrice)+0.5*T/365.25*ATMImpVol^2</f>
        <v>-0.178696487730655</v>
      </c>
      <c r="AB37" s="80" t="n">
        <f aca="false">-(AA37^2)</f>
        <v>-0.0319324347272722</v>
      </c>
      <c r="AC37" s="80" t="n">
        <f aca="false">AB37/(2*T/365.25*ATMImpVol^2)</f>
        <v>-0.148444543087422</v>
      </c>
      <c r="AD37" s="82" t="n">
        <f aca="false">EXP(AC37)</f>
        <v>0.862047812355091</v>
      </c>
      <c r="AE37" s="82" t="n">
        <f aca="false">AD37*Z37</f>
        <v>0.273080881102726</v>
      </c>
      <c r="AF37" s="82"/>
      <c r="AG37" s="83" t="n">
        <f aca="false">(LN($D37/UnderlyingPrice)+0.5*ATMImpVol^2*(T/365.25))/(ATMImpVol*SQRT(T/365.25))</f>
        <v>-0.544875294149811</v>
      </c>
      <c r="AH37" s="83" t="n">
        <f aca="false">(LN(($D37*(1+$P$8))/UnderlyingPrice)+0.5*ATMImpVol^2*(T/365.25))/(ATMImpVol*SQRT(T/365.25))</f>
        <v>-0.543351092058227</v>
      </c>
      <c r="AI37" s="83" t="n">
        <f aca="false">(LN($D37*(1-$P$8)/UnderlyingPrice)+0.5*ATMImpVol^2*(T/365.25))/(ATMImpVol*SQRT(T/365.25))</f>
        <v>-0.546400258533045</v>
      </c>
      <c r="AJ37" s="83"/>
      <c r="AK37" s="83" t="e">
        <f aca="false">W37/(AH37-AI37)*(D37*2*$P$8)</f>
        <v>#NAME?</v>
      </c>
      <c r="AL37" s="83"/>
      <c r="AM37" s="84" t="n">
        <v>-0.7</v>
      </c>
      <c r="AN37" s="85" t="n">
        <f aca="false">NORMDIST(AM37,0,1,FALSE())</f>
        <v>0.312253933366761</v>
      </c>
      <c r="AX37" s="87" t="n">
        <f aca="true">OFFSET(ENAVolCoef,0,impvol_order-2)+OFFSET(ENAVolCoef,1,impvol_order-2)*E37+OFFSET(ENAVolCoef,2,impvol_order-2)*E37^2+IF(impvol_order&gt;2,OFFSET(ENAVolCoef,3,impvol_order-2)*E37^3,0)+IF(impvol_order&gt;3,OFFSET(ENAVolCoef,4,impvol_order-2)*E37^4,0)+IF(impvol_order&gt;4,OFFSET(ENAVolCoef,5,impvol_order-2)*E37^5,0)</f>
        <v>0.491495964635303</v>
      </c>
      <c r="AY37" s="87" t="n">
        <f aca="true">OFFSET(ENAVolCoef,0,impvol_order-2)+OFFSET(ENAVolCoef,1,impvol_order-2)*F37+OFFSET(ENAVolCoef,2,impvol_order-2)*F37^2+IF(impvol_order&gt;2,OFFSET(ENAVolCoef,3,impvol_order-2)*F37^3,0)+IF(impvol_order&gt;3,OFFSET(ENAVolCoef,4,impvol_order-2)*F37^4,0)+IF(impvol_order&gt;4,OFFSET(ENAVolCoef,5,impvol_order-2)*F37^5,0)</f>
        <v>0.491479646835104</v>
      </c>
      <c r="AZ37" s="87" t="n">
        <f aca="true">OFFSET(ENAVolCoef,0,impvol_order-2)+OFFSET(ENAVolCoef,1,impvol_order-2)*G37+OFFSET(ENAVolCoef,2,impvol_order-2)*G37^2+IF(impvol_order&gt;2,OFFSET(ENAVolCoef,3,impvol_order-2)*G37^3,0)+IF(impvol_order&gt;3,OFFSET(ENAVolCoef,4,impvol_order-2)*G37^4,0)+IF(impvol_order&gt;4,OFFSET(ENAVolCoef,5,impvol_order-2)*G37^5,0)</f>
        <v>0.491512352602477</v>
      </c>
      <c r="BB37" s="48" t="e">
        <f aca="false">EURO(UnderlyingPrice,$D37,IntRate,Yield,AX37,$D$6,1,0)</f>
        <v>#NAME?</v>
      </c>
      <c r="BC37" s="48" t="e">
        <f aca="false">EURO(UnderlyingPrice,$D37*(1+$P$8),IntRate,Yield,AY37,$D$6,1,0)</f>
        <v>#NAME?</v>
      </c>
      <c r="BD37" s="48" t="e">
        <f aca="false">EURO(UnderlyingPrice,$D37*(1-$P$8),IntRate,Yield,AZ37,$D$6,1,0)</f>
        <v>#NAME?</v>
      </c>
      <c r="BF37" s="80" t="e">
        <f aca="false">(BC37+BD37-2*BB37)/($P$8*$D37)^2</f>
        <v>#NAME?</v>
      </c>
      <c r="BG37" s="48" t="e">
        <f aca="false">+BF37/$D$9</f>
        <v>#NAME?</v>
      </c>
      <c r="BI37" s="79" t="e">
        <f aca="false">+BB37-L37</f>
        <v>#NAME?</v>
      </c>
      <c r="BJ37" s="65" t="e">
        <f aca="false">+BI37/BB37</f>
        <v>#NAME?</v>
      </c>
    </row>
    <row r="38" customFormat="false" ht="11.25" hidden="false" customHeight="false" outlineLevel="0" collapsed="false">
      <c r="C38" s="77" t="n">
        <v>25</v>
      </c>
      <c r="D38" s="78" t="n">
        <f aca="true">D37+(ROUNDUP(MAX(StrikeRange),1)-ROUNDDOWN(MIN(StrikeRange),1))/100</f>
        <v>3.875</v>
      </c>
      <c r="E38" s="64" t="n">
        <f aca="false">+D38/UnderlyingPrice-1</f>
        <v>-0.200206398348813</v>
      </c>
      <c r="F38" s="64" t="n">
        <f aca="false">+D38*(1+$P$8)/UnderlyingPrice-1</f>
        <v>-0.199806501547987</v>
      </c>
      <c r="G38" s="64" t="n">
        <f aca="false">+D38*(1-$P$8)/UnderlyingPrice-1</f>
        <v>-0.200606295149638</v>
      </c>
      <c r="H38" s="64" t="n">
        <f aca="true">OFFSET(VolSkewCoef,0,impvol_order-2)+OFFSET(VolSkewCoef,1,impvol_order-2)*F38+OFFSET(VolSkewCoef,2,impvol_order-2)*F38^2+IF(impvol_order&gt;2,OFFSET(VolSkewCoef,3,impvol_order-2)*F38^3,0)+IF(impvol_order&gt;3,OFFSET(VolSkewCoef,4,impvol_order-2)*F38^4,0)+IF(impvol_order&gt;4,OFFSET(VolSkewCoef,5,impvol_order-2)*F38^5,0)</f>
        <v>0.516287123679871</v>
      </c>
      <c r="I38" s="64" t="n">
        <f aca="true">OFFSET(VolSkewCoef,0,impvol_order-2)+OFFSET(VolSkewCoef,1,impvol_order-2)*E38+OFFSET(VolSkewCoef,2,impvol_order-2)*E38^2+IF(impvol_order&gt;2,OFFSET(VolSkewCoef,3,impvol_order-2)*E38^3,0)+IF(impvol_order&gt;3,OFFSET(VolSkewCoef,4,impvol_order-2)*E38^4,0)+IF(impvol_order&gt;4,OFFSET(VolSkewCoef,5,impvol_order-2)*E38^5,0)</f>
        <v>0.516305657698107</v>
      </c>
      <c r="J38" s="64" t="n">
        <f aca="true">OFFSET(VolSkewCoef,0,impvol_order-2)+OFFSET(VolSkewCoef,1,impvol_order-2)*G38+OFFSET(VolSkewCoef,2,impvol_order-2)*G38^2+IF(impvol_order&gt;2,OFFSET(VolSkewCoef,3,impvol_order-2)*G38^3,0)+IF(impvol_order&gt;3,OFFSET(VolSkewCoef,4,impvol_order-2)*G38^4,0)+IF(impvol_order&gt;4,OFFSET(VolSkewCoef,5,impvol_order-2)*G38^5,0)</f>
        <v>0.516324285872668</v>
      </c>
      <c r="L38" s="79" t="e">
        <f aca="false">EURO(UnderlyingPrice,$D38,IntRate,Yield,$I38,$D$6,L$12,0)</f>
        <v>#NAME?</v>
      </c>
      <c r="M38" s="79" t="e">
        <f aca="false">EURO(UnderlyingPrice,$D38,IntRate,Yield,$I38,$D$6,M$12,0)</f>
        <v>#NAME?</v>
      </c>
      <c r="O38" s="79" t="e">
        <f aca="false">EURO(UnderlyingPrice,$D38*(1+$P$8),IntRate,Yield,$H38,Expiry-Today,O$12,0)</f>
        <v>#NAME?</v>
      </c>
      <c r="P38" s="79" t="e">
        <f aca="false">EURO(UnderlyingPrice,$D38*(1+$P$8),IntRate,Yield,$H38,Expiry-Today,P$12,0)</f>
        <v>#NAME?</v>
      </c>
      <c r="R38" s="79" t="e">
        <f aca="false">EURO(UnderlyingPrice,$D38*(1-$P$8),IntRate,Yield,$J38,Expiry-Today,R$12,0)</f>
        <v>#NAME?</v>
      </c>
      <c r="S38" s="79" t="e">
        <f aca="false">EURO(UnderlyingPrice,$D38*(1-$P$8),IntRate,Yield,$J38,Expiry-Today,S$12,0)</f>
        <v>#NAME?</v>
      </c>
      <c r="U38" s="80" t="e">
        <f aca="false">(O38+R38-2*L38)/($P$8*D38)^2</f>
        <v>#NAME?</v>
      </c>
      <c r="V38" s="80"/>
      <c r="W38" s="81" t="e">
        <f aca="false">U38/$D$9</f>
        <v>#NAME?</v>
      </c>
      <c r="Z38" s="80" t="n">
        <f aca="false">(1/(D38*SQRT(2*PI()*T/365.25*ATMImpVol^2)))</f>
        <v>0.313920342043221</v>
      </c>
      <c r="AA38" s="80" t="n">
        <f aca="false">LN(D38/UnderlyingPrice)+0.5*T/365.25*ATMImpVol^2</f>
        <v>-0.16962319152498</v>
      </c>
      <c r="AB38" s="80" t="n">
        <f aca="false">-(AA38^2)</f>
        <v>-0.0287720271031202</v>
      </c>
      <c r="AC38" s="80" t="n">
        <f aca="false">AB38/(2*T/365.25*ATMImpVol^2)</f>
        <v>-0.133752733028335</v>
      </c>
      <c r="AD38" s="82" t="n">
        <f aca="false">EXP(AC38)</f>
        <v>0.874806348578897</v>
      </c>
      <c r="AE38" s="82" t="n">
        <f aca="false">AD38*Z38</f>
        <v>0.274619508167468</v>
      </c>
      <c r="AF38" s="82"/>
      <c r="AG38" s="83" t="n">
        <f aca="false">(LN($D38/UnderlyingPrice)+0.5*ATMImpVol^2*(T/365.25))/(ATMImpVol*SQRT(T/365.25))</f>
        <v>-0.517209305848871</v>
      </c>
      <c r="AH38" s="83" t="n">
        <f aca="false">(LN(($D38*(1+$P$8))/UnderlyingPrice)+0.5*ATMImpVol^2*(T/365.25))/(ATMImpVol*SQRT(T/365.25))</f>
        <v>-0.515685103757287</v>
      </c>
      <c r="AI38" s="83" t="n">
        <f aca="false">(LN($D38*(1-$P$8)/UnderlyingPrice)+0.5*ATMImpVol^2*(T/365.25))/(ATMImpVol*SQRT(T/365.25))</f>
        <v>-0.518734270232105</v>
      </c>
      <c r="AJ38" s="83"/>
      <c r="AK38" s="83" t="e">
        <f aca="false">W38/(AH38-AI38)*(D38*2*$P$8)</f>
        <v>#NAME?</v>
      </c>
      <c r="AL38" s="83"/>
      <c r="AM38" s="84" t="n">
        <v>-0.6</v>
      </c>
      <c r="AN38" s="85" t="n">
        <f aca="false">NORMDIST(AM38,0,1,FALSE())</f>
        <v>0.3332246028918</v>
      </c>
      <c r="AX38" s="87" t="n">
        <f aca="true">OFFSET(ENAVolCoef,0,impvol_order-2)+OFFSET(ENAVolCoef,1,impvol_order-2)*E38+OFFSET(ENAVolCoef,2,impvol_order-2)*E38^2+IF(impvol_order&gt;2,OFFSET(ENAVolCoef,3,impvol_order-2)*E38^3,0)+IF(impvol_order&gt;3,OFFSET(ENAVolCoef,4,impvol_order-2)*E38^4,0)+IF(impvol_order&gt;4,OFFSET(ENAVolCoef,5,impvol_order-2)*E38^5,0)</f>
        <v>0.491209484838124</v>
      </c>
      <c r="AY38" s="87" t="n">
        <f aca="true">OFFSET(ENAVolCoef,0,impvol_order-2)+OFFSET(ENAVolCoef,1,impvol_order-2)*F38+OFFSET(ENAVolCoef,2,impvol_order-2)*F38^2+IF(impvol_order&gt;2,OFFSET(ENAVolCoef,3,impvol_order-2)*F38^3,0)+IF(impvol_order&gt;3,OFFSET(ENAVolCoef,4,impvol_order-2)*F38^4,0)+IF(impvol_order&gt;4,OFFSET(ENAVolCoef,5,impvol_order-2)*F38^5,0)</f>
        <v>0.491194302573568</v>
      </c>
      <c r="AZ38" s="87" t="n">
        <f aca="true">OFFSET(ENAVolCoef,0,impvol_order-2)+OFFSET(ENAVolCoef,1,impvol_order-2)*G38+OFFSET(ENAVolCoef,2,impvol_order-2)*G38^2+IF(impvol_order&gt;2,OFFSET(ENAVolCoef,3,impvol_order-2)*G38^3,0)+IF(impvol_order&gt;3,OFFSET(ENAVolCoef,4,impvol_order-2)*G38^4,0)+IF(impvol_order&gt;4,OFFSET(ENAVolCoef,5,impvol_order-2)*G38^5,0)</f>
        <v>0.49122473784112</v>
      </c>
      <c r="BB38" s="48" t="e">
        <f aca="false">EURO(UnderlyingPrice,$D38,IntRate,Yield,AX38,$D$6,1,0)</f>
        <v>#NAME?</v>
      </c>
      <c r="BC38" s="48" t="e">
        <f aca="false">EURO(UnderlyingPrice,$D38*(1+$P$8),IntRate,Yield,AY38,$D$6,1,0)</f>
        <v>#NAME?</v>
      </c>
      <c r="BD38" s="48" t="e">
        <f aca="false">EURO(UnderlyingPrice,$D38*(1-$P$8),IntRate,Yield,AZ38,$D$6,1,0)</f>
        <v>#NAME?</v>
      </c>
      <c r="BF38" s="80" t="e">
        <f aca="false">(BC38+BD38-2*BB38)/($P$8*$D38)^2</f>
        <v>#NAME?</v>
      </c>
      <c r="BG38" s="48" t="e">
        <f aca="false">+BF38/$D$9</f>
        <v>#NAME?</v>
      </c>
      <c r="BI38" s="79" t="e">
        <f aca="false">+BB38-L38</f>
        <v>#NAME?</v>
      </c>
      <c r="BJ38" s="65" t="e">
        <f aca="false">+BI38/BB38</f>
        <v>#NAME?</v>
      </c>
    </row>
    <row r="39" customFormat="false" ht="11.25" hidden="false" customHeight="false" outlineLevel="0" collapsed="false">
      <c r="C39" s="77" t="n">
        <v>26</v>
      </c>
      <c r="D39" s="78" t="n">
        <f aca="true">D38+(ROUNDUP(MAX(StrikeRange),1)-ROUNDDOWN(MIN(StrikeRange),1))/100</f>
        <v>3.91</v>
      </c>
      <c r="E39" s="64" t="n">
        <f aca="false">+D39/UnderlyingPrice-1</f>
        <v>-0.19298245614035</v>
      </c>
      <c r="F39" s="64" t="n">
        <f aca="false">+D39*(1+$P$8)/UnderlyingPrice-1</f>
        <v>-0.19257894736842</v>
      </c>
      <c r="G39" s="64" t="n">
        <f aca="false">+D39*(1-$P$8)/UnderlyingPrice-1</f>
        <v>-0.19338596491228</v>
      </c>
      <c r="H39" s="64" t="n">
        <f aca="true">OFFSET(VolSkewCoef,0,impvol_order-2)+OFFSET(VolSkewCoef,1,impvol_order-2)*F39+OFFSET(VolSkewCoef,2,impvol_order-2)*F39^2+IF(impvol_order&gt;2,OFFSET(VolSkewCoef,3,impvol_order-2)*F39^3,0)+IF(impvol_order&gt;3,OFFSET(VolSkewCoef,4,impvol_order-2)*F39^4,0)+IF(impvol_order&gt;4,OFFSET(VolSkewCoef,5,impvol_order-2)*F39^5,0)</f>
        <v>0.515968302689177</v>
      </c>
      <c r="I39" s="64" t="n">
        <f aca="true">OFFSET(VolSkewCoef,0,impvol_order-2)+OFFSET(VolSkewCoef,1,impvol_order-2)*E39+OFFSET(VolSkewCoef,2,impvol_order-2)*E39^2+IF(impvol_order&gt;2,OFFSET(VolSkewCoef,3,impvol_order-2)*E39^3,0)+IF(impvol_order&gt;3,OFFSET(VolSkewCoef,4,impvol_order-2)*E39^4,0)+IF(impvol_order&gt;4,OFFSET(VolSkewCoef,5,impvol_order-2)*E39^5,0)</f>
        <v>0.515985298677596</v>
      </c>
      <c r="J39" s="64" t="n">
        <f aca="true">OFFSET(VolSkewCoef,0,impvol_order-2)+OFFSET(VolSkewCoef,1,impvol_order-2)*G39+OFFSET(VolSkewCoef,2,impvol_order-2)*G39^2+IF(impvol_order&gt;2,OFFSET(VolSkewCoef,3,impvol_order-2)*G39^3,0)+IF(impvol_order&gt;3,OFFSET(VolSkewCoef,4,impvol_order-2)*G39^4,0)+IF(impvol_order&gt;4,OFFSET(VolSkewCoef,5,impvol_order-2)*G39^5,0)</f>
        <v>0.516002389340999</v>
      </c>
      <c r="L39" s="79" t="e">
        <f aca="false">EURO(UnderlyingPrice,$D39,IntRate,Yield,$I39,$D$6,L$12,0)</f>
        <v>#NAME?</v>
      </c>
      <c r="M39" s="79" t="e">
        <f aca="false">EURO(UnderlyingPrice,$D39,IntRate,Yield,$I39,$D$6,M$12,0)</f>
        <v>#NAME?</v>
      </c>
      <c r="O39" s="79" t="e">
        <f aca="false">EURO(UnderlyingPrice,$D39*(1+$P$8),IntRate,Yield,$H39,Expiry-Today,O$12,0)</f>
        <v>#NAME?</v>
      </c>
      <c r="P39" s="79" t="e">
        <f aca="false">EURO(UnderlyingPrice,$D39*(1+$P$8),IntRate,Yield,$H39,Expiry-Today,P$12,0)</f>
        <v>#NAME?</v>
      </c>
      <c r="R39" s="79" t="e">
        <f aca="false">EURO(UnderlyingPrice,$D39*(1-$P$8),IntRate,Yield,$J39,Expiry-Today,R$12,0)</f>
        <v>#NAME?</v>
      </c>
      <c r="S39" s="79" t="e">
        <f aca="false">EURO(UnderlyingPrice,$D39*(1-$P$8),IntRate,Yield,$J39,Expiry-Today,S$12,0)</f>
        <v>#NAME?</v>
      </c>
      <c r="U39" s="80" t="e">
        <f aca="false">(O39+R39-2*L39)/($P$8*D39)^2</f>
        <v>#NAME?</v>
      </c>
      <c r="V39" s="80"/>
      <c r="W39" s="81" t="e">
        <f aca="false">U39/$D$9</f>
        <v>#NAME?</v>
      </c>
      <c r="Z39" s="80" t="n">
        <f aca="false">(1/(D39*SQRT(2*PI()*T/365.25*ATMImpVol^2)))</f>
        <v>0.311110313406005</v>
      </c>
      <c r="AA39" s="80" t="n">
        <f aca="false">LN(D39/UnderlyingPrice)+0.5*T/365.25*ATMImpVol^2</f>
        <v>-0.160631480333016</v>
      </c>
      <c r="AB39" s="80" t="n">
        <f aca="false">-(AA39^2)</f>
        <v>-0.0258024724739762</v>
      </c>
      <c r="AC39" s="80" t="n">
        <f aca="false">AB39/(2*T/365.25*ATMImpVol^2)</f>
        <v>-0.119948142684338</v>
      </c>
      <c r="AD39" s="82" t="n">
        <f aca="false">EXP(AC39)</f>
        <v>0.886966431222777</v>
      </c>
      <c r="AE39" s="82" t="n">
        <f aca="false">AD39*Z39</f>
        <v>0.275944404398324</v>
      </c>
      <c r="AF39" s="82"/>
      <c r="AG39" s="83" t="n">
        <f aca="false">(LN($D39/UnderlyingPrice)+0.5*ATMImpVol^2*(T/365.25))/(ATMImpVol*SQRT(T/365.25))</f>
        <v>-0.489792083815854</v>
      </c>
      <c r="AH39" s="83" t="n">
        <f aca="false">(LN(($D39*(1+$P$8))/UnderlyingPrice)+0.5*ATMImpVol^2*(T/365.25))/(ATMImpVol*SQRT(T/365.25))</f>
        <v>-0.48826788172427</v>
      </c>
      <c r="AI39" s="83" t="n">
        <f aca="false">(LN($D39*(1-$P$8)/UnderlyingPrice)+0.5*ATMImpVol^2*(T/365.25))/(ATMImpVol*SQRT(T/365.25))</f>
        <v>-0.491317048199088</v>
      </c>
      <c r="AJ39" s="83"/>
      <c r="AK39" s="83" t="e">
        <f aca="false">W39/(AH39-AI39)*(D39*2*$P$8)</f>
        <v>#NAME?</v>
      </c>
      <c r="AL39" s="83"/>
      <c r="AM39" s="84" t="n">
        <v>-0.5</v>
      </c>
      <c r="AN39" s="85" t="n">
        <f aca="false">NORMDIST(AM39,0,1,FALSE())</f>
        <v>0.3520653267643</v>
      </c>
      <c r="AX39" s="87" t="n">
        <f aca="true">OFFSET(ENAVolCoef,0,impvol_order-2)+OFFSET(ENAVolCoef,1,impvol_order-2)*E39+OFFSET(ENAVolCoef,2,impvol_order-2)*E39^2+IF(impvol_order&gt;2,OFFSET(ENAVolCoef,3,impvol_order-2)*E39^3,0)+IF(impvol_order&gt;3,OFFSET(ENAVolCoef,4,impvol_order-2)*E39^4,0)+IF(impvol_order&gt;4,OFFSET(ENAVolCoef,5,impvol_order-2)*E39^5,0)</f>
        <v>0.490946088885649</v>
      </c>
      <c r="AY39" s="87" t="n">
        <f aca="true">OFFSET(ENAVolCoef,0,impvol_order-2)+OFFSET(ENAVolCoef,1,impvol_order-2)*F39+OFFSET(ENAVolCoef,2,impvol_order-2)*F39^2+IF(impvol_order&gt;2,OFFSET(ENAVolCoef,3,impvol_order-2)*F39^3,0)+IF(impvol_order&gt;3,OFFSET(ENAVolCoef,4,impvol_order-2)*F39^4,0)+IF(impvol_order&gt;4,OFFSET(ENAVolCoef,5,impvol_order-2)*F39^5,0)</f>
        <v>0.490932052345338</v>
      </c>
      <c r="AZ39" s="87" t="n">
        <f aca="true">OFFSET(ENAVolCoef,0,impvol_order-2)+OFFSET(ENAVolCoef,1,impvol_order-2)*G39+OFFSET(ENAVolCoef,2,impvol_order-2)*G39^2+IF(impvol_order&gt;2,OFFSET(ENAVolCoef,3,impvol_order-2)*G39^3,0)+IF(impvol_order&gt;3,OFFSET(ENAVolCoef,4,impvol_order-2)*G39^4,0)+IF(impvol_order&gt;4,OFFSET(ENAVolCoef,5,impvol_order-2)*G39^5,0)</f>
        <v>0.490960196721631</v>
      </c>
      <c r="BB39" s="48" t="e">
        <f aca="false">EURO(UnderlyingPrice,$D39,IntRate,Yield,AX39,$D$6,1,0)</f>
        <v>#NAME?</v>
      </c>
      <c r="BC39" s="48" t="e">
        <f aca="false">EURO(UnderlyingPrice,$D39*(1+$P$8),IntRate,Yield,AY39,$D$6,1,0)</f>
        <v>#NAME?</v>
      </c>
      <c r="BD39" s="48" t="e">
        <f aca="false">EURO(UnderlyingPrice,$D39*(1-$P$8),IntRate,Yield,AZ39,$D$6,1,0)</f>
        <v>#NAME?</v>
      </c>
      <c r="BF39" s="80" t="e">
        <f aca="false">(BC39+BD39-2*BB39)/($P$8*$D39)^2</f>
        <v>#NAME?</v>
      </c>
      <c r="BG39" s="48" t="e">
        <f aca="false">+BF39/$D$9</f>
        <v>#NAME?</v>
      </c>
      <c r="BI39" s="79" t="e">
        <f aca="false">+BB39-L39</f>
        <v>#NAME?</v>
      </c>
      <c r="BJ39" s="65" t="e">
        <f aca="false">+BI39/BB39</f>
        <v>#NAME?</v>
      </c>
    </row>
    <row r="40" customFormat="false" ht="11.25" hidden="false" customHeight="false" outlineLevel="0" collapsed="false">
      <c r="C40" s="77" t="n">
        <v>27</v>
      </c>
      <c r="D40" s="78" t="n">
        <f aca="true">D39+(ROUNDUP(MAX(StrikeRange),1)-ROUNDDOWN(MIN(StrikeRange),1))/100</f>
        <v>3.945</v>
      </c>
      <c r="E40" s="64" t="n">
        <f aca="false">+D40/UnderlyingPrice-1</f>
        <v>-0.185758513931888</v>
      </c>
      <c r="F40" s="64" t="n">
        <f aca="false">+D40*(1+$P$8)/UnderlyingPrice-1</f>
        <v>-0.185351393188854</v>
      </c>
      <c r="G40" s="64" t="n">
        <f aca="false">+D40*(1-$P$8)/UnderlyingPrice-1</f>
        <v>-0.186165634674922</v>
      </c>
      <c r="H40" s="64" t="n">
        <f aca="true">OFFSET(VolSkewCoef,0,impvol_order-2)+OFFSET(VolSkewCoef,1,impvol_order-2)*F40+OFFSET(VolSkewCoef,2,impvol_order-2)*F40^2+IF(impvol_order&gt;2,OFFSET(VolSkewCoef,3,impvol_order-2)*F40^3,0)+IF(impvol_order&gt;3,OFFSET(VolSkewCoef,4,impvol_order-2)*F40^4,0)+IF(impvol_order&gt;4,OFFSET(VolSkewCoef,5,impvol_order-2)*F40^5,0)</f>
        <v>0.515679835073917</v>
      </c>
      <c r="I40" s="64" t="n">
        <f aca="true">OFFSET(VolSkewCoef,0,impvol_order-2)+OFFSET(VolSkewCoef,1,impvol_order-2)*E40+OFFSET(VolSkewCoef,2,impvol_order-2)*E40^2+IF(impvol_order&gt;2,OFFSET(VolSkewCoef,3,impvol_order-2)*E40^3,0)+IF(impvol_order&gt;3,OFFSET(VolSkewCoef,4,impvol_order-2)*E40^4,0)+IF(impvol_order&gt;4,OFFSET(VolSkewCoef,5,impvol_order-2)*E40^5,0)</f>
        <v>0.515695284004664</v>
      </c>
      <c r="J40" s="64" t="n">
        <f aca="true">OFFSET(VolSkewCoef,0,impvol_order-2)+OFFSET(VolSkewCoef,1,impvol_order-2)*G40+OFFSET(VolSkewCoef,2,impvol_order-2)*G40^2+IF(impvol_order&gt;2,OFFSET(VolSkewCoef,3,impvol_order-2)*G40^3,0)+IF(impvol_order&gt;3,OFFSET(VolSkewCoef,4,impvol_order-2)*G40^4,0)+IF(impvol_order&gt;4,OFFSET(VolSkewCoef,5,impvol_order-2)*G40^5,0)</f>
        <v>0.51571082810162</v>
      </c>
      <c r="L40" s="79" t="e">
        <f aca="false">EURO(UnderlyingPrice,$D40,IntRate,Yield,$I40,$D$6,L$12,0)</f>
        <v>#NAME?</v>
      </c>
      <c r="M40" s="79" t="e">
        <f aca="false">EURO(UnderlyingPrice,$D40,IntRate,Yield,$I40,$D$6,M$12,0)</f>
        <v>#NAME?</v>
      </c>
      <c r="O40" s="79" t="e">
        <f aca="false">EURO(UnderlyingPrice,$D40*(1+$P$8),IntRate,Yield,$H40,Expiry-Today,O$12,0)</f>
        <v>#NAME?</v>
      </c>
      <c r="P40" s="79" t="e">
        <f aca="false">EURO(UnderlyingPrice,$D40*(1+$P$8),IntRate,Yield,$H40,Expiry-Today,P$12,0)</f>
        <v>#NAME?</v>
      </c>
      <c r="R40" s="79" t="e">
        <f aca="false">EURO(UnderlyingPrice,$D40*(1-$P$8),IntRate,Yield,$J40,Expiry-Today,R$12,0)</f>
        <v>#NAME?</v>
      </c>
      <c r="S40" s="79" t="e">
        <f aca="false">EURO(UnderlyingPrice,$D40*(1-$P$8),IntRate,Yield,$J40,Expiry-Today,S$12,0)</f>
        <v>#NAME?</v>
      </c>
      <c r="U40" s="80" t="e">
        <f aca="false">(O40+R40-2*L40)/($P$8*D40)^2</f>
        <v>#NAME?</v>
      </c>
      <c r="V40" s="80"/>
      <c r="W40" s="81" t="e">
        <f aca="false">U40/$D$9</f>
        <v>#NAME?</v>
      </c>
      <c r="Z40" s="80" t="n">
        <f aca="false">(1/(D40*SQRT(2*PI()*T/365.25*ATMImpVol^2)))</f>
        <v>0.308350145859944</v>
      </c>
      <c r="AA40" s="80" t="n">
        <f aca="false">LN(D40/UnderlyingPrice)+0.5*T/365.25*ATMImpVol^2</f>
        <v>-0.151719900032453</v>
      </c>
      <c r="AB40" s="80" t="n">
        <f aca="false">-(AA40^2)</f>
        <v>-0.0230189280658575</v>
      </c>
      <c r="AC40" s="80" t="n">
        <f aca="false">AB40/(2*T/365.25*ATMImpVol^2)</f>
        <v>-0.107008259416564</v>
      </c>
      <c r="AD40" s="82" t="n">
        <f aca="false">EXP(AC40)</f>
        <v>0.898518251723127</v>
      </c>
      <c r="AE40" s="82" t="n">
        <f aca="false">AD40*Z40</f>
        <v>0.277058233976648</v>
      </c>
      <c r="AF40" s="82"/>
      <c r="AG40" s="83" t="n">
        <f aca="false">(LN($D40/UnderlyingPrice)+0.5*ATMImpVol^2*(T/365.25))/(ATMImpVol*SQRT(T/365.25))</f>
        <v>-0.462619194190133</v>
      </c>
      <c r="AH40" s="83" t="n">
        <f aca="false">(LN(($D40*(1+$P$8))/UnderlyingPrice)+0.5*ATMImpVol^2*(T/365.25))/(ATMImpVol*SQRT(T/365.25))</f>
        <v>-0.461094992098549</v>
      </c>
      <c r="AI40" s="83" t="n">
        <f aca="false">(LN($D40*(1-$P$8)/UnderlyingPrice)+0.5*ATMImpVol^2*(T/365.25))/(ATMImpVol*SQRT(T/365.25))</f>
        <v>-0.464144158573368</v>
      </c>
      <c r="AJ40" s="83"/>
      <c r="AK40" s="83" t="e">
        <f aca="false">W40/(AH40-AI40)*(D40*2*$P$8)</f>
        <v>#NAME?</v>
      </c>
      <c r="AL40" s="83"/>
      <c r="AM40" s="84" t="n">
        <v>-0.4</v>
      </c>
      <c r="AN40" s="85" t="n">
        <f aca="false">NORMDIST(AM40,0,1,FALSE())</f>
        <v>0.368270140303323</v>
      </c>
      <c r="AX40" s="87" t="n">
        <f aca="true">OFFSET(ENAVolCoef,0,impvol_order-2)+OFFSET(ENAVolCoef,1,impvol_order-2)*E40+OFFSET(ENAVolCoef,2,impvol_order-2)*E40^2+IF(impvol_order&gt;2,OFFSET(ENAVolCoef,3,impvol_order-2)*E40^3,0)+IF(impvol_order&gt;3,OFFSET(ENAVolCoef,4,impvol_order-2)*E40^4,0)+IF(impvol_order&gt;4,OFFSET(ENAVolCoef,5,impvol_order-2)*E40^5,0)</f>
        <v>0.490705543960169</v>
      </c>
      <c r="AY40" s="87" t="n">
        <f aca="true">OFFSET(ENAVolCoef,0,impvol_order-2)+OFFSET(ENAVolCoef,1,impvol_order-2)*F40+OFFSET(ENAVolCoef,2,impvol_order-2)*F40^2+IF(impvol_order&gt;2,OFFSET(ENAVolCoef,3,impvol_order-2)*F40^3,0)+IF(impvol_order&gt;3,OFFSET(ENAVolCoef,4,impvol_order-2)*F40^4,0)+IF(impvol_order&gt;4,OFFSET(ENAVolCoef,5,impvol_order-2)*F40^5,0)</f>
        <v>0.490692662983302</v>
      </c>
      <c r="AZ40" s="87" t="n">
        <f aca="true">OFFSET(ENAVolCoef,0,impvol_order-2)+OFFSET(ENAVolCoef,1,impvol_order-2)*G40+OFFSET(ENAVolCoef,2,impvol_order-2)*G40^2+IF(impvol_order&gt;2,OFFSET(ENAVolCoef,3,impvol_order-2)*G40^3,0)+IF(impvol_order&gt;3,OFFSET(ENAVolCoef,4,impvol_order-2)*G40^4,0)+IF(impvol_order&gt;4,OFFSET(ENAVolCoef,5,impvol_order-2)*G40^5,0)</f>
        <v>0.490718496775353</v>
      </c>
      <c r="BB40" s="48" t="e">
        <f aca="false">EURO(UnderlyingPrice,$D40,IntRate,Yield,AX40,$D$6,1,0)</f>
        <v>#NAME?</v>
      </c>
      <c r="BC40" s="48" t="e">
        <f aca="false">EURO(UnderlyingPrice,$D40*(1+$P$8),IntRate,Yield,AY40,$D$6,1,0)</f>
        <v>#NAME?</v>
      </c>
      <c r="BD40" s="48" t="e">
        <f aca="false">EURO(UnderlyingPrice,$D40*(1-$P$8),IntRate,Yield,AZ40,$D$6,1,0)</f>
        <v>#NAME?</v>
      </c>
      <c r="BF40" s="80" t="e">
        <f aca="false">(BC40+BD40-2*BB40)/($P$8*$D40)^2</f>
        <v>#NAME?</v>
      </c>
      <c r="BG40" s="48" t="e">
        <f aca="false">+BF40/$D$9</f>
        <v>#NAME?</v>
      </c>
      <c r="BI40" s="79" t="e">
        <f aca="false">+BB40-L40</f>
        <v>#NAME?</v>
      </c>
      <c r="BJ40" s="65" t="e">
        <f aca="false">+BI40/BB40</f>
        <v>#NAME?</v>
      </c>
    </row>
    <row r="41" customFormat="false" ht="11.25" hidden="false" customHeight="false" outlineLevel="0" collapsed="false">
      <c r="C41" s="77" t="n">
        <v>28</v>
      </c>
      <c r="D41" s="78" t="n">
        <f aca="true">D40+(ROUNDUP(MAX(StrikeRange),1)-ROUNDDOWN(MIN(StrikeRange),1))/100</f>
        <v>3.98</v>
      </c>
      <c r="E41" s="64" t="n">
        <f aca="false">+D41/UnderlyingPrice-1</f>
        <v>-0.178534571723425</v>
      </c>
      <c r="F41" s="64" t="n">
        <f aca="false">+D41*(1+$P$8)/UnderlyingPrice-1</f>
        <v>-0.178123839009287</v>
      </c>
      <c r="G41" s="64" t="n">
        <f aca="false">+D41*(1-$P$8)/UnderlyingPrice-1</f>
        <v>-0.178945304437564</v>
      </c>
      <c r="H41" s="64" t="n">
        <f aca="true">OFFSET(VolSkewCoef,0,impvol_order-2)+OFFSET(VolSkewCoef,1,impvol_order-2)*F41+OFFSET(VolSkewCoef,2,impvol_order-2)*F41^2+IF(impvol_order&gt;2,OFFSET(VolSkewCoef,3,impvol_order-2)*F41^3,0)+IF(impvol_order&gt;3,OFFSET(VolSkewCoef,4,impvol_order-2)*F41^4,0)+IF(impvol_order&gt;4,OFFSET(VolSkewCoef,5,impvol_order-2)*F41^5,0)</f>
        <v>0.515421338882216</v>
      </c>
      <c r="I41" s="64" t="n">
        <f aca="true">OFFSET(VolSkewCoef,0,impvol_order-2)+OFFSET(VolSkewCoef,1,impvol_order-2)*E41+OFFSET(VolSkewCoef,2,impvol_order-2)*E41^2+IF(impvol_order&gt;2,OFFSET(VolSkewCoef,3,impvol_order-2)*E41^3,0)+IF(impvol_order&gt;3,OFFSET(VolSkewCoef,4,impvol_order-2)*E41^4,0)+IF(impvol_order&gt;4,OFFSET(VolSkewCoef,5,impvol_order-2)*E41^5,0)</f>
        <v>0.515435232299792</v>
      </c>
      <c r="J41" s="64" t="n">
        <f aca="true">OFFSET(VolSkewCoef,0,impvol_order-2)+OFFSET(VolSkewCoef,1,impvol_order-2)*G41+OFFSET(VolSkewCoef,2,impvol_order-2)*G41^2+IF(impvol_order&gt;2,OFFSET(VolSkewCoef,3,impvol_order-2)*G41^3,0)+IF(impvol_order&gt;3,OFFSET(VolSkewCoef,4,impvol_order-2)*G41^4,0)+IF(impvol_order&gt;4,OFFSET(VolSkewCoef,5,impvol_order-2)*G41^5,0)</f>
        <v>0.515449221346795</v>
      </c>
      <c r="L41" s="79" t="e">
        <f aca="false">EURO(UnderlyingPrice,$D41,IntRate,Yield,$I41,$D$6,L$12,0)</f>
        <v>#NAME?</v>
      </c>
      <c r="M41" s="79" t="e">
        <f aca="false">EURO(UnderlyingPrice,$D41,IntRate,Yield,$I41,$D$6,M$12,0)</f>
        <v>#NAME?</v>
      </c>
      <c r="O41" s="79" t="e">
        <f aca="false">EURO(UnderlyingPrice,$D41*(1+$P$8),IntRate,Yield,$H41,Expiry-Today,O$12,0)</f>
        <v>#NAME?</v>
      </c>
      <c r="P41" s="79" t="e">
        <f aca="false">EURO(UnderlyingPrice,$D41*(1+$P$8),IntRate,Yield,$H41,Expiry-Today,P$12,0)</f>
        <v>#NAME?</v>
      </c>
      <c r="R41" s="79" t="e">
        <f aca="false">EURO(UnderlyingPrice,$D41*(1-$P$8),IntRate,Yield,$J41,Expiry-Today,R$12,0)</f>
        <v>#NAME?</v>
      </c>
      <c r="S41" s="79" t="e">
        <f aca="false">EURO(UnderlyingPrice,$D41*(1-$P$8),IntRate,Yield,$J41,Expiry-Today,S$12,0)</f>
        <v>#NAME?</v>
      </c>
      <c r="U41" s="80" t="e">
        <f aca="false">(O41+R41-2*L41)/($P$8*D41)^2</f>
        <v>#NAME?</v>
      </c>
      <c r="V41" s="80"/>
      <c r="W41" s="81" t="e">
        <f aca="false">U41/$D$9</f>
        <v>#NAME?</v>
      </c>
      <c r="Z41" s="80" t="n">
        <f aca="false">(1/(D41*SQRT(2*PI()*T/365.25*ATMImpVol^2)))</f>
        <v>0.305638523974241</v>
      </c>
      <c r="AA41" s="80" t="n">
        <f aca="false">LN(D41/UnderlyingPrice)+0.5*T/365.25*ATMImpVol^2</f>
        <v>-0.142887035033944</v>
      </c>
      <c r="AB41" s="80" t="n">
        <f aca="false">-(AA41^2)</f>
        <v>-0.0204167047807916</v>
      </c>
      <c r="AC41" s="80" t="n">
        <f aca="false">AB41/(2*T/365.25*ATMImpVol^2)</f>
        <v>-0.0949112849809396</v>
      </c>
      <c r="AD41" s="82" t="n">
        <f aca="false">EXP(AC41)</f>
        <v>0.909453613084095</v>
      </c>
      <c r="AE41" s="82" t="n">
        <f aca="false">AD41*Z41</f>
        <v>0.277964059926064</v>
      </c>
      <c r="AF41" s="82"/>
      <c r="AG41" s="83" t="n">
        <f aca="false">(LN($D41/UnderlyingPrice)+0.5*ATMImpVol^2*(T/365.25))/(ATMImpVol*SQRT(T/365.25))</f>
        <v>-0.435686320604491</v>
      </c>
      <c r="AH41" s="83" t="n">
        <f aca="false">(LN(($D41*(1+$P$8))/UnderlyingPrice)+0.5*ATMImpVol^2*(T/365.25))/(ATMImpVol*SQRT(T/365.25))</f>
        <v>-0.434162118512907</v>
      </c>
      <c r="AI41" s="83" t="n">
        <f aca="false">(LN($D41*(1-$P$8)/UnderlyingPrice)+0.5*ATMImpVol^2*(T/365.25))/(ATMImpVol*SQRT(T/365.25))</f>
        <v>-0.437211284987725</v>
      </c>
      <c r="AJ41" s="83"/>
      <c r="AK41" s="83" t="e">
        <f aca="false">W41/(AH41-AI41)*(D41*2*$P$8)</f>
        <v>#NAME?</v>
      </c>
      <c r="AL41" s="83"/>
      <c r="AM41" s="84" t="n">
        <v>-0.3</v>
      </c>
      <c r="AN41" s="85" t="n">
        <f aca="false">NORMDIST(AM41,0,1,FALSE())</f>
        <v>0.381387815460524</v>
      </c>
      <c r="AX41" s="87" t="n">
        <f aca="true">OFFSET(ENAVolCoef,0,impvol_order-2)+OFFSET(ENAVolCoef,1,impvol_order-2)*E41+OFFSET(ENAVolCoef,2,impvol_order-2)*E41^2+IF(impvol_order&gt;2,OFFSET(ENAVolCoef,3,impvol_order-2)*E41^3,0)+IF(impvol_order&gt;3,OFFSET(ENAVolCoef,4,impvol_order-2)*E41^4,0)+IF(impvol_order&gt;4,OFFSET(ENAVolCoef,5,impvol_order-2)*E41^5,0)</f>
        <v>0.490487617243974</v>
      </c>
      <c r="AY41" s="87" t="n">
        <f aca="true">OFFSET(ENAVolCoef,0,impvol_order-2)+OFFSET(ENAVolCoef,1,impvol_order-2)*F41+OFFSET(ENAVolCoef,2,impvol_order-2)*F41^2+IF(impvol_order&gt;2,OFFSET(ENAVolCoef,3,impvol_order-2)*F41^3,0)+IF(impvol_order&gt;3,OFFSET(ENAVolCoef,4,impvol_order-2)*F41^4,0)+IF(impvol_order&gt;4,OFFSET(ENAVolCoef,5,impvol_order-2)*F41^5,0)</f>
        <v>0.490475901320351</v>
      </c>
      <c r="AZ41" s="87" t="n">
        <f aca="true">OFFSET(ENAVolCoef,0,impvol_order-2)+OFFSET(ENAVolCoef,1,impvol_order-2)*G41+OFFSET(ENAVolCoef,2,impvol_order-2)*G41^2+IF(impvol_order&gt;2,OFFSET(ENAVolCoef,3,impvol_order-2)*G41^3,0)+IF(impvol_order&gt;3,OFFSET(ENAVolCoef,4,impvol_order-2)*G41^4,0)+IF(impvol_order&gt;4,OFFSET(ENAVolCoef,5,impvol_order-2)*G41^5,0)</f>
        <v>0.490499405533628</v>
      </c>
      <c r="BB41" s="48" t="e">
        <f aca="false">EURO(UnderlyingPrice,$D41,IntRate,Yield,AX41,$D$6,1,0)</f>
        <v>#NAME?</v>
      </c>
      <c r="BC41" s="48" t="e">
        <f aca="false">EURO(UnderlyingPrice,$D41*(1+$P$8),IntRate,Yield,AY41,$D$6,1,0)</f>
        <v>#NAME?</v>
      </c>
      <c r="BD41" s="48" t="e">
        <f aca="false">EURO(UnderlyingPrice,$D41*(1-$P$8),IntRate,Yield,AZ41,$D$6,1,0)</f>
        <v>#NAME?</v>
      </c>
      <c r="BF41" s="80" t="e">
        <f aca="false">(BC41+BD41-2*BB41)/($P$8*$D41)^2</f>
        <v>#NAME?</v>
      </c>
      <c r="BG41" s="48" t="e">
        <f aca="false">+BF41/$D$9</f>
        <v>#NAME?</v>
      </c>
      <c r="BI41" s="79" t="e">
        <f aca="false">+BB41-L41</f>
        <v>#NAME?</v>
      </c>
      <c r="BJ41" s="65" t="e">
        <f aca="false">+BI41/BB41</f>
        <v>#NAME?</v>
      </c>
    </row>
    <row r="42" customFormat="false" ht="11.25" hidden="false" customHeight="false" outlineLevel="0" collapsed="false">
      <c r="C42" s="77" t="n">
        <v>29</v>
      </c>
      <c r="D42" s="78" t="n">
        <f aca="true">D41+(ROUNDUP(MAX(StrikeRange),1)-ROUNDDOWN(MIN(StrikeRange),1))/100</f>
        <v>4.015</v>
      </c>
      <c r="E42" s="64" t="n">
        <f aca="false">+D42/UnderlyingPrice-1</f>
        <v>-0.171310629514963</v>
      </c>
      <c r="F42" s="64" t="n">
        <f aca="false">+D42*(1+$P$8)/UnderlyingPrice-1</f>
        <v>-0.170896284829721</v>
      </c>
      <c r="G42" s="64" t="n">
        <f aca="false">+D42*(1-$P$8)/UnderlyingPrice-1</f>
        <v>-0.171724974200205</v>
      </c>
      <c r="H42" s="64" t="n">
        <f aca="true">OFFSET(VolSkewCoef,0,impvol_order-2)+OFFSET(VolSkewCoef,1,impvol_order-2)*F42+OFFSET(VolSkewCoef,2,impvol_order-2)*F42^2+IF(impvol_order&gt;2,OFFSET(VolSkewCoef,3,impvol_order-2)*F42^3,0)+IF(impvol_order&gt;3,OFFSET(VolSkewCoef,4,impvol_order-2)*F42^4,0)+IF(impvol_order&gt;4,OFFSET(VolSkewCoef,5,impvol_order-2)*F42^5,0)</f>
        <v>0.515192432162199</v>
      </c>
      <c r="I42" s="64" t="n">
        <f aca="true">OFFSET(VolSkewCoef,0,impvol_order-2)+OFFSET(VolSkewCoef,1,impvol_order-2)*E42+OFFSET(VolSkewCoef,2,impvol_order-2)*E42^2+IF(impvol_order&gt;2,OFFSET(VolSkewCoef,3,impvol_order-2)*E42^3,0)+IF(impvol_order&gt;3,OFFSET(VolSkewCoef,4,impvol_order-2)*E42^4,0)+IF(impvol_order&gt;4,OFFSET(VolSkewCoef,5,impvol_order-2)*E42^5,0)</f>
        <v>0.515204762183459</v>
      </c>
      <c r="J42" s="64" t="n">
        <f aca="true">OFFSET(VolSkewCoef,0,impvol_order-2)+OFFSET(VolSkewCoef,1,impvol_order-2)*G42+OFFSET(VolSkewCoef,2,impvol_order-2)*G42^2+IF(impvol_order&gt;2,OFFSET(VolSkewCoef,3,impvol_order-2)*G42^3,0)+IF(impvol_order&gt;3,OFFSET(VolSkewCoef,4,impvol_order-2)*G42^4,0)+IF(impvol_order&gt;4,OFFSET(VolSkewCoef,5,impvol_order-2)*G42^5,0)</f>
        <v>0.515217188268788</v>
      </c>
      <c r="L42" s="79" t="e">
        <f aca="false">EURO(UnderlyingPrice,$D42,IntRate,Yield,$I42,$D$6,L$12,0)</f>
        <v>#NAME?</v>
      </c>
      <c r="M42" s="79" t="e">
        <f aca="false">EURO(UnderlyingPrice,$D42,IntRate,Yield,$I42,$D$6,M$12,0)</f>
        <v>#NAME?</v>
      </c>
      <c r="O42" s="79" t="e">
        <f aca="false">EURO(UnderlyingPrice,$D42*(1+$P$8),IntRate,Yield,$H42,Expiry-Today,O$12,0)</f>
        <v>#NAME?</v>
      </c>
      <c r="P42" s="79" t="e">
        <f aca="false">EURO(UnderlyingPrice,$D42*(1+$P$8),IntRate,Yield,$H42,Expiry-Today,P$12,0)</f>
        <v>#NAME?</v>
      </c>
      <c r="R42" s="79" t="e">
        <f aca="false">EURO(UnderlyingPrice,$D42*(1-$P$8),IntRate,Yield,$J42,Expiry-Today,R$12,0)</f>
        <v>#NAME?</v>
      </c>
      <c r="S42" s="79" t="e">
        <f aca="false">EURO(UnderlyingPrice,$D42*(1-$P$8),IntRate,Yield,$J42,Expiry-Today,S$12,0)</f>
        <v>#NAME?</v>
      </c>
      <c r="U42" s="80" t="e">
        <f aca="false">(O42+R42-2*L42)/($P$8*D42)^2</f>
        <v>#NAME?</v>
      </c>
      <c r="V42" s="80"/>
      <c r="W42" s="81" t="e">
        <f aca="false">U42/$D$9</f>
        <v>#NAME?</v>
      </c>
      <c r="Z42" s="80" t="n">
        <f aca="false">(1/(D42*SQRT(2*PI()*T/365.25*ATMImpVol^2)))</f>
        <v>0.302974178186172</v>
      </c>
      <c r="AA42" s="80" t="n">
        <f aca="false">LN(D42/UnderlyingPrice)+0.5*T/365.25*ATMImpVol^2</f>
        <v>-0.134131506931566</v>
      </c>
      <c r="AB42" s="80" t="n">
        <f aca="false">-(AA42^2)</f>
        <v>-0.0179912611517326</v>
      </c>
      <c r="AC42" s="80" t="n">
        <f aca="false">AB42/(2*T/365.25*ATMImpVol^2)</f>
        <v>-0.0836361074263618</v>
      </c>
      <c r="AD42" s="82" t="n">
        <f aca="false">EXP(AC42)</f>
        <v>0.919765891183108</v>
      </c>
      <c r="AE42" s="82" t="n">
        <f aca="false">AD42*Z42</f>
        <v>0.278665315004874</v>
      </c>
      <c r="AF42" s="82"/>
      <c r="AG42" s="83" t="n">
        <f aca="false">(LN($D42/UnderlyingPrice)+0.5*ATMImpVol^2*(T/365.25))/(ATMImpVol*SQRT(T/365.25))</f>
        <v>-0.408989260070144</v>
      </c>
      <c r="AH42" s="83" t="n">
        <f aca="false">(LN(($D42*(1+$P$8))/UnderlyingPrice)+0.5*ATMImpVol^2*(T/365.25))/(ATMImpVol*SQRT(T/365.25))</f>
        <v>-0.40746505797856</v>
      </c>
      <c r="AI42" s="83" t="n">
        <f aca="false">(LN($D42*(1-$P$8)/UnderlyingPrice)+0.5*ATMImpVol^2*(T/365.25))/(ATMImpVol*SQRT(T/365.25))</f>
        <v>-0.410514224453378</v>
      </c>
      <c r="AJ42" s="83"/>
      <c r="AK42" s="83" t="e">
        <f aca="false">W42/(AH42-AI42)*(D42*2*$P$8)</f>
        <v>#NAME?</v>
      </c>
      <c r="AL42" s="83"/>
      <c r="AM42" s="84" t="n">
        <v>-0.2</v>
      </c>
      <c r="AN42" s="85" t="n">
        <f aca="false">NORMDIST(AM42,0,1,FALSE())</f>
        <v>0.391042693975456</v>
      </c>
      <c r="AX42" s="87" t="n">
        <f aca="true">OFFSET(ENAVolCoef,0,impvol_order-2)+OFFSET(ENAVolCoef,1,impvol_order-2)*E42+OFFSET(ENAVolCoef,2,impvol_order-2)*E42^2+IF(impvol_order&gt;2,OFFSET(ENAVolCoef,3,impvol_order-2)*E42^3,0)+IF(impvol_order&gt;3,OFFSET(ENAVolCoef,4,impvol_order-2)*E42^4,0)+IF(impvol_order&gt;4,OFFSET(ENAVolCoef,5,impvol_order-2)*E42^5,0)</f>
        <v>0.490292075919354</v>
      </c>
      <c r="AY42" s="87" t="n">
        <f aca="true">OFFSET(ENAVolCoef,0,impvol_order-2)+OFFSET(ENAVolCoef,1,impvol_order-2)*F42+OFFSET(ENAVolCoef,2,impvol_order-2)*F42^2+IF(impvol_order&gt;2,OFFSET(ENAVolCoef,3,impvol_order-2)*F42^3,0)+IF(impvol_order&gt;3,OFFSET(ENAVolCoef,4,impvol_order-2)*F42^4,0)+IF(impvol_order&gt;4,OFFSET(ENAVolCoef,5,impvol_order-2)*F42^5,0)</f>
        <v>0.490281534189372</v>
      </c>
      <c r="AZ42" s="87" t="n">
        <f aca="true">OFFSET(ENAVolCoef,0,impvol_order-2)+OFFSET(ENAVolCoef,1,impvol_order-2)*G42+OFFSET(ENAVolCoef,2,impvol_order-2)*G42^2+IF(impvol_order&gt;2,OFFSET(ENAVolCoef,3,impvol_order-2)*G42^3,0)+IF(impvol_order&gt;3,OFFSET(ENAVolCoef,4,impvol_order-2)*G42^4,0)+IF(impvol_order&gt;4,OFFSET(ENAVolCoef,5,impvol_order-2)*G42^5,0)</f>
        <v>0.490302690527801</v>
      </c>
      <c r="BB42" s="48" t="e">
        <f aca="false">EURO(UnderlyingPrice,$D42,IntRate,Yield,AX42,$D$6,1,0)</f>
        <v>#NAME?</v>
      </c>
      <c r="BC42" s="48" t="e">
        <f aca="false">EURO(UnderlyingPrice,$D42*(1+$P$8),IntRate,Yield,AY42,$D$6,1,0)</f>
        <v>#NAME?</v>
      </c>
      <c r="BD42" s="48" t="e">
        <f aca="false">EURO(UnderlyingPrice,$D42*(1-$P$8),IntRate,Yield,AZ42,$D$6,1,0)</f>
        <v>#NAME?</v>
      </c>
      <c r="BF42" s="80" t="e">
        <f aca="false">(BC42+BD42-2*BB42)/($P$8*$D42)^2</f>
        <v>#NAME?</v>
      </c>
      <c r="BG42" s="48" t="e">
        <f aca="false">+BF42/$D$9</f>
        <v>#NAME?</v>
      </c>
      <c r="BI42" s="79" t="e">
        <f aca="false">+BB42-L42</f>
        <v>#NAME?</v>
      </c>
      <c r="BJ42" s="65" t="e">
        <f aca="false">+BI42/BB42</f>
        <v>#NAME?</v>
      </c>
    </row>
    <row r="43" customFormat="false" ht="11.25" hidden="false" customHeight="false" outlineLevel="0" collapsed="false">
      <c r="C43" s="77" t="n">
        <v>30</v>
      </c>
      <c r="D43" s="78" t="n">
        <f aca="true">D42+(ROUNDUP(MAX(StrikeRange),1)-ROUNDDOWN(MIN(StrikeRange),1))/100</f>
        <v>4.05</v>
      </c>
      <c r="E43" s="64" t="n">
        <f aca="false">+D43/UnderlyingPrice-1</f>
        <v>-0.164086687306501</v>
      </c>
      <c r="F43" s="64" t="n">
        <f aca="false">+D43*(1+$P$8)/UnderlyingPrice-1</f>
        <v>-0.163668730650154</v>
      </c>
      <c r="G43" s="64" t="n">
        <f aca="false">+D43*(1-$P$8)/UnderlyingPrice-1</f>
        <v>-0.164504643962847</v>
      </c>
      <c r="H43" s="64" t="n">
        <f aca="true">OFFSET(VolSkewCoef,0,impvol_order-2)+OFFSET(VolSkewCoef,1,impvol_order-2)*F43+OFFSET(VolSkewCoef,2,impvol_order-2)*F43^2+IF(impvol_order&gt;2,OFFSET(VolSkewCoef,3,impvol_order-2)*F43^3,0)+IF(impvol_order&gt;3,OFFSET(VolSkewCoef,4,impvol_order-2)*F43^4,0)+IF(impvol_order&gt;4,OFFSET(VolSkewCoef,5,impvol_order-2)*F43^5,0)</f>
        <v>0.514992732961991</v>
      </c>
      <c r="I43" s="64" t="n">
        <f aca="true">OFFSET(VolSkewCoef,0,impvol_order-2)+OFFSET(VolSkewCoef,1,impvol_order-2)*E43+OFFSET(VolSkewCoef,2,impvol_order-2)*E43^2+IF(impvol_order&gt;2,OFFSET(VolSkewCoef,3,impvol_order-2)*E43^3,0)+IF(impvol_order&gt;3,OFFSET(VolSkewCoef,4,impvol_order-2)*E43^4,0)+IF(impvol_order&gt;4,OFFSET(VolSkewCoef,5,impvol_order-2)*E43^5,0)</f>
        <v>0.515003492276146</v>
      </c>
      <c r="J43" s="64" t="n">
        <f aca="true">OFFSET(VolSkewCoef,0,impvol_order-2)+OFFSET(VolSkewCoef,1,impvol_order-2)*G43+OFFSET(VolSkewCoef,2,impvol_order-2)*G43^2+IF(impvol_order&gt;2,OFFSET(VolSkewCoef,3,impvol_order-2)*G43^3,0)+IF(impvol_order&gt;3,OFFSET(VolSkewCoef,4,impvol_order-2)*G43^4,0)+IF(impvol_order&gt;4,OFFSET(VolSkewCoef,5,impvol_order-2)*G43^5,0)</f>
        <v>0.515014348059861</v>
      </c>
      <c r="L43" s="79" t="e">
        <f aca="false">EURO(UnderlyingPrice,$D43,IntRate,Yield,$I43,$D$6,L$12,0)</f>
        <v>#NAME?</v>
      </c>
      <c r="M43" s="79" t="e">
        <f aca="false">EURO(UnderlyingPrice,$D43,IntRate,Yield,$I43,$D$6,M$12,0)</f>
        <v>#NAME?</v>
      </c>
      <c r="O43" s="79" t="e">
        <f aca="false">EURO(UnderlyingPrice,$D43*(1+$P$8),IntRate,Yield,$H43,Expiry-Today,O$12,0)</f>
        <v>#NAME?</v>
      </c>
      <c r="P43" s="79" t="e">
        <f aca="false">EURO(UnderlyingPrice,$D43*(1+$P$8),IntRate,Yield,$H43,Expiry-Today,P$12,0)</f>
        <v>#NAME?</v>
      </c>
      <c r="R43" s="79" t="e">
        <f aca="false">EURO(UnderlyingPrice,$D43*(1-$P$8),IntRate,Yield,$J43,Expiry-Today,R$12,0)</f>
        <v>#NAME?</v>
      </c>
      <c r="S43" s="79" t="e">
        <f aca="false">EURO(UnderlyingPrice,$D43*(1-$P$8),IntRate,Yield,$J43,Expiry-Today,S$12,0)</f>
        <v>#NAME?</v>
      </c>
      <c r="U43" s="80" t="e">
        <f aca="false">(O43+R43-2*L43)/($P$8*D43)^2</f>
        <v>#NAME?</v>
      </c>
      <c r="V43" s="80"/>
      <c r="W43" s="81" t="e">
        <f aca="false">U43/$D$9</f>
        <v>#NAME?</v>
      </c>
      <c r="Z43" s="80" t="n">
        <f aca="false">(1/(D43*SQRT(2*PI()*T/365.25*ATMImpVol^2)))</f>
        <v>0.300355882819131</v>
      </c>
      <c r="AA43" s="80" t="n">
        <f aca="false">LN(D43/UnderlyingPrice)+0.5*T/365.25*ATMImpVol^2</f>
        <v>-0.125451973211843</v>
      </c>
      <c r="AB43" s="80" t="n">
        <f aca="false">-(AA43^2)</f>
        <v>-0.0157381975827449</v>
      </c>
      <c r="AC43" s="80" t="n">
        <f aca="false">AB43/(2*T/365.25*ATMImpVol^2)</f>
        <v>-0.0731622743189962</v>
      </c>
      <c r="AD43" s="82" t="n">
        <f aca="false">EXP(AC43)</f>
        <v>0.929449991923068</v>
      </c>
      <c r="AE43" s="82" t="n">
        <f aca="false">AD43*Z43</f>
        <v>0.279165772860287</v>
      </c>
      <c r="AF43" s="82"/>
      <c r="AG43" s="83" t="n">
        <f aca="false">(LN($D43/UnderlyingPrice)+0.5*ATMImpVol^2*(T/365.25))/(ATMImpVol*SQRT(T/365.25))</f>
        <v>-0.382523919040356</v>
      </c>
      <c r="AH43" s="83" t="n">
        <f aca="false">(LN(($D43*(1+$P$8))/UnderlyingPrice)+0.5*ATMImpVol^2*(T/365.25))/(ATMImpVol*SQRT(T/365.25))</f>
        <v>-0.380999716948772</v>
      </c>
      <c r="AI43" s="83" t="n">
        <f aca="false">(LN($D43*(1-$P$8)/UnderlyingPrice)+0.5*ATMImpVol^2*(T/365.25))/(ATMImpVol*SQRT(T/365.25))</f>
        <v>-0.38404888342359</v>
      </c>
      <c r="AJ43" s="83"/>
      <c r="AK43" s="83" t="e">
        <f aca="false">W43/(AH43-AI43)*(D43*2*$P$8)</f>
        <v>#NAME?</v>
      </c>
      <c r="AL43" s="83"/>
      <c r="AM43" s="84" t="n">
        <v>-0.1</v>
      </c>
      <c r="AN43" s="85" t="n">
        <f aca="false">NORMDIST(AM43,0,1,FALSE())</f>
        <v>0.396952547477012</v>
      </c>
      <c r="AX43" s="87" t="n">
        <f aca="true">OFFSET(ENAVolCoef,0,impvol_order-2)+OFFSET(ENAVolCoef,1,impvol_order-2)*E43+OFFSET(ENAVolCoef,2,impvol_order-2)*E43^2+IF(impvol_order&gt;2,OFFSET(ENAVolCoef,3,impvol_order-2)*E43^3,0)+IF(impvol_order&gt;3,OFFSET(ENAVolCoef,4,impvol_order-2)*E43^4,0)+IF(impvol_order&gt;4,OFFSET(ENAVolCoef,5,impvol_order-2)*E43^5,0)</f>
        <v>0.490118687168601</v>
      </c>
      <c r="AY43" s="87" t="n">
        <f aca="true">OFFSET(ENAVolCoef,0,impvol_order-2)+OFFSET(ENAVolCoef,1,impvol_order-2)*F43+OFFSET(ENAVolCoef,2,impvol_order-2)*F43^2+IF(impvol_order&gt;2,OFFSET(ENAVolCoef,3,impvol_order-2)*F43^3,0)+IF(impvol_order&gt;3,OFFSET(ENAVolCoef,4,impvol_order-2)*F43^4,0)+IF(impvol_order&gt;4,OFFSET(ENAVolCoef,5,impvol_order-2)*F43^5,0)</f>
        <v>0.490109328423256</v>
      </c>
      <c r="AZ43" s="87" t="n">
        <f aca="true">OFFSET(ENAVolCoef,0,impvol_order-2)+OFFSET(ENAVolCoef,1,impvol_order-2)*G43+OFFSET(ENAVolCoef,2,impvol_order-2)*G43^2+IF(impvol_order&gt;2,OFFSET(ENAVolCoef,3,impvol_order-2)*G43^3,0)+IF(impvol_order&gt;3,OFFSET(ENAVolCoef,4,impvol_order-2)*G43^4,0)+IF(impvol_order&gt;4,OFFSET(ENAVolCoef,5,impvol_order-2)*G43^5,0)</f>
        <v>0.490128119289212</v>
      </c>
      <c r="BB43" s="48" t="e">
        <f aca="false">EURO(UnderlyingPrice,$D43,IntRate,Yield,AX43,$D$6,1,0)</f>
        <v>#NAME?</v>
      </c>
      <c r="BC43" s="48" t="e">
        <f aca="false">EURO(UnderlyingPrice,$D43*(1+$P$8),IntRate,Yield,AY43,$D$6,1,0)</f>
        <v>#NAME?</v>
      </c>
      <c r="BD43" s="48" t="e">
        <f aca="false">EURO(UnderlyingPrice,$D43*(1-$P$8),IntRate,Yield,AZ43,$D$6,1,0)</f>
        <v>#NAME?</v>
      </c>
      <c r="BF43" s="80" t="e">
        <f aca="false">(BC43+BD43-2*BB43)/($P$8*$D43)^2</f>
        <v>#NAME?</v>
      </c>
      <c r="BG43" s="48" t="e">
        <f aca="false">+BF43/$D$9</f>
        <v>#NAME?</v>
      </c>
      <c r="BI43" s="79" t="e">
        <f aca="false">+BB43-L43</f>
        <v>#NAME?</v>
      </c>
      <c r="BJ43" s="65" t="e">
        <f aca="false">+BI43/BB43</f>
        <v>#NAME?</v>
      </c>
    </row>
    <row r="44" customFormat="false" ht="11.25" hidden="false" customHeight="false" outlineLevel="0" collapsed="false">
      <c r="C44" s="77" t="n">
        <v>31</v>
      </c>
      <c r="D44" s="78" t="n">
        <f aca="true">D43+(ROUNDUP(MAX(StrikeRange),1)-ROUNDDOWN(MIN(StrikeRange),1))/100</f>
        <v>4.085</v>
      </c>
      <c r="E44" s="64" t="n">
        <f aca="false">+D44/UnderlyingPrice-1</f>
        <v>-0.156862745098038</v>
      </c>
      <c r="F44" s="64" t="n">
        <f aca="false">+D44*(1+$P$8)/UnderlyingPrice-1</f>
        <v>-0.156441176470587</v>
      </c>
      <c r="G44" s="64" t="n">
        <f aca="false">+D44*(1-$P$8)/UnderlyingPrice-1</f>
        <v>-0.157284313725489</v>
      </c>
      <c r="H44" s="64" t="n">
        <f aca="true">OFFSET(VolSkewCoef,0,impvol_order-2)+OFFSET(VolSkewCoef,1,impvol_order-2)*F44+OFFSET(VolSkewCoef,2,impvol_order-2)*F44^2+IF(impvol_order&gt;2,OFFSET(VolSkewCoef,3,impvol_order-2)*F44^3,0)+IF(impvol_order&gt;3,OFFSET(VolSkewCoef,4,impvol_order-2)*F44^4,0)+IF(impvol_order&gt;4,OFFSET(VolSkewCoef,5,impvol_order-2)*F44^5,0)</f>
        <v>0.514821859329717</v>
      </c>
      <c r="I44" s="64" t="n">
        <f aca="true">OFFSET(VolSkewCoef,0,impvol_order-2)+OFFSET(VolSkewCoef,1,impvol_order-2)*E44+OFFSET(VolSkewCoef,2,impvol_order-2)*E44^2+IF(impvol_order&gt;2,OFFSET(VolSkewCoef,3,impvol_order-2)*E44^3,0)+IF(impvol_order&gt;3,OFFSET(VolSkewCoef,4,impvol_order-2)*E44^4,0)+IF(impvol_order&gt;4,OFFSET(VolSkewCoef,5,impvol_order-2)*E44^5,0)</f>
        <v>0.514831041198333</v>
      </c>
      <c r="J44" s="64" t="n">
        <f aca="true">OFFSET(VolSkewCoef,0,impvol_order-2)+OFFSET(VolSkewCoef,1,impvol_order-2)*G44+OFFSET(VolSkewCoef,2,impvol_order-2)*G44^2+IF(impvol_order&gt;2,OFFSET(VolSkewCoef,3,impvol_order-2)*G44^3,0)+IF(impvol_order&gt;3,OFFSET(VolSkewCoef,4,impvol_order-2)*G44^4,0)+IF(impvol_order&gt;4,OFFSET(VolSkewCoef,5,impvol_order-2)*G44^5,0)</f>
        <v>0.514840319912279</v>
      </c>
      <c r="L44" s="79" t="e">
        <f aca="false">EURO(UnderlyingPrice,$D44,IntRate,Yield,$I44,$D$6,L$12,0)</f>
        <v>#NAME?</v>
      </c>
      <c r="M44" s="79" t="e">
        <f aca="false">EURO(UnderlyingPrice,$D44,IntRate,Yield,$I44,$D$6,M$12,0)</f>
        <v>#NAME?</v>
      </c>
      <c r="O44" s="79" t="e">
        <f aca="false">EURO(UnderlyingPrice,$D44*(1+$P$8),IntRate,Yield,$H44,Expiry-Today,O$12,0)</f>
        <v>#NAME?</v>
      </c>
      <c r="P44" s="79" t="e">
        <f aca="false">EURO(UnderlyingPrice,$D44*(1+$P$8),IntRate,Yield,$H44,Expiry-Today,P$12,0)</f>
        <v>#NAME?</v>
      </c>
      <c r="R44" s="79" t="e">
        <f aca="false">EURO(UnderlyingPrice,$D44*(1-$P$8),IntRate,Yield,$J44,Expiry-Today,R$12,0)</f>
        <v>#NAME?</v>
      </c>
      <c r="S44" s="79" t="e">
        <f aca="false">EURO(UnderlyingPrice,$D44*(1-$P$8),IntRate,Yield,$J44,Expiry-Today,S$12,0)</f>
        <v>#NAME?</v>
      </c>
      <c r="U44" s="80" t="e">
        <f aca="false">(O44+R44-2*L44)/($P$8*D44)^2</f>
        <v>#NAME?</v>
      </c>
      <c r="V44" s="80"/>
      <c r="W44" s="81" t="e">
        <f aca="false">U44/$D$9</f>
        <v>#NAME?</v>
      </c>
      <c r="Z44" s="80" t="n">
        <f aca="false">(1/(D44*SQRT(2*PI()*T/365.25*ATMImpVol^2)))</f>
        <v>0.297782454202566</v>
      </c>
      <c r="AA44" s="80" t="n">
        <f aca="false">LN(D44/UnderlyingPrice)+0.5*T/365.25*ATMImpVol^2</f>
        <v>-0.116847126018324</v>
      </c>
      <c r="AB44" s="80" t="n">
        <f aca="false">-(AA44^2)</f>
        <v>-0.0136532508587421</v>
      </c>
      <c r="AC44" s="80" t="n">
        <f aca="false">AB44/(2*T/365.25*ATMImpVol^2)</f>
        <v>-0.0634699672196607</v>
      </c>
      <c r="AD44" s="82" t="n">
        <f aca="false">EXP(AC44)</f>
        <v>0.938502304710984</v>
      </c>
      <c r="AE44" s="82" t="n">
        <f aca="false">AD44*Z44</f>
        <v>0.279469519571601</v>
      </c>
      <c r="AF44" s="82"/>
      <c r="AG44" s="83" t="n">
        <f aca="false">(LN($D44/UnderlyingPrice)+0.5*ATMImpVol^2*(T/365.25))/(ATMImpVol*SQRT(T/365.25))</f>
        <v>-0.356286309643412</v>
      </c>
      <c r="AH44" s="83" t="n">
        <f aca="false">(LN(($D44*(1+$P$8))/UnderlyingPrice)+0.5*ATMImpVol^2*(T/365.25))/(ATMImpVol*SQRT(T/365.25))</f>
        <v>-0.354762107551829</v>
      </c>
      <c r="AI44" s="83" t="n">
        <f aca="false">(LN($D44*(1-$P$8)/UnderlyingPrice)+0.5*ATMImpVol^2*(T/365.25))/(ATMImpVol*SQRT(T/365.25))</f>
        <v>-0.357811274026647</v>
      </c>
      <c r="AJ44" s="83"/>
      <c r="AK44" s="83" t="e">
        <f aca="false">W44/(AH44-AI44)*(D44*2*$P$8)</f>
        <v>#NAME?</v>
      </c>
      <c r="AL44" s="83"/>
      <c r="AM44" s="84" t="n">
        <v>0</v>
      </c>
      <c r="AN44" s="85" t="n">
        <f aca="false">NORMDIST(AM44,0,1,FALSE())</f>
        <v>0.398942280401433</v>
      </c>
      <c r="AX44" s="87" t="n">
        <f aca="true">OFFSET(ENAVolCoef,0,impvol_order-2)+OFFSET(ENAVolCoef,1,impvol_order-2)*E44+OFFSET(ENAVolCoef,2,impvol_order-2)*E44^2+IF(impvol_order&gt;2,OFFSET(ENAVolCoef,3,impvol_order-2)*E44^3,0)+IF(impvol_order&gt;3,OFFSET(ENAVolCoef,4,impvol_order-2)*E44^4,0)+IF(impvol_order&gt;4,OFFSET(ENAVolCoef,5,impvol_order-2)*E44^5,0)</f>
        <v>0.489967218174005</v>
      </c>
      <c r="AY44" s="87" t="n">
        <f aca="true">OFFSET(ENAVolCoef,0,impvol_order-2)+OFFSET(ENAVolCoef,1,impvol_order-2)*F44+OFFSET(ENAVolCoef,2,impvol_order-2)*F44^2+IF(impvol_order&gt;2,OFFSET(ENAVolCoef,3,impvol_order-2)*F44^3,0)+IF(impvol_order&gt;3,OFFSET(ENAVolCoef,4,impvol_order-2)*F44^4,0)+IF(impvol_order&gt;4,OFFSET(ENAVolCoef,5,impvol_order-2)*F44^5,0)</f>
        <v>0.489959050854893</v>
      </c>
      <c r="AZ44" s="87" t="n">
        <f aca="true">OFFSET(ENAVolCoef,0,impvol_order-2)+OFFSET(ENAVolCoef,1,impvol_order-2)*G44+OFFSET(ENAVolCoef,2,impvol_order-2)*G44^2+IF(impvol_order&gt;2,OFFSET(ENAVolCoef,3,impvol_order-2)*G44^3,0)+IF(impvol_order&gt;3,OFFSET(ENAVolCoef,4,impvol_order-2)*G44^4,0)+IF(impvol_order&gt;4,OFFSET(ENAVolCoef,5,impvol_order-2)*G44^5,0)</f>
        <v>0.489975459349204</v>
      </c>
      <c r="BB44" s="48" t="e">
        <f aca="false">EURO(UnderlyingPrice,$D44,IntRate,Yield,AX44,$D$6,1,0)</f>
        <v>#NAME?</v>
      </c>
      <c r="BC44" s="48" t="e">
        <f aca="false">EURO(UnderlyingPrice,$D44*(1+$P$8),IntRate,Yield,AY44,$D$6,1,0)</f>
        <v>#NAME?</v>
      </c>
      <c r="BD44" s="48" t="e">
        <f aca="false">EURO(UnderlyingPrice,$D44*(1-$P$8),IntRate,Yield,AZ44,$D$6,1,0)</f>
        <v>#NAME?</v>
      </c>
      <c r="BF44" s="80" t="e">
        <f aca="false">(BC44+BD44-2*BB44)/($P$8*$D44)^2</f>
        <v>#NAME?</v>
      </c>
      <c r="BG44" s="48" t="e">
        <f aca="false">+BF44/$D$9</f>
        <v>#NAME?</v>
      </c>
      <c r="BI44" s="79" t="e">
        <f aca="false">+BB44-L44</f>
        <v>#NAME?</v>
      </c>
      <c r="BJ44" s="65" t="e">
        <f aca="false">+BI44/BB44</f>
        <v>#NAME?</v>
      </c>
    </row>
    <row r="45" customFormat="false" ht="11.25" hidden="false" customHeight="false" outlineLevel="0" collapsed="false">
      <c r="C45" s="77" t="n">
        <v>32</v>
      </c>
      <c r="D45" s="78" t="n">
        <f aca="true">D44+(ROUNDUP(MAX(StrikeRange),1)-ROUNDDOWN(MIN(StrikeRange),1))/100</f>
        <v>4.12</v>
      </c>
      <c r="E45" s="64" t="n">
        <f aca="false">+D45/UnderlyingPrice-1</f>
        <v>-0.149638802889576</v>
      </c>
      <c r="F45" s="64" t="n">
        <f aca="false">+D45*(1+$P$8)/UnderlyingPrice-1</f>
        <v>-0.149213622291021</v>
      </c>
      <c r="G45" s="64" t="n">
        <f aca="false">+D45*(1-$P$8)/UnderlyingPrice-1</f>
        <v>-0.150063983488131</v>
      </c>
      <c r="H45" s="64" t="n">
        <f aca="true">OFFSET(VolSkewCoef,0,impvol_order-2)+OFFSET(VolSkewCoef,1,impvol_order-2)*F45+OFFSET(VolSkewCoef,2,impvol_order-2)*F45^2+IF(impvol_order&gt;2,OFFSET(VolSkewCoef,3,impvol_order-2)*F45^3,0)+IF(impvol_order&gt;3,OFFSET(VolSkewCoef,4,impvol_order-2)*F45^4,0)+IF(impvol_order&gt;4,OFFSET(VolSkewCoef,5,impvol_order-2)*F45^5,0)</f>
        <v>0.514679429313502</v>
      </c>
      <c r="I45" s="64" t="n">
        <f aca="true">OFFSET(VolSkewCoef,0,impvol_order-2)+OFFSET(VolSkewCoef,1,impvol_order-2)*E45+OFFSET(VolSkewCoef,2,impvol_order-2)*E45^2+IF(impvol_order&gt;2,OFFSET(VolSkewCoef,3,impvol_order-2)*E45^3,0)+IF(impvol_order&gt;3,OFFSET(VolSkewCoef,4,impvol_order-2)*E45^4,0)+IF(impvol_order&gt;4,OFFSET(VolSkewCoef,5,impvol_order-2)*E45^5,0)</f>
        <v>0.514687027570499</v>
      </c>
      <c r="J45" s="64" t="n">
        <f aca="true">OFFSET(VolSkewCoef,0,impvol_order-2)+OFFSET(VolSkewCoef,1,impvol_order-2)*G45+OFFSET(VolSkewCoef,2,impvol_order-2)*G45^2+IF(impvol_order&gt;2,OFFSET(VolSkewCoef,3,impvol_order-2)*G45^3,0)+IF(impvol_order&gt;3,OFFSET(VolSkewCoef,4,impvol_order-2)*G45^4,0)+IF(impvol_order&gt;4,OFFSET(VolSkewCoef,5,impvol_order-2)*G45^5,0)</f>
        <v>0.514694723018305</v>
      </c>
      <c r="L45" s="79" t="e">
        <f aca="false">EURO(UnderlyingPrice,$D45,IntRate,Yield,$I45,$D$6,L$12,0)</f>
        <v>#NAME?</v>
      </c>
      <c r="M45" s="79" t="e">
        <f aca="false">EURO(UnderlyingPrice,$D45,IntRate,Yield,$I45,$D$6,M$12,0)</f>
        <v>#NAME?</v>
      </c>
      <c r="O45" s="79" t="e">
        <f aca="false">EURO(UnderlyingPrice,$D45*(1+$P$8),IntRate,Yield,$H45,Expiry-Today,O$12,0)</f>
        <v>#NAME?</v>
      </c>
      <c r="P45" s="79" t="e">
        <f aca="false">EURO(UnderlyingPrice,$D45*(1+$P$8),IntRate,Yield,$H45,Expiry-Today,P$12,0)</f>
        <v>#NAME?</v>
      </c>
      <c r="R45" s="79" t="e">
        <f aca="false">EURO(UnderlyingPrice,$D45*(1-$P$8),IntRate,Yield,$J45,Expiry-Today,R$12,0)</f>
        <v>#NAME?</v>
      </c>
      <c r="S45" s="79" t="e">
        <f aca="false">EURO(UnderlyingPrice,$D45*(1-$P$8),IntRate,Yield,$J45,Expiry-Today,S$12,0)</f>
        <v>#NAME?</v>
      </c>
      <c r="U45" s="80" t="e">
        <f aca="false">(O45+R45-2*L45)/($P$8*D45)^2</f>
        <v>#NAME?</v>
      </c>
      <c r="V45" s="80"/>
      <c r="W45" s="81" t="e">
        <f aca="false">U45/$D$9</f>
        <v>#NAME?</v>
      </c>
      <c r="Z45" s="80" t="n">
        <f aca="false">(1/(D45*SQRT(2*PI()*T/365.25*ATMImpVol^2)))</f>
        <v>0.295252748887738</v>
      </c>
      <c r="AA45" s="80" t="n">
        <f aca="false">LN(D45/UnderlyingPrice)+0.5*T/365.25*ATMImpVol^2</f>
        <v>-0.108315690968855</v>
      </c>
      <c r="AB45" s="80" t="n">
        <f aca="false">-(AA45^2)</f>
        <v>-0.0117322889100606</v>
      </c>
      <c r="AC45" s="80" t="n">
        <f aca="false">AB45/(2*T/365.25*ATMImpVol^2)</f>
        <v>-0.0545399773458596</v>
      </c>
      <c r="AD45" s="82" t="n">
        <f aca="false">EXP(AC45)</f>
        <v>0.946920652726701</v>
      </c>
      <c r="AE45" s="82" t="n">
        <f aca="false">AD45*Z45</f>
        <v>0.279580925696129</v>
      </c>
      <c r="AF45" s="82"/>
      <c r="AG45" s="83" t="n">
        <f aca="false">(LN($D45/UnderlyingPrice)+0.5*ATMImpVol^2*(T/365.25))/(ATMImpVol*SQRT(T/365.25))</f>
        <v>-0.330272546076296</v>
      </c>
      <c r="AH45" s="83" t="n">
        <f aca="false">(LN(($D45*(1+$P$8))/UnderlyingPrice)+0.5*ATMImpVol^2*(T/365.25))/(ATMImpVol*SQRT(T/365.25))</f>
        <v>-0.328748343984712</v>
      </c>
      <c r="AI45" s="83" t="n">
        <f aca="false">(LN($D45*(1-$P$8)/UnderlyingPrice)+0.5*ATMImpVol^2*(T/365.25))/(ATMImpVol*SQRT(T/365.25))</f>
        <v>-0.331797510459531</v>
      </c>
      <c r="AJ45" s="83"/>
      <c r="AK45" s="83" t="e">
        <f aca="false">W45/(AH45-AI45)*(D45*2*$P$8)</f>
        <v>#NAME?</v>
      </c>
      <c r="AL45" s="83"/>
      <c r="AM45" s="84" t="n">
        <v>0.1</v>
      </c>
      <c r="AN45" s="85" t="n">
        <f aca="false">NORMDIST(AM45,0,1,FALSE())</f>
        <v>0.396952547477012</v>
      </c>
      <c r="AX45" s="87" t="n">
        <f aca="true">OFFSET(ENAVolCoef,0,impvol_order-2)+OFFSET(ENAVolCoef,1,impvol_order-2)*E45+OFFSET(ENAVolCoef,2,impvol_order-2)*E45^2+IF(impvol_order&gt;2,OFFSET(ENAVolCoef,3,impvol_order-2)*E45^3,0)+IF(impvol_order&gt;3,OFFSET(ENAVolCoef,4,impvol_order-2)*E45^4,0)+IF(impvol_order&gt;4,OFFSET(ENAVolCoef,5,impvol_order-2)*E45^5,0)</f>
        <v>0.489837436117857</v>
      </c>
      <c r="AY45" s="87" t="n">
        <f aca="true">OFFSET(ENAVolCoef,0,impvol_order-2)+OFFSET(ENAVolCoef,1,impvol_order-2)*F45+OFFSET(ENAVolCoef,2,impvol_order-2)*F45^2+IF(impvol_order&gt;2,OFFSET(ENAVolCoef,3,impvol_order-2)*F45^3,0)+IF(impvol_order&gt;3,OFFSET(ENAVolCoef,4,impvol_order-2)*F45^4,0)+IF(impvol_order&gt;4,OFFSET(ENAVolCoef,5,impvol_order-2)*F45^5,0)</f>
        <v>0.489830468317171</v>
      </c>
      <c r="AZ45" s="87" t="n">
        <f aca="true">OFFSET(ENAVolCoef,0,impvol_order-2)+OFFSET(ENAVolCoef,1,impvol_order-2)*G45+OFFSET(ENAVolCoef,2,impvol_order-2)*G45^2+IF(impvol_order&gt;2,OFFSET(ENAVolCoef,3,impvol_order-2)*G45^3,0)+IF(impvol_order&gt;3,OFFSET(ENAVolCoef,4,impvol_order-2)*G45^4,0)+IF(impvol_order&gt;4,OFFSET(ENAVolCoef,5,impvol_order-2)*G45^5,0)</f>
        <v>0.489844478239121</v>
      </c>
      <c r="BB45" s="48" t="e">
        <f aca="false">EURO(UnderlyingPrice,$D45,IntRate,Yield,AX45,$D$6,1,0)</f>
        <v>#NAME?</v>
      </c>
      <c r="BC45" s="48" t="e">
        <f aca="false">EURO(UnderlyingPrice,$D45*(1+$P$8),IntRate,Yield,AY45,$D$6,1,0)</f>
        <v>#NAME?</v>
      </c>
      <c r="BD45" s="48" t="e">
        <f aca="false">EURO(UnderlyingPrice,$D45*(1-$P$8),IntRate,Yield,AZ45,$D$6,1,0)</f>
        <v>#NAME?</v>
      </c>
      <c r="BF45" s="80" t="e">
        <f aca="false">(BC45+BD45-2*BB45)/($P$8*$D45)^2</f>
        <v>#NAME?</v>
      </c>
      <c r="BG45" s="48" t="e">
        <f aca="false">+BF45/$D$9</f>
        <v>#NAME?</v>
      </c>
      <c r="BI45" s="79" t="e">
        <f aca="false">+BB45-L45</f>
        <v>#NAME?</v>
      </c>
      <c r="BJ45" s="65" t="e">
        <f aca="false">+BI45/BB45</f>
        <v>#NAME?</v>
      </c>
    </row>
    <row r="46" customFormat="false" ht="11.25" hidden="false" customHeight="false" outlineLevel="0" collapsed="false">
      <c r="C46" s="77" t="n">
        <v>33</v>
      </c>
      <c r="D46" s="78" t="n">
        <f aca="true">D45+(ROUNDUP(MAX(StrikeRange),1)-ROUNDDOWN(MIN(StrikeRange),1))/100</f>
        <v>4.15500000000001</v>
      </c>
      <c r="E46" s="64" t="n">
        <f aca="false">+D46/UnderlyingPrice-1</f>
        <v>-0.142414860681114</v>
      </c>
      <c r="F46" s="64" t="n">
        <f aca="false">+D46*(1+$P$8)/UnderlyingPrice-1</f>
        <v>-0.141986068111454</v>
      </c>
      <c r="G46" s="64" t="n">
        <f aca="false">+D46*(1-$P$8)/UnderlyingPrice-1</f>
        <v>-0.142843653250773</v>
      </c>
      <c r="H46" s="64" t="n">
        <f aca="true">OFFSET(VolSkewCoef,0,impvol_order-2)+OFFSET(VolSkewCoef,1,impvol_order-2)*F46+OFFSET(VolSkewCoef,2,impvol_order-2)*F46^2+IF(impvol_order&gt;2,OFFSET(VolSkewCoef,3,impvol_order-2)*F46^3,0)+IF(impvol_order&gt;3,OFFSET(VolSkewCoef,4,impvol_order-2)*F46^4,0)+IF(impvol_order&gt;4,OFFSET(VolSkewCoef,5,impvol_order-2)*F46^5,0)</f>
        <v>0.514565060961469</v>
      </c>
      <c r="I46" s="64" t="n">
        <f aca="true">OFFSET(VolSkewCoef,0,impvol_order-2)+OFFSET(VolSkewCoef,1,impvol_order-2)*E46+OFFSET(VolSkewCoef,2,impvol_order-2)*E46^2+IF(impvol_order&gt;2,OFFSET(VolSkewCoef,3,impvol_order-2)*E46^3,0)+IF(impvol_order&gt;3,OFFSET(VolSkewCoef,4,impvol_order-2)*E46^4,0)+IF(impvol_order&gt;4,OFFSET(VolSkewCoef,5,impvol_order-2)*E46^5,0)</f>
        <v>0.514571070013126</v>
      </c>
      <c r="J46" s="64" t="n">
        <f aca="true">OFFSET(VolSkewCoef,0,impvol_order-2)+OFFSET(VolSkewCoef,1,impvol_order-2)*G46+OFFSET(VolSkewCoef,2,impvol_order-2)*G46^2+IF(impvol_order&gt;2,OFFSET(VolSkewCoef,3,impvol_order-2)*G46^3,0)+IF(impvol_order&gt;3,OFFSET(VolSkewCoef,4,impvol_order-2)*G46^4,0)+IF(impvol_order&gt;4,OFFSET(VolSkewCoef,5,impvol_order-2)*G46^5,0)</f>
        <v>0.514577176570202</v>
      </c>
      <c r="L46" s="79" t="e">
        <f aca="false">EURO(UnderlyingPrice,$D46,IntRate,Yield,$I46,$D$6,L$12,0)</f>
        <v>#NAME?</v>
      </c>
      <c r="M46" s="79" t="e">
        <f aca="false">EURO(UnderlyingPrice,$D46,IntRate,Yield,$I46,$D$6,M$12,0)</f>
        <v>#NAME?</v>
      </c>
      <c r="O46" s="79" t="e">
        <f aca="false">EURO(UnderlyingPrice,$D46*(1+$P$8),IntRate,Yield,$H46,Expiry-Today,O$12,0)</f>
        <v>#NAME?</v>
      </c>
      <c r="P46" s="79" t="e">
        <f aca="false">EURO(UnderlyingPrice,$D46*(1+$P$8),IntRate,Yield,$H46,Expiry-Today,P$12,0)</f>
        <v>#NAME?</v>
      </c>
      <c r="R46" s="79" t="e">
        <f aca="false">EURO(UnderlyingPrice,$D46*(1-$P$8),IntRate,Yield,$J46,Expiry-Today,R$12,0)</f>
        <v>#NAME?</v>
      </c>
      <c r="S46" s="79" t="e">
        <f aca="false">EURO(UnderlyingPrice,$D46*(1-$P$8),IntRate,Yield,$J46,Expiry-Today,S$12,0)</f>
        <v>#NAME?</v>
      </c>
      <c r="U46" s="80" t="e">
        <f aca="false">(O46+R46-2*L46)/($P$8*D46)^2</f>
        <v>#NAME?</v>
      </c>
      <c r="V46" s="80"/>
      <c r="W46" s="81" t="e">
        <f aca="false">U46/$D$9</f>
        <v>#NAME?</v>
      </c>
      <c r="Z46" s="80" t="n">
        <f aca="false">(1/(D46*SQRT(2*PI()*T/365.25*ATMImpVol^2)))</f>
        <v>0.292765661953666</v>
      </c>
      <c r="AA46" s="80" t="n">
        <f aca="false">LN(D46/UnderlyingPrice)+0.5*T/365.25*ATMImpVol^2</f>
        <v>-0.0998564260228789</v>
      </c>
      <c r="AB46" s="80" t="n">
        <f aca="false">-(AA46^2)</f>
        <v>-0.00997130581806268</v>
      </c>
      <c r="AC46" s="80" t="n">
        <f aca="false">AB46/(2*T/365.25*ATMImpVol^2)</f>
        <v>-0.0463536823542959</v>
      </c>
      <c r="AD46" s="82" t="n">
        <f aca="false">EXP(AC46)</f>
        <v>0.95470424042771</v>
      </c>
      <c r="AE46" s="82" t="n">
        <f aca="false">AD46*Z46</f>
        <v>0.27950461891879</v>
      </c>
      <c r="AF46" s="82"/>
      <c r="AG46" s="83" t="n">
        <f aca="false">(LN($D46/UnderlyingPrice)+0.5*ATMImpVol^2*(T/365.25))/(ATMImpVol*SQRT(T/365.25))</f>
        <v>-0.304478841150895</v>
      </c>
      <c r="AH46" s="83" t="n">
        <f aca="false">(LN(($D46*(1+$P$8))/UnderlyingPrice)+0.5*ATMImpVol^2*(T/365.25))/(ATMImpVol*SQRT(T/365.25))</f>
        <v>-0.302954639059311</v>
      </c>
      <c r="AI46" s="83" t="n">
        <f aca="false">(LN($D46*(1-$P$8)/UnderlyingPrice)+0.5*ATMImpVol^2*(T/365.25))/(ATMImpVol*SQRT(T/365.25))</f>
        <v>-0.306003805534129</v>
      </c>
      <c r="AJ46" s="83"/>
      <c r="AK46" s="83" t="e">
        <f aca="false">W46/(AH46-AI46)*(D46*2*$P$8)</f>
        <v>#NAME?</v>
      </c>
      <c r="AL46" s="83"/>
      <c r="AM46" s="84" t="n">
        <v>0.2</v>
      </c>
      <c r="AN46" s="85" t="n">
        <f aca="false">NORMDIST(AM46,0,1,FALSE())</f>
        <v>0.391042693975456</v>
      </c>
      <c r="AX46" s="87" t="n">
        <f aca="true">OFFSET(ENAVolCoef,0,impvol_order-2)+OFFSET(ENAVolCoef,1,impvol_order-2)*E46+OFFSET(ENAVolCoef,2,impvol_order-2)*E46^2+IF(impvol_order&gt;2,OFFSET(ENAVolCoef,3,impvol_order-2)*E46^3,0)+IF(impvol_order&gt;3,OFFSET(ENAVolCoef,4,impvol_order-2)*E46^4,0)+IF(impvol_order&gt;4,OFFSET(ENAVolCoef,5,impvol_order-2)*E46^5,0)</f>
        <v>0.489729108182448</v>
      </c>
      <c r="AY46" s="87" t="n">
        <f aca="true">OFFSET(ENAVolCoef,0,impvol_order-2)+OFFSET(ENAVolCoef,1,impvol_order-2)*F46+OFFSET(ENAVolCoef,2,impvol_order-2)*F46^2+IF(impvol_order&gt;2,OFFSET(ENAVolCoef,3,impvol_order-2)*F46^3,0)+IF(impvol_order&gt;3,OFFSET(ENAVolCoef,4,impvol_order-2)*F46^4,0)+IF(impvol_order&gt;4,OFFSET(ENAVolCoef,5,impvol_order-2)*F46^5,0)</f>
        <v>0.48972334764298</v>
      </c>
      <c r="AZ46" s="87" t="n">
        <f aca="true">OFFSET(ENAVolCoef,0,impvol_order-2)+OFFSET(ENAVolCoef,1,impvol_order-2)*G46+OFFSET(ENAVolCoef,2,impvol_order-2)*G46^2+IF(impvol_order&gt;2,OFFSET(ENAVolCoef,3,impvol_order-2)*G46^3,0)+IF(impvol_order&gt;3,OFFSET(ENAVolCoef,4,impvol_order-2)*G46^4,0)+IF(impvol_order&gt;4,OFFSET(ENAVolCoef,5,impvol_order-2)*G46^5,0)</f>
        <v>0.489734943490304</v>
      </c>
      <c r="BB46" s="48" t="e">
        <f aca="false">EURO(UnderlyingPrice,$D46,IntRate,Yield,AX46,$D$6,1,0)</f>
        <v>#NAME?</v>
      </c>
      <c r="BC46" s="48" t="e">
        <f aca="false">EURO(UnderlyingPrice,$D46*(1+$P$8),IntRate,Yield,AY46,$D$6,1,0)</f>
        <v>#NAME?</v>
      </c>
      <c r="BD46" s="48" t="e">
        <f aca="false">EURO(UnderlyingPrice,$D46*(1-$P$8),IntRate,Yield,AZ46,$D$6,1,0)</f>
        <v>#NAME?</v>
      </c>
      <c r="BF46" s="80" t="e">
        <f aca="false">(BC46+BD46-2*BB46)/($P$8*$D46)^2</f>
        <v>#NAME?</v>
      </c>
      <c r="BG46" s="48" t="e">
        <f aca="false">+BF46/$D$9</f>
        <v>#NAME?</v>
      </c>
      <c r="BI46" s="79" t="e">
        <f aca="false">+BB46-L46</f>
        <v>#NAME?</v>
      </c>
      <c r="BJ46" s="65" t="e">
        <f aca="false">+BI46/BB46</f>
        <v>#NAME?</v>
      </c>
    </row>
    <row r="47" customFormat="false" ht="11.25" hidden="false" customHeight="false" outlineLevel="0" collapsed="false">
      <c r="C47" s="77" t="n">
        <v>34</v>
      </c>
      <c r="D47" s="78" t="n">
        <f aca="true">D46+(ROUNDUP(MAX(StrikeRange),1)-ROUNDDOWN(MIN(StrikeRange),1))/100</f>
        <v>4.19000000000001</v>
      </c>
      <c r="E47" s="64" t="n">
        <f aca="false">+D47/UnderlyingPrice-1</f>
        <v>-0.135190918472651</v>
      </c>
      <c r="F47" s="64" t="n">
        <f aca="false">+D47*(1+$P$8)/UnderlyingPrice-1</f>
        <v>-0.134758513931888</v>
      </c>
      <c r="G47" s="64" t="n">
        <f aca="false">+D47*(1-$P$8)/UnderlyingPrice-1</f>
        <v>-0.135623323013415</v>
      </c>
      <c r="H47" s="64" t="n">
        <f aca="true">OFFSET(VolSkewCoef,0,impvol_order-2)+OFFSET(VolSkewCoef,1,impvol_order-2)*F47+OFFSET(VolSkewCoef,2,impvol_order-2)*F47^2+IF(impvol_order&gt;2,OFFSET(VolSkewCoef,3,impvol_order-2)*F47^3,0)+IF(impvol_order&gt;3,OFFSET(VolSkewCoef,4,impvol_order-2)*F47^4,0)+IF(impvol_order&gt;4,OFFSET(VolSkewCoef,5,impvol_order-2)*F47^5,0)</f>
        <v>0.514478372321744</v>
      </c>
      <c r="I47" s="64" t="n">
        <f aca="true">OFFSET(VolSkewCoef,0,impvol_order-2)+OFFSET(VolSkewCoef,1,impvol_order-2)*E47+OFFSET(VolSkewCoef,2,impvol_order-2)*E47^2+IF(impvol_order&gt;2,OFFSET(VolSkewCoef,3,impvol_order-2)*E47^3,0)+IF(impvol_order&gt;3,OFFSET(VolSkewCoef,4,impvol_order-2)*E47^4,0)+IF(impvol_order&gt;4,OFFSET(VolSkewCoef,5,impvol_order-2)*E47^5,0)</f>
        <v>0.514482787146692</v>
      </c>
      <c r="J47" s="64" t="n">
        <f aca="true">OFFSET(VolSkewCoef,0,impvol_order-2)+OFFSET(VolSkewCoef,1,impvol_order-2)*G47+OFFSET(VolSkewCoef,2,impvol_order-2)*G47^2+IF(impvol_order&gt;2,OFFSET(VolSkewCoef,3,impvol_order-2)*G47^3,0)+IF(impvol_order&gt;3,OFFSET(VolSkewCoef,4,impvol_order-2)*G47^4,0)+IF(impvol_order&gt;4,OFFSET(VolSkewCoef,5,impvol_order-2)*G47^5,0)</f>
        <v>0.514487299760233</v>
      </c>
      <c r="L47" s="79" t="e">
        <f aca="false">EURO(UnderlyingPrice,$D47,IntRate,Yield,$I47,$D$6,L$12,0)</f>
        <v>#NAME?</v>
      </c>
      <c r="M47" s="79" t="e">
        <f aca="false">EURO(UnderlyingPrice,$D47,IntRate,Yield,$I47,$D$6,M$12,0)</f>
        <v>#NAME?</v>
      </c>
      <c r="O47" s="79" t="e">
        <f aca="false">EURO(UnderlyingPrice,$D47*(1+$P$8),IntRate,Yield,$H47,Expiry-Today,O$12,0)</f>
        <v>#NAME?</v>
      </c>
      <c r="P47" s="79" t="e">
        <f aca="false">EURO(UnderlyingPrice,$D47*(1+$P$8),IntRate,Yield,$H47,Expiry-Today,P$12,0)</f>
        <v>#NAME?</v>
      </c>
      <c r="R47" s="79" t="e">
        <f aca="false">EURO(UnderlyingPrice,$D47*(1-$P$8),IntRate,Yield,$J47,Expiry-Today,R$12,0)</f>
        <v>#NAME?</v>
      </c>
      <c r="S47" s="79" t="e">
        <f aca="false">EURO(UnderlyingPrice,$D47*(1-$P$8),IntRate,Yield,$J47,Expiry-Today,S$12,0)</f>
        <v>#NAME?</v>
      </c>
      <c r="U47" s="80" t="e">
        <f aca="false">(O47+R47-2*L47)/($P$8*D47)^2</f>
        <v>#NAME?</v>
      </c>
      <c r="V47" s="80"/>
      <c r="W47" s="81" t="e">
        <f aca="false">U47/$D$9</f>
        <v>#NAME?</v>
      </c>
      <c r="Z47" s="80" t="n">
        <f aca="false">(1/(D47*SQRT(2*PI()*T/365.25*ATMImpVol^2)))</f>
        <v>0.290320125397967</v>
      </c>
      <c r="AA47" s="80" t="n">
        <f aca="false">LN(D47/UnderlyingPrice)+0.5*T/365.25*ATMImpVol^2</f>
        <v>-0.091468120396244</v>
      </c>
      <c r="AB47" s="80" t="n">
        <f aca="false">-(AA47^2)</f>
        <v>-0.00836641704882179</v>
      </c>
      <c r="AC47" s="80" t="n">
        <f aca="false">AB47/(2*T/365.25*ATMImpVol^2)</f>
        <v>-0.038893024183667</v>
      </c>
      <c r="AD47" s="82" t="n">
        <f aca="false">EXP(AC47)</f>
        <v>0.961853598716836</v>
      </c>
      <c r="AE47" s="82" t="n">
        <f aca="false">AD47*Z47</f>
        <v>0.279245457393957</v>
      </c>
      <c r="AF47" s="82"/>
      <c r="AG47" s="83" t="n">
        <f aca="false">(LN($D47/UnderlyingPrice)+0.5*ATMImpVol^2*(T/365.25))/(ATMImpVol*SQRT(T/365.25))</f>
        <v>-0.278901502985075</v>
      </c>
      <c r="AH47" s="83" t="n">
        <f aca="false">(LN(($D47*(1+$P$8))/UnderlyingPrice)+0.5*ATMImpVol^2*(T/365.25))/(ATMImpVol*SQRT(T/365.25))</f>
        <v>-0.277377300893491</v>
      </c>
      <c r="AI47" s="83" t="n">
        <f aca="false">(LN($D47*(1-$P$8)/UnderlyingPrice)+0.5*ATMImpVol^2*(T/365.25))/(ATMImpVol*SQRT(T/365.25))</f>
        <v>-0.28042646736831</v>
      </c>
      <c r="AJ47" s="83"/>
      <c r="AK47" s="83" t="e">
        <f aca="false">W47/(AH47-AI47)*(D47*2*$P$8)</f>
        <v>#NAME?</v>
      </c>
      <c r="AL47" s="83"/>
      <c r="AM47" s="84" t="n">
        <v>0.3</v>
      </c>
      <c r="AN47" s="85" t="n">
        <f aca="false">NORMDIST(AM47,0,1,FALSE())</f>
        <v>0.381387815460524</v>
      </c>
      <c r="AX47" s="87" t="n">
        <f aca="true">OFFSET(ENAVolCoef,0,impvol_order-2)+OFFSET(ENAVolCoef,1,impvol_order-2)*E47+OFFSET(ENAVolCoef,2,impvol_order-2)*E47^2+IF(impvol_order&gt;2,OFFSET(ENAVolCoef,3,impvol_order-2)*E47^3,0)+IF(impvol_order&gt;3,OFFSET(ENAVolCoef,4,impvol_order-2)*E47^4,0)+IF(impvol_order&gt;4,OFFSET(ENAVolCoef,5,impvol_order-2)*E47^5,0)</f>
        <v>0.489642001550067</v>
      </c>
      <c r="AY47" s="87" t="n">
        <f aca="true">OFFSET(ENAVolCoef,0,impvol_order-2)+OFFSET(ENAVolCoef,1,impvol_order-2)*F47+OFFSET(ENAVolCoef,2,impvol_order-2)*F47^2+IF(impvol_order&gt;2,OFFSET(ENAVolCoef,3,impvol_order-2)*F47^3,0)+IF(impvol_order&gt;3,OFFSET(ENAVolCoef,4,impvol_order-2)*F47^4,0)+IF(impvol_order&gt;4,OFFSET(ENAVolCoef,5,impvol_order-2)*F47^5,0)</f>
        <v>0.489637455665209</v>
      </c>
      <c r="AZ47" s="87" t="n">
        <f aca="true">OFFSET(ENAVolCoef,0,impvol_order-2)+OFFSET(ENAVolCoef,1,impvol_order-2)*G47+OFFSET(ENAVolCoef,2,impvol_order-2)*G47^2+IF(impvol_order&gt;2,OFFSET(ENAVolCoef,3,impvol_order-2)*G47^3,0)+IF(impvol_order&gt;3,OFFSET(ENAVolCoef,4,impvol_order-2)*G47^4,0)+IF(impvol_order&gt;4,OFFSET(ENAVolCoef,5,impvol_order-2)*G47^5,0)</f>
        <v>0.489646622634097</v>
      </c>
      <c r="BB47" s="48" t="e">
        <f aca="false">EURO(UnderlyingPrice,$D47,IntRate,Yield,AX47,$D$6,1,0)</f>
        <v>#NAME?</v>
      </c>
      <c r="BC47" s="48" t="e">
        <f aca="false">EURO(UnderlyingPrice,$D47*(1+$P$8),IntRate,Yield,AY47,$D$6,1,0)</f>
        <v>#NAME?</v>
      </c>
      <c r="BD47" s="48" t="e">
        <f aca="false">EURO(UnderlyingPrice,$D47*(1-$P$8),IntRate,Yield,AZ47,$D$6,1,0)</f>
        <v>#NAME?</v>
      </c>
      <c r="BF47" s="80" t="e">
        <f aca="false">(BC47+BD47-2*BB47)/($P$8*$D47)^2</f>
        <v>#NAME?</v>
      </c>
      <c r="BG47" s="48" t="e">
        <f aca="false">+BF47/$D$9</f>
        <v>#NAME?</v>
      </c>
      <c r="BI47" s="79" t="e">
        <f aca="false">+BB47-L47</f>
        <v>#NAME?</v>
      </c>
      <c r="BJ47" s="65" t="e">
        <f aca="false">+BI47/BB47</f>
        <v>#NAME?</v>
      </c>
    </row>
    <row r="48" customFormat="false" ht="11.25" hidden="false" customHeight="false" outlineLevel="0" collapsed="false">
      <c r="C48" s="77" t="n">
        <v>35</v>
      </c>
      <c r="D48" s="78" t="n">
        <f aca="true">D47+(ROUNDUP(MAX(StrikeRange),1)-ROUNDDOWN(MIN(StrikeRange),1))/100</f>
        <v>4.22500000000001</v>
      </c>
      <c r="E48" s="64" t="n">
        <f aca="false">+D48/UnderlyingPrice-1</f>
        <v>-0.127966976264189</v>
      </c>
      <c r="F48" s="64" t="n">
        <f aca="false">+D48*(1+$P$8)/UnderlyingPrice-1</f>
        <v>-0.127530959752321</v>
      </c>
      <c r="G48" s="64" t="n">
        <f aca="false">+D48*(1-$P$8)/UnderlyingPrice-1</f>
        <v>-0.128402992776057</v>
      </c>
      <c r="H48" s="64" t="n">
        <f aca="true">OFFSET(VolSkewCoef,0,impvol_order-2)+OFFSET(VolSkewCoef,1,impvol_order-2)*F48+OFFSET(VolSkewCoef,2,impvol_order-2)*F48^2+IF(impvol_order&gt;2,OFFSET(VolSkewCoef,3,impvol_order-2)*F48^3,0)+IF(impvol_order&gt;3,OFFSET(VolSkewCoef,4,impvol_order-2)*F48^4,0)+IF(impvol_order&gt;4,OFFSET(VolSkewCoef,5,impvol_order-2)*F48^5,0)</f>
        <v>0.514418981442452</v>
      </c>
      <c r="I48" s="64" t="n">
        <f aca="true">OFFSET(VolSkewCoef,0,impvol_order-2)+OFFSET(VolSkewCoef,1,impvol_order-2)*E48+OFFSET(VolSkewCoef,2,impvol_order-2)*E48^2+IF(impvol_order&gt;2,OFFSET(VolSkewCoef,3,impvol_order-2)*E48^3,0)+IF(impvol_order&gt;3,OFFSET(VolSkewCoef,4,impvol_order-2)*E48^4,0)+IF(impvol_order&gt;4,OFFSET(VolSkewCoef,5,impvol_order-2)*E48^5,0)</f>
        <v>0.514421797591679</v>
      </c>
      <c r="J48" s="64" t="n">
        <f aca="true">OFFSET(VolSkewCoef,0,impvol_order-2)+OFFSET(VolSkewCoef,1,impvol_order-2)*G48+OFFSET(VolSkewCoef,2,impvol_order-2)*G48^2+IF(impvol_order&gt;2,OFFSET(VolSkewCoef,3,impvol_order-2)*G48^3,0)+IF(impvol_order&gt;3,OFFSET(VolSkewCoef,4,impvol_order-2)*G48^4,0)+IF(impvol_order&gt;4,OFFSET(VolSkewCoef,5,impvol_order-2)*G48^5,0)</f>
        <v>0.514424711780663</v>
      </c>
      <c r="L48" s="79" t="e">
        <f aca="false">EURO(UnderlyingPrice,$D48,IntRate,Yield,$I48,$D$6,L$12,0)</f>
        <v>#NAME?</v>
      </c>
      <c r="M48" s="79" t="e">
        <f aca="false">EURO(UnderlyingPrice,$D48,IntRate,Yield,$I48,$D$6,M$12,0)</f>
        <v>#NAME?</v>
      </c>
      <c r="O48" s="79" t="e">
        <f aca="false">EURO(UnderlyingPrice,$D48*(1+$P$8),IntRate,Yield,$H48,Expiry-Today,O$12,0)</f>
        <v>#NAME?</v>
      </c>
      <c r="P48" s="79" t="e">
        <f aca="false">EURO(UnderlyingPrice,$D48*(1+$P$8),IntRate,Yield,$H48,Expiry-Today,P$12,0)</f>
        <v>#NAME?</v>
      </c>
      <c r="R48" s="79" t="e">
        <f aca="false">EURO(UnderlyingPrice,$D48*(1-$P$8),IntRate,Yield,$J48,Expiry-Today,R$12,0)</f>
        <v>#NAME?</v>
      </c>
      <c r="S48" s="79" t="e">
        <f aca="false">EURO(UnderlyingPrice,$D48*(1-$P$8),IntRate,Yield,$J48,Expiry-Today,S$12,0)</f>
        <v>#NAME?</v>
      </c>
      <c r="U48" s="80" t="e">
        <f aca="false">(O48+R48-2*L48)/($P$8*D48)^2</f>
        <v>#NAME?</v>
      </c>
      <c r="V48" s="80"/>
      <c r="W48" s="81" t="e">
        <f aca="false">U48/$D$9</f>
        <v>#NAME?</v>
      </c>
      <c r="Z48" s="80" t="n">
        <f aca="false">(1/(D48*SQRT(2*PI()*T/365.25*ATMImpVol^2)))</f>
        <v>0.287915106607688</v>
      </c>
      <c r="AA48" s="80" t="n">
        <f aca="false">LN(D48/UnderlyingPrice)+0.5*T/365.25*ATMImpVol^2</f>
        <v>-0.0831495935211532</v>
      </c>
      <c r="AB48" s="80" t="n">
        <f aca="false">-(AA48^2)</f>
        <v>-0.00691385490273301</v>
      </c>
      <c r="AC48" s="80" t="n">
        <f aca="false">AB48/(2*T/365.25*ATMImpVol^2)</f>
        <v>-0.0321404879012369</v>
      </c>
      <c r="AD48" s="82" t="n">
        <f aca="false">EXP(AC48)</f>
        <v>0.968370528179334</v>
      </c>
      <c r="AE48" s="82" t="n">
        <f aca="false">AD48*Z48</f>
        <v>0.278808503856496</v>
      </c>
      <c r="AF48" s="82"/>
      <c r="AG48" s="83" t="n">
        <f aca="false">(LN($D48/UnderlyingPrice)+0.5*ATMImpVol^2*(T/365.25))/(ATMImpVol*SQRT(T/365.25))</f>
        <v>-0.253536931831388</v>
      </c>
      <c r="AH48" s="83" t="n">
        <f aca="false">(LN(($D48*(1+$P$8))/UnderlyingPrice)+0.5*ATMImpVol^2*(T/365.25))/(ATMImpVol*SQRT(T/365.25))</f>
        <v>-0.252012729739804</v>
      </c>
      <c r="AI48" s="83" t="n">
        <f aca="false">(LN($D48*(1-$P$8)/UnderlyingPrice)+0.5*ATMImpVol^2*(T/365.25))/(ATMImpVol*SQRT(T/365.25))</f>
        <v>-0.255061896214622</v>
      </c>
      <c r="AJ48" s="83"/>
      <c r="AK48" s="83" t="e">
        <f aca="false">W48/(AH48-AI48)*(D48*2*$P$8)</f>
        <v>#NAME?</v>
      </c>
      <c r="AL48" s="83"/>
      <c r="AM48" s="84" t="n">
        <v>0.4</v>
      </c>
      <c r="AN48" s="85" t="n">
        <f aca="false">NORMDIST(AM48,0,1,FALSE())</f>
        <v>0.368270140303323</v>
      </c>
      <c r="AX48" s="87" t="n">
        <f aca="true">OFFSET(ENAVolCoef,0,impvol_order-2)+OFFSET(ENAVolCoef,1,impvol_order-2)*E48+OFFSET(ENAVolCoef,2,impvol_order-2)*E48^2+IF(impvol_order&gt;2,OFFSET(ENAVolCoef,3,impvol_order-2)*E48^3,0)+IF(impvol_order&gt;3,OFFSET(ENAVolCoef,4,impvol_order-2)*E48^4,0)+IF(impvol_order&gt;4,OFFSET(ENAVolCoef,5,impvol_order-2)*E48^5,0)</f>
        <v>0.489575883403005</v>
      </c>
      <c r="AY48" s="87" t="n">
        <f aca="true">OFFSET(ENAVolCoef,0,impvol_order-2)+OFFSET(ENAVolCoef,1,impvol_order-2)*F48+OFFSET(ENAVolCoef,2,impvol_order-2)*F48^2+IF(impvol_order&gt;2,OFFSET(ENAVolCoef,3,impvol_order-2)*F48^3,0)+IF(impvol_order&gt;3,OFFSET(ENAVolCoef,4,impvol_order-2)*F48^4,0)+IF(impvol_order&gt;4,OFFSET(ENAVolCoef,5,impvol_order-2)*F48^5,0)</f>
        <v>0.489572559216748</v>
      </c>
      <c r="AZ48" s="87" t="n">
        <f aca="true">OFFSET(ENAVolCoef,0,impvol_order-2)+OFFSET(ENAVolCoef,1,impvol_order-2)*G48+OFFSET(ENAVolCoef,2,impvol_order-2)*G48^2+IF(impvol_order&gt;2,OFFSET(ENAVolCoef,3,impvol_order-2)*G48^3,0)+IF(impvol_order&gt;3,OFFSET(ENAVolCoef,4,impvol_order-2)*G48^4,0)+IF(impvol_order&gt;4,OFFSET(ENAVolCoef,5,impvol_order-2)*G48^5,0)</f>
        <v>0.489579283201842</v>
      </c>
      <c r="BB48" s="48" t="e">
        <f aca="false">EURO(UnderlyingPrice,$D48,IntRate,Yield,AX48,$D$6,1,0)</f>
        <v>#NAME?</v>
      </c>
      <c r="BC48" s="48" t="e">
        <f aca="false">EURO(UnderlyingPrice,$D48*(1+$P$8),IntRate,Yield,AY48,$D$6,1,0)</f>
        <v>#NAME?</v>
      </c>
      <c r="BD48" s="48" t="e">
        <f aca="false">EURO(UnderlyingPrice,$D48*(1-$P$8),IntRate,Yield,AZ48,$D$6,1,0)</f>
        <v>#NAME?</v>
      </c>
      <c r="BF48" s="80" t="e">
        <f aca="false">(BC48+BD48-2*BB48)/($P$8*$D48)^2</f>
        <v>#NAME?</v>
      </c>
      <c r="BG48" s="48" t="e">
        <f aca="false">+BF48/$D$9</f>
        <v>#NAME?</v>
      </c>
      <c r="BI48" s="79" t="e">
        <f aca="false">+BB48-L48</f>
        <v>#NAME?</v>
      </c>
      <c r="BJ48" s="65" t="e">
        <f aca="false">+BI48/BB48</f>
        <v>#NAME?</v>
      </c>
    </row>
    <row r="49" customFormat="false" ht="11.25" hidden="false" customHeight="false" outlineLevel="0" collapsed="false">
      <c r="C49" s="77" t="n">
        <v>36</v>
      </c>
      <c r="D49" s="78" t="n">
        <f aca="true">D48+(ROUNDUP(MAX(StrikeRange),1)-ROUNDDOWN(MIN(StrikeRange),1))/100</f>
        <v>4.26000000000001</v>
      </c>
      <c r="E49" s="64" t="n">
        <f aca="false">+D49/UnderlyingPrice-1</f>
        <v>-0.120743034055727</v>
      </c>
      <c r="F49" s="64" t="n">
        <f aca="false">+D49*(1+$P$8)/UnderlyingPrice-1</f>
        <v>-0.120303405572754</v>
      </c>
      <c r="G49" s="64" t="n">
        <f aca="false">+D49*(1-$P$8)/UnderlyingPrice-1</f>
        <v>-0.121182662538699</v>
      </c>
      <c r="H49" s="64" t="n">
        <f aca="true">OFFSET(VolSkewCoef,0,impvol_order-2)+OFFSET(VolSkewCoef,1,impvol_order-2)*F49+OFFSET(VolSkewCoef,2,impvol_order-2)*F49^2+IF(impvol_order&gt;2,OFFSET(VolSkewCoef,3,impvol_order-2)*F49^3,0)+IF(impvol_order&gt;3,OFFSET(VolSkewCoef,4,impvol_order-2)*F49^4,0)+IF(impvol_order&gt;4,OFFSET(VolSkewCoef,5,impvol_order-2)*F49^5,0)</f>
        <v>0.514386506371717</v>
      </c>
      <c r="I49" s="64" t="n">
        <f aca="true">OFFSET(VolSkewCoef,0,impvol_order-2)+OFFSET(VolSkewCoef,1,impvol_order-2)*E49+OFFSET(VolSkewCoef,2,impvol_order-2)*E49^2+IF(impvol_order&gt;2,OFFSET(VolSkewCoef,3,impvol_order-2)*E49^3,0)+IF(impvol_order&gt;3,OFFSET(VolSkewCoef,4,impvol_order-2)*E49^4,0)+IF(impvol_order&gt;4,OFFSET(VolSkewCoef,5,impvol_order-2)*E49^5,0)</f>
        <v>0.514387719968567</v>
      </c>
      <c r="J49" s="64" t="n">
        <f aca="true">OFFSET(VolSkewCoef,0,impvol_order-2)+OFFSET(VolSkewCoef,1,impvol_order-2)*G49+OFFSET(VolSkewCoef,2,impvol_order-2)*G49^2+IF(impvol_order&gt;2,OFFSET(VolSkewCoef,3,impvol_order-2)*G49^3,0)+IF(impvol_order&gt;3,OFFSET(VolSkewCoef,4,impvol_order-2)*G49^4,0)+IF(impvol_order&gt;4,OFFSET(VolSkewCoef,5,impvol_order-2)*G49^5,0)</f>
        <v>0.514389031823754</v>
      </c>
      <c r="L49" s="79" t="e">
        <f aca="false">EURO(UnderlyingPrice,$D49,IntRate,Yield,$I49,$D$6,L$12,0)</f>
        <v>#NAME?</v>
      </c>
      <c r="M49" s="79" t="e">
        <f aca="false">EURO(UnderlyingPrice,$D49,IntRate,Yield,$I49,$D$6,M$12,0)</f>
        <v>#NAME?</v>
      </c>
      <c r="O49" s="79" t="e">
        <f aca="false">EURO(UnderlyingPrice,$D49*(1+$P$8),IntRate,Yield,$H49,Expiry-Today,O$12,0)</f>
        <v>#NAME?</v>
      </c>
      <c r="P49" s="79" t="e">
        <f aca="false">EURO(UnderlyingPrice,$D49*(1+$P$8),IntRate,Yield,$H49,Expiry-Today,P$12,0)</f>
        <v>#NAME?</v>
      </c>
      <c r="R49" s="79" t="e">
        <f aca="false">EURO(UnderlyingPrice,$D49*(1-$P$8),IntRate,Yield,$J49,Expiry-Today,R$12,0)</f>
        <v>#NAME?</v>
      </c>
      <c r="S49" s="79" t="e">
        <f aca="false">EURO(UnderlyingPrice,$D49*(1-$P$8),IntRate,Yield,$J49,Expiry-Today,S$12,0)</f>
        <v>#NAME?</v>
      </c>
      <c r="U49" s="80" t="e">
        <f aca="false">(O49+R49-2*L49)/($P$8*D49)^2</f>
        <v>#NAME?</v>
      </c>
      <c r="V49" s="80"/>
      <c r="W49" s="81" t="e">
        <f aca="false">U49/$D$9</f>
        <v>#NAME?</v>
      </c>
      <c r="Z49" s="80" t="n">
        <f aca="false">(1/(D49*SQRT(2*PI()*T/365.25*ATMImpVol^2)))</f>
        <v>0.285549606905512</v>
      </c>
      <c r="AA49" s="80" t="n">
        <f aca="false">LN(D49/UnderlyingPrice)+0.5*T/365.25*ATMImpVol^2</f>
        <v>-0.0748996940490113</v>
      </c>
      <c r="AB49" s="80" t="n">
        <f aca="false">-(AA49^2)</f>
        <v>-0.0056099641686355</v>
      </c>
      <c r="AC49" s="80" t="n">
        <f aca="false">AB49/(2*T/365.25*ATMImpVol^2)</f>
        <v>-0.0260790815001234</v>
      </c>
      <c r="AD49" s="82" t="n">
        <f aca="false">EXP(AC49)</f>
        <v>0.974258040774849</v>
      </c>
      <c r="AE49" s="82" t="n">
        <f aca="false">AD49*Z49</f>
        <v>0.278199000567792</v>
      </c>
      <c r="AF49" s="82"/>
      <c r="AG49" s="83" t="n">
        <f aca="false">(LN($D49/UnderlyingPrice)+0.5*ATMImpVol^2*(T/365.25))/(ATMImpVol*SQRT(T/365.25))</f>
        <v>-0.228381617036588</v>
      </c>
      <c r="AH49" s="83" t="n">
        <f aca="false">(LN(($D49*(1+$P$8))/UnderlyingPrice)+0.5*ATMImpVol^2*(T/365.25))/(ATMImpVol*SQRT(T/365.25))</f>
        <v>-0.226857414945004</v>
      </c>
      <c r="AI49" s="83" t="n">
        <f aca="false">(LN($D49*(1-$P$8)/UnderlyingPrice)+0.5*ATMImpVol^2*(T/365.25))/(ATMImpVol*SQRT(T/365.25))</f>
        <v>-0.229906581419823</v>
      </c>
      <c r="AJ49" s="83"/>
      <c r="AK49" s="83" t="e">
        <f aca="false">W49/(AH49-AI49)*(D49*2*$P$8)</f>
        <v>#NAME?</v>
      </c>
      <c r="AL49" s="83"/>
      <c r="AM49" s="84" t="n">
        <v>0.5</v>
      </c>
      <c r="AN49" s="85" t="n">
        <f aca="false">NORMDIST(AM49,0,1,FALSE())</f>
        <v>0.3520653267643</v>
      </c>
      <c r="AX49" s="87" t="n">
        <f aca="true">OFFSET(ENAVolCoef,0,impvol_order-2)+OFFSET(ENAVolCoef,1,impvol_order-2)*E49+OFFSET(ENAVolCoef,2,impvol_order-2)*E49^2+IF(impvol_order&gt;2,OFFSET(ENAVolCoef,3,impvol_order-2)*E49^3,0)+IF(impvol_order&gt;3,OFFSET(ENAVolCoef,4,impvol_order-2)*E49^4,0)+IF(impvol_order&gt;4,OFFSET(ENAVolCoef,5,impvol_order-2)*E49^5,0)</f>
        <v>0.489530520923554</v>
      </c>
      <c r="AY49" s="87" t="n">
        <f aca="true">OFFSET(ENAVolCoef,0,impvol_order-2)+OFFSET(ENAVolCoef,1,impvol_order-2)*F49+OFFSET(ENAVolCoef,2,impvol_order-2)*F49^2+IF(impvol_order&gt;2,OFFSET(ENAVolCoef,3,impvol_order-2)*F49^3,0)+IF(impvol_order&gt;3,OFFSET(ENAVolCoef,4,impvol_order-2)*F49^4,0)+IF(impvol_order&gt;4,OFFSET(ENAVolCoef,5,impvol_order-2)*F49^5,0)</f>
        <v>0.489528425130486</v>
      </c>
      <c r="AZ49" s="87" t="n">
        <f aca="true">OFFSET(ENAVolCoef,0,impvol_order-2)+OFFSET(ENAVolCoef,1,impvol_order-2)*G49+OFFSET(ENAVolCoef,2,impvol_order-2)*G49^2+IF(impvol_order&gt;2,OFFSET(ENAVolCoef,3,impvol_order-2)*G49^3,0)+IF(impvol_order&gt;3,OFFSET(ENAVolCoef,4,impvol_order-2)*G49^4,0)+IF(impvol_order&gt;4,OFFSET(ENAVolCoef,5,impvol_order-2)*G49^5,0)</f>
        <v>0.489532692724881</v>
      </c>
      <c r="BB49" s="48" t="e">
        <f aca="false">EURO(UnderlyingPrice,$D49,IntRate,Yield,AX49,$D$6,1,0)</f>
        <v>#NAME?</v>
      </c>
      <c r="BC49" s="48" t="e">
        <f aca="false">EURO(UnderlyingPrice,$D49*(1+$P$8),IntRate,Yield,AY49,$D$6,1,0)</f>
        <v>#NAME?</v>
      </c>
      <c r="BD49" s="48" t="e">
        <f aca="false">EURO(UnderlyingPrice,$D49*(1-$P$8),IntRate,Yield,AZ49,$D$6,1,0)</f>
        <v>#NAME?</v>
      </c>
      <c r="BF49" s="80" t="e">
        <f aca="false">(BC49+BD49-2*BB49)/($P$8*$D49)^2</f>
        <v>#NAME?</v>
      </c>
      <c r="BG49" s="48" t="e">
        <f aca="false">+BF49/$D$9</f>
        <v>#NAME?</v>
      </c>
      <c r="BI49" s="79" t="e">
        <f aca="false">+BB49-L49</f>
        <v>#NAME?</v>
      </c>
      <c r="BJ49" s="65" t="e">
        <f aca="false">+BI49/BB49</f>
        <v>#NAME?</v>
      </c>
    </row>
    <row r="50" customFormat="false" ht="11.25" hidden="false" customHeight="false" outlineLevel="0" collapsed="false">
      <c r="C50" s="77" t="n">
        <v>37</v>
      </c>
      <c r="D50" s="78" t="n">
        <f aca="true">D49+(ROUNDUP(MAX(StrikeRange),1)-ROUNDDOWN(MIN(StrikeRange),1))/100</f>
        <v>4.29500000000001</v>
      </c>
      <c r="E50" s="64" t="n">
        <f aca="false">+D50/UnderlyingPrice-1</f>
        <v>-0.113519091847264</v>
      </c>
      <c r="F50" s="64" t="n">
        <f aca="false">+D50*(1+$P$8)/UnderlyingPrice-1</f>
        <v>-0.113075851393188</v>
      </c>
      <c r="G50" s="64" t="n">
        <f aca="false">+D50*(1-$P$8)/UnderlyingPrice-1</f>
        <v>-0.11396233230134</v>
      </c>
      <c r="H50" s="64" t="n">
        <f aca="true">OFFSET(VolSkewCoef,0,impvol_order-2)+OFFSET(VolSkewCoef,1,impvol_order-2)*F50+OFFSET(VolSkewCoef,2,impvol_order-2)*F50^2+IF(impvol_order&gt;2,OFFSET(VolSkewCoef,3,impvol_order-2)*F50^3,0)+IF(impvol_order&gt;3,OFFSET(VolSkewCoef,4,impvol_order-2)*F50^4,0)+IF(impvol_order&gt;4,OFFSET(VolSkewCoef,5,impvol_order-2)*F50^5,0)</f>
        <v>0.514380565157665</v>
      </c>
      <c r="I50" s="64" t="n">
        <f aca="true">OFFSET(VolSkewCoef,0,impvol_order-2)+OFFSET(VolSkewCoef,1,impvol_order-2)*E50+OFFSET(VolSkewCoef,2,impvol_order-2)*E50^2+IF(impvol_order&gt;2,OFFSET(VolSkewCoef,3,impvol_order-2)*E50^3,0)+IF(impvol_order&gt;3,OFFSET(VolSkewCoef,4,impvol_order-2)*E50^4,0)+IF(impvol_order&gt;4,OFFSET(VolSkewCoef,5,impvol_order-2)*E50^5,0)</f>
        <v>0.514380172897835</v>
      </c>
      <c r="J50" s="64" t="n">
        <f aca="true">OFFSET(VolSkewCoef,0,impvol_order-2)+OFFSET(VolSkewCoef,1,impvol_order-2)*G50+OFFSET(VolSkewCoef,2,impvol_order-2)*G50^2+IF(impvol_order&gt;2,OFFSET(VolSkewCoef,3,impvol_order-2)*G50^3,0)+IF(impvol_order&gt;3,OFFSET(VolSkewCoef,4,impvol_order-2)*G50^4,0)+IF(impvol_order&gt;4,OFFSET(VolSkewCoef,5,impvol_order-2)*G50^5,0)</f>
        <v>0.51437987908177</v>
      </c>
      <c r="L50" s="79" t="e">
        <f aca="false">EURO(UnderlyingPrice,$D50,IntRate,Yield,$I50,$D$6,L$12,0)</f>
        <v>#NAME?</v>
      </c>
      <c r="M50" s="79" t="e">
        <f aca="false">EURO(UnderlyingPrice,$D50,IntRate,Yield,$I50,$D$6,M$12,0)</f>
        <v>#NAME?</v>
      </c>
      <c r="O50" s="79" t="e">
        <f aca="false">EURO(UnderlyingPrice,$D50*(1+$P$8),IntRate,Yield,$H50,Expiry-Today,O$12,0)</f>
        <v>#NAME?</v>
      </c>
      <c r="P50" s="79" t="e">
        <f aca="false">EURO(UnderlyingPrice,$D50*(1+$P$8),IntRate,Yield,$H50,Expiry-Today,P$12,0)</f>
        <v>#NAME?</v>
      </c>
      <c r="R50" s="79" t="e">
        <f aca="false">EURO(UnderlyingPrice,$D50*(1-$P$8),IntRate,Yield,$J50,Expiry-Today,R$12,0)</f>
        <v>#NAME?</v>
      </c>
      <c r="S50" s="79" t="e">
        <f aca="false">EURO(UnderlyingPrice,$D50*(1-$P$8),IntRate,Yield,$J50,Expiry-Today,S$12,0)</f>
        <v>#NAME?</v>
      </c>
      <c r="U50" s="80" t="e">
        <f aca="false">(O50+R50-2*L50)/($P$8*D50)^2</f>
        <v>#NAME?</v>
      </c>
      <c r="V50" s="80"/>
      <c r="W50" s="81" t="e">
        <f aca="false">U50/$D$9</f>
        <v>#NAME?</v>
      </c>
      <c r="Z50" s="80" t="n">
        <f aca="false">(1/(D50*SQRT(2*PI()*T/365.25*ATMImpVol^2)))</f>
        <v>0.28322266016705</v>
      </c>
      <c r="AA50" s="80" t="n">
        <f aca="false">LN(D50/UnderlyingPrice)+0.5*T/365.25*ATMImpVol^2</f>
        <v>-0.0667172988940716</v>
      </c>
      <c r="AB50" s="80" t="n">
        <f aca="false">-(AA50^2)</f>
        <v>-0.00445119797172088</v>
      </c>
      <c r="AC50" s="80" t="n">
        <f aca="false">AB50/(2*T/365.25*ATMImpVol^2)</f>
        <v>-0.0206923165974387</v>
      </c>
      <c r="AD50" s="82" t="n">
        <f aca="false">EXP(AC50)</f>
        <v>0.979520300347962</v>
      </c>
      <c r="AE50" s="82" t="n">
        <f aca="false">AD50*Z50</f>
        <v>0.277422345152178</v>
      </c>
      <c r="AF50" s="82"/>
      <c r="AG50" s="83" t="n">
        <f aca="false">(LN($D50/UnderlyingPrice)+0.5*ATMImpVol^2*(T/365.25))/(ATMImpVol*SQRT(T/365.25))</f>
        <v>-0.203432134125554</v>
      </c>
      <c r="AH50" s="83" t="n">
        <f aca="false">(LN(($D50*(1+$P$8))/UnderlyingPrice)+0.5*ATMImpVol^2*(T/365.25))/(ATMImpVol*SQRT(T/365.25))</f>
        <v>-0.201907932033971</v>
      </c>
      <c r="AI50" s="83" t="n">
        <f aca="false">(LN($D50*(1-$P$8)/UnderlyingPrice)+0.5*ATMImpVol^2*(T/365.25))/(ATMImpVol*SQRT(T/365.25))</f>
        <v>-0.204957098508788</v>
      </c>
      <c r="AJ50" s="83"/>
      <c r="AK50" s="83" t="e">
        <f aca="false">W50/(AH50-AI50)*(D50*2*$P$8)</f>
        <v>#NAME?</v>
      </c>
      <c r="AL50" s="83"/>
      <c r="AM50" s="84" t="n">
        <v>0.6</v>
      </c>
      <c r="AN50" s="85" t="n">
        <f aca="false">NORMDIST(AM50,0,1,FALSE())</f>
        <v>0.3332246028918</v>
      </c>
      <c r="AX50" s="87" t="n">
        <f aca="true">OFFSET(ENAVolCoef,0,impvol_order-2)+OFFSET(ENAVolCoef,1,impvol_order-2)*E50+OFFSET(ENAVolCoef,2,impvol_order-2)*E50^2+IF(impvol_order&gt;2,OFFSET(ENAVolCoef,3,impvol_order-2)*E50^3,0)+IF(impvol_order&gt;3,OFFSET(ENAVolCoef,4,impvol_order-2)*E50^4,0)+IF(impvol_order&gt;4,OFFSET(ENAVolCoef,5,impvol_order-2)*E50^5,0)</f>
        <v>0.489505681294003</v>
      </c>
      <c r="AY50" s="87" t="n">
        <f aca="true">OFFSET(ENAVolCoef,0,impvol_order-2)+OFFSET(ENAVolCoef,1,impvol_order-2)*F50+OFFSET(ENAVolCoef,2,impvol_order-2)*F50^2+IF(impvol_order&gt;2,OFFSET(ENAVolCoef,3,impvol_order-2)*F50^3,0)+IF(impvol_order&gt;3,OFFSET(ENAVolCoef,4,impvol_order-2)*F50^4,0)+IF(impvol_order&gt;4,OFFSET(ENAVolCoef,5,impvol_order-2)*F50^5,0)</f>
        <v>0.489504820239313</v>
      </c>
      <c r="AZ50" s="87" t="n">
        <f aca="true">OFFSET(ENAVolCoef,0,impvol_order-2)+OFFSET(ENAVolCoef,1,impvol_order-2)*G50+OFFSET(ENAVolCoef,2,impvol_order-2)*G50^2+IF(impvol_order&gt;2,OFFSET(ENAVolCoef,3,impvol_order-2)*G50^3,0)+IF(impvol_order&gt;3,OFFSET(ENAVolCoef,4,impvol_order-2)*G50^4,0)+IF(impvol_order&gt;4,OFFSET(ENAVolCoef,5,impvol_order-2)*G50^5,0)</f>
        <v>0.489506618734557</v>
      </c>
      <c r="BB50" s="48" t="e">
        <f aca="false">EURO(UnderlyingPrice,$D50,IntRate,Yield,AX50,$D$6,1,0)</f>
        <v>#NAME?</v>
      </c>
      <c r="BC50" s="48" t="e">
        <f aca="false">EURO(UnderlyingPrice,$D50*(1+$P$8),IntRate,Yield,AY50,$D$6,1,0)</f>
        <v>#NAME?</v>
      </c>
      <c r="BD50" s="48" t="e">
        <f aca="false">EURO(UnderlyingPrice,$D50*(1-$P$8),IntRate,Yield,AZ50,$D$6,1,0)</f>
        <v>#NAME?</v>
      </c>
      <c r="BF50" s="80" t="e">
        <f aca="false">(BC50+BD50-2*BB50)/($P$8*$D50)^2</f>
        <v>#NAME?</v>
      </c>
      <c r="BG50" s="48" t="e">
        <f aca="false">+BF50/$D$9</f>
        <v>#NAME?</v>
      </c>
      <c r="BI50" s="79" t="e">
        <f aca="false">+BB50-L50</f>
        <v>#NAME?</v>
      </c>
      <c r="BJ50" s="65" t="e">
        <f aca="false">+BI50/BB50</f>
        <v>#NAME?</v>
      </c>
    </row>
    <row r="51" customFormat="false" ht="11.25" hidden="false" customHeight="false" outlineLevel="0" collapsed="false">
      <c r="C51" s="77" t="n">
        <v>38</v>
      </c>
      <c r="D51" s="78" t="n">
        <f aca="true">D50+(ROUNDUP(MAX(StrikeRange),1)-ROUNDDOWN(MIN(StrikeRange),1))/100</f>
        <v>4.33000000000001</v>
      </c>
      <c r="E51" s="64" t="n">
        <f aca="false">+D51/UnderlyingPrice-1</f>
        <v>-0.106295149638802</v>
      </c>
      <c r="F51" s="64" t="n">
        <f aca="false">+D51*(1+$P$8)/UnderlyingPrice-1</f>
        <v>-0.105848297213621</v>
      </c>
      <c r="G51" s="64" t="n">
        <f aca="false">+D51*(1-$P$8)/UnderlyingPrice-1</f>
        <v>-0.106742002063982</v>
      </c>
      <c r="H51" s="64" t="n">
        <f aca="true">OFFSET(VolSkewCoef,0,impvol_order-2)+OFFSET(VolSkewCoef,1,impvol_order-2)*F51+OFFSET(VolSkewCoef,2,impvol_order-2)*F51^2+IF(impvol_order&gt;2,OFFSET(VolSkewCoef,3,impvol_order-2)*F51^3,0)+IF(impvol_order&gt;3,OFFSET(VolSkewCoef,4,impvol_order-2)*F51^4,0)+IF(impvol_order&gt;4,OFFSET(VolSkewCoef,5,impvol_order-2)*F51^5,0)</f>
        <v>0.514400775848419</v>
      </c>
      <c r="I51" s="64" t="n">
        <f aca="true">OFFSET(VolSkewCoef,0,impvol_order-2)+OFFSET(VolSkewCoef,1,impvol_order-2)*E51+OFFSET(VolSkewCoef,2,impvol_order-2)*E51^2+IF(impvol_order&gt;2,OFFSET(VolSkewCoef,3,impvol_order-2)*E51^3,0)+IF(impvol_order&gt;3,OFFSET(VolSkewCoef,4,impvol_order-2)*E51^4,0)+IF(impvol_order&gt;4,OFFSET(VolSkewCoef,5,impvol_order-2)*E51^5,0)</f>
        <v>0.514398774999964</v>
      </c>
      <c r="J51" s="64" t="n">
        <f aca="true">OFFSET(VolSkewCoef,0,impvol_order-2)+OFFSET(VolSkewCoef,1,impvol_order-2)*G51+OFFSET(VolSkewCoef,2,impvol_order-2)*G51^2+IF(impvol_order&gt;2,OFFSET(VolSkewCoef,3,impvol_order-2)*G51^3,0)+IF(impvol_order&gt;3,OFFSET(VolSkewCoef,4,impvol_order-2)*G51^4,0)+IF(impvol_order&gt;4,OFFSET(VolSkewCoef,5,impvol_order-2)*G51^5,0)</f>
        <v>0.514396872746974</v>
      </c>
      <c r="L51" s="79" t="e">
        <f aca="false">EURO(UnderlyingPrice,$D51,IntRate,Yield,$I51,$D$6,L$12,0)</f>
        <v>#NAME?</v>
      </c>
      <c r="M51" s="79" t="e">
        <f aca="false">EURO(UnderlyingPrice,$D51,IntRate,Yield,$I51,$D$6,M$12,0)</f>
        <v>#NAME?</v>
      </c>
      <c r="O51" s="79" t="e">
        <f aca="false">EURO(UnderlyingPrice,$D51*(1+$P$8),IntRate,Yield,$H51,Expiry-Today,O$12,0)</f>
        <v>#NAME?</v>
      </c>
      <c r="P51" s="79" t="e">
        <f aca="false">EURO(UnderlyingPrice,$D51*(1+$P$8),IntRate,Yield,$H51,Expiry-Today,P$12,0)</f>
        <v>#NAME?</v>
      </c>
      <c r="R51" s="79" t="e">
        <f aca="false">EURO(UnderlyingPrice,$D51*(1-$P$8),IntRate,Yield,$J51,Expiry-Today,R$12,0)</f>
        <v>#NAME?</v>
      </c>
      <c r="S51" s="79" t="e">
        <f aca="false">EURO(UnderlyingPrice,$D51*(1-$P$8),IntRate,Yield,$J51,Expiry-Today,S$12,0)</f>
        <v>#NAME?</v>
      </c>
      <c r="U51" s="80" t="e">
        <f aca="false">(O51+R51-2*L51)/($P$8*D51)^2</f>
        <v>#NAME?</v>
      </c>
      <c r="V51" s="80"/>
      <c r="W51" s="81" t="e">
        <f aca="false">U51/$D$9</f>
        <v>#NAME?</v>
      </c>
      <c r="Z51" s="80" t="n">
        <f aca="false">(1/(D51*SQRT(2*PI()*T/365.25*ATMImpVol^2)))</f>
        <v>0.280933331505192</v>
      </c>
      <c r="AA51" s="80" t="n">
        <f aca="false">LN(D51/UnderlyingPrice)+0.5*T/365.25*ATMImpVol^2</f>
        <v>-0.0586013123158918</v>
      </c>
      <c r="AB51" s="80" t="n">
        <f aca="false">-(AA51^2)</f>
        <v>-0.00343411380514469</v>
      </c>
      <c r="AC51" s="80" t="n">
        <f aca="false">AB51/(2*T/365.25*ATMImpVol^2)</f>
        <v>-0.0159641899864131</v>
      </c>
      <c r="AD51" s="82" t="n">
        <f aca="false">EXP(AC51)</f>
        <v>0.984162562298996</v>
      </c>
      <c r="AE51" s="82" t="n">
        <f aca="false">AD51*Z51</f>
        <v>0.276484067369343</v>
      </c>
      <c r="AF51" s="82"/>
      <c r="AG51" s="83" t="n">
        <f aca="false">(LN($D51/UnderlyingPrice)+0.5*ATMImpVol^2*(T/365.25))/(ATMImpVol*SQRT(T/365.25))</f>
        <v>-0.178685142003543</v>
      </c>
      <c r="AH51" s="83" t="n">
        <f aca="false">(LN(($D51*(1+$P$8))/UnderlyingPrice)+0.5*ATMImpVol^2*(T/365.25))/(ATMImpVol*SQRT(T/365.25))</f>
        <v>-0.177160939911959</v>
      </c>
      <c r="AI51" s="83" t="n">
        <f aca="false">(LN($D51*(1-$P$8)/UnderlyingPrice)+0.5*ATMImpVol^2*(T/365.25))/(ATMImpVol*SQRT(T/365.25))</f>
        <v>-0.180210106386777</v>
      </c>
      <c r="AJ51" s="83"/>
      <c r="AK51" s="83" t="e">
        <f aca="false">W51/(AH51-AI51)*(D51*2*$P$8)</f>
        <v>#NAME?</v>
      </c>
      <c r="AL51" s="83"/>
      <c r="AM51" s="84" t="n">
        <v>0.7</v>
      </c>
      <c r="AN51" s="85" t="n">
        <f aca="false">NORMDIST(AM51,0,1,FALSE())</f>
        <v>0.312253933366761</v>
      </c>
      <c r="AX51" s="87" t="n">
        <f aca="true">OFFSET(ENAVolCoef,0,impvol_order-2)+OFFSET(ENAVolCoef,1,impvol_order-2)*E51+OFFSET(ENAVolCoef,2,impvol_order-2)*E51^2+IF(impvol_order&gt;2,OFFSET(ENAVolCoef,3,impvol_order-2)*E51^3,0)+IF(impvol_order&gt;3,OFFSET(ENAVolCoef,4,impvol_order-2)*E51^4,0)+IF(impvol_order&gt;4,OFFSET(ENAVolCoef,5,impvol_order-2)*E51^5,0)</f>
        <v>0.489501131696644</v>
      </c>
      <c r="AY51" s="87" t="n">
        <f aca="true">OFFSET(ENAVolCoef,0,impvol_order-2)+OFFSET(ENAVolCoef,1,impvol_order-2)*F51+OFFSET(ENAVolCoef,2,impvol_order-2)*F51^2+IF(impvol_order&gt;2,OFFSET(ENAVolCoef,3,impvol_order-2)*F51^3,0)+IF(impvol_order&gt;3,OFFSET(ENAVolCoef,4,impvol_order-2)*F51^4,0)+IF(impvol_order&gt;4,OFFSET(ENAVolCoef,5,impvol_order-2)*F51^5,0)</f>
        <v>0.489501511376118</v>
      </c>
      <c r="AZ51" s="87" t="n">
        <f aca="true">OFFSET(ENAVolCoef,0,impvol_order-2)+OFFSET(ENAVolCoef,1,impvol_order-2)*G51+OFFSET(ENAVolCoef,2,impvol_order-2)*G51^2+IF(impvol_order&gt;2,OFFSET(ENAVolCoef,3,impvol_order-2)*G51^3,0)+IF(impvol_order&gt;3,OFFSET(ENAVolCoef,4,impvol_order-2)*G51^4,0)+IF(impvol_order&gt;4,OFFSET(ENAVolCoef,5,impvol_order-2)*G51^5,0)</f>
        <v>0.489500828762212</v>
      </c>
      <c r="BB51" s="48" t="e">
        <f aca="false">EURO(UnderlyingPrice,$D51,IntRate,Yield,AX51,$D$6,1,0)</f>
        <v>#NAME?</v>
      </c>
      <c r="BC51" s="48" t="e">
        <f aca="false">EURO(UnderlyingPrice,$D51*(1+$P$8),IntRate,Yield,AY51,$D$6,1,0)</f>
        <v>#NAME?</v>
      </c>
      <c r="BD51" s="48" t="e">
        <f aca="false">EURO(UnderlyingPrice,$D51*(1-$P$8),IntRate,Yield,AZ51,$D$6,1,0)</f>
        <v>#NAME?</v>
      </c>
      <c r="BF51" s="80" t="e">
        <f aca="false">(BC51+BD51-2*BB51)/($P$8*$D51)^2</f>
        <v>#NAME?</v>
      </c>
      <c r="BG51" s="48" t="e">
        <f aca="false">+BF51/$D$9</f>
        <v>#NAME?</v>
      </c>
      <c r="BI51" s="79" t="e">
        <f aca="false">+BB51-L51</f>
        <v>#NAME?</v>
      </c>
      <c r="BJ51" s="65" t="e">
        <f aca="false">+BI51/BB51</f>
        <v>#NAME?</v>
      </c>
    </row>
    <row r="52" customFormat="false" ht="11.25" hidden="false" customHeight="false" outlineLevel="0" collapsed="false">
      <c r="C52" s="77" t="n">
        <v>39</v>
      </c>
      <c r="D52" s="78" t="n">
        <f aca="true">D51+(ROUNDUP(MAX(StrikeRange),1)-ROUNDDOWN(MIN(StrikeRange),1))/100</f>
        <v>4.36500000000001</v>
      </c>
      <c r="E52" s="64" t="n">
        <f aca="false">+D52/UnderlyingPrice-1</f>
        <v>-0.0990712074303394</v>
      </c>
      <c r="F52" s="64" t="n">
        <f aca="false">+D52*(1+$P$8)/UnderlyingPrice-1</f>
        <v>-0.0986207430340546</v>
      </c>
      <c r="G52" s="64" t="n">
        <f aca="false">+D52*(1-$P$8)/UnderlyingPrice-1</f>
        <v>-0.0995216718266242</v>
      </c>
      <c r="H52" s="64" t="n">
        <f aca="true">OFFSET(VolSkewCoef,0,impvol_order-2)+OFFSET(VolSkewCoef,1,impvol_order-2)*F52+OFFSET(VolSkewCoef,2,impvol_order-2)*F52^2+IF(impvol_order&gt;2,OFFSET(VolSkewCoef,3,impvol_order-2)*F52^3,0)+IF(impvol_order&gt;3,OFFSET(VolSkewCoef,4,impvol_order-2)*F52^4,0)+IF(impvol_order&gt;4,OFFSET(VolSkewCoef,5,impvol_order-2)*F52^5,0)</f>
        <v>0.514446756492105</v>
      </c>
      <c r="I52" s="64" t="n">
        <f aca="true">OFFSET(VolSkewCoef,0,impvol_order-2)+OFFSET(VolSkewCoef,1,impvol_order-2)*E52+OFFSET(VolSkewCoef,2,impvol_order-2)*E52^2+IF(impvol_order&gt;2,OFFSET(VolSkewCoef,3,impvol_order-2)*E52^3,0)+IF(impvol_order&gt;3,OFFSET(VolSkewCoef,4,impvol_order-2)*E52^4,0)+IF(impvol_order&gt;4,OFFSET(VolSkewCoef,5,impvol_order-2)*E52^5,0)</f>
        <v>0.514443144895433</v>
      </c>
      <c r="J52" s="64" t="n">
        <f aca="true">OFFSET(VolSkewCoef,0,impvol_order-2)+OFFSET(VolSkewCoef,1,impvol_order-2)*G52+OFFSET(VolSkewCoef,2,impvol_order-2)*G52^2+IF(impvol_order&gt;2,OFFSET(VolSkewCoef,3,impvol_order-2)*G52^3,0)+IF(impvol_order&gt;3,OFFSET(VolSkewCoef,4,impvol_order-2)*G52^4,0)+IF(impvol_order&gt;4,OFFSET(VolSkewCoef,5,impvol_order-2)*G52^5,0)</f>
        <v>0.51443963201163</v>
      </c>
      <c r="L52" s="79" t="e">
        <f aca="false">EURO(UnderlyingPrice,$D52,IntRate,Yield,$I52,$D$6,L$12,0)</f>
        <v>#NAME?</v>
      </c>
      <c r="M52" s="79" t="e">
        <f aca="false">EURO(UnderlyingPrice,$D52,IntRate,Yield,$I52,$D$6,M$12,0)</f>
        <v>#NAME?</v>
      </c>
      <c r="O52" s="79" t="e">
        <f aca="false">EURO(UnderlyingPrice,$D52*(1+$P$8),IntRate,Yield,$H52,Expiry-Today,O$12,0)</f>
        <v>#NAME?</v>
      </c>
      <c r="P52" s="79" t="e">
        <f aca="false">EURO(UnderlyingPrice,$D52*(1+$P$8),IntRate,Yield,$H52,Expiry-Today,P$12,0)</f>
        <v>#NAME?</v>
      </c>
      <c r="R52" s="79" t="e">
        <f aca="false">EURO(UnderlyingPrice,$D52*(1-$P$8),IntRate,Yield,$J52,Expiry-Today,R$12,0)</f>
        <v>#NAME?</v>
      </c>
      <c r="S52" s="79" t="e">
        <f aca="false">EURO(UnderlyingPrice,$D52*(1-$P$8),IntRate,Yield,$J52,Expiry-Today,S$12,0)</f>
        <v>#NAME?</v>
      </c>
      <c r="U52" s="80" t="e">
        <f aca="false">(O52+R52-2*L52)/($P$8*D52)^2</f>
        <v>#NAME?</v>
      </c>
      <c r="V52" s="80"/>
      <c r="W52" s="81" t="e">
        <f aca="false">U52/$D$9</f>
        <v>#NAME?</v>
      </c>
      <c r="Z52" s="80" t="n">
        <f aca="false">(1/(D52*SQRT(2*PI()*T/365.25*ATMImpVol^2)))</f>
        <v>0.27868071601775</v>
      </c>
      <c r="AA52" s="80" t="n">
        <f aca="false">LN(D52/UnderlyingPrice)+0.5*T/365.25*ATMImpVol^2</f>
        <v>-0.0505506650387247</v>
      </c>
      <c r="AB52" s="80" t="n">
        <f aca="false">-(AA52^2)</f>
        <v>-0.00255536973585735</v>
      </c>
      <c r="AC52" s="80" t="n">
        <f aca="false">AB52/(2*T/365.25*ATMImpVol^2)</f>
        <v>-0.0118791659984134</v>
      </c>
      <c r="AD52" s="82" t="n">
        <f aca="false">EXP(AC52)</f>
        <v>0.988191112734487</v>
      </c>
      <c r="AE52" s="82" t="n">
        <f aca="false">AD52*Z52</f>
        <v>0.275389806859224</v>
      </c>
      <c r="AF52" s="82"/>
      <c r="AG52" s="83" t="n">
        <f aca="false">(LN($D52/UnderlyingPrice)+0.5*ATMImpVol^2*(T/365.25))/(ATMImpVol*SQRT(T/365.25))</f>
        <v>-0.154137380271065</v>
      </c>
      <c r="AH52" s="83" t="n">
        <f aca="false">(LN(($D52*(1+$P$8))/UnderlyingPrice)+0.5*ATMImpVol^2*(T/365.25))/(ATMImpVol*SQRT(T/365.25))</f>
        <v>-0.152613178179481</v>
      </c>
      <c r="AI52" s="83" t="n">
        <f aca="false">(LN($D52*(1-$P$8)/UnderlyingPrice)+0.5*ATMImpVol^2*(T/365.25))/(ATMImpVol*SQRT(T/365.25))</f>
        <v>-0.155662344654299</v>
      </c>
      <c r="AJ52" s="81"/>
      <c r="AK52" s="83" t="e">
        <f aca="false">W52/(AH52-AI52)*(D52*2*$P$8)</f>
        <v>#NAME?</v>
      </c>
      <c r="AL52" s="83"/>
      <c r="AM52" s="84" t="n">
        <v>0.8</v>
      </c>
      <c r="AN52" s="85" t="n">
        <f aca="false">NORMDIST(AM52,0,1,FALSE())</f>
        <v>0.289691552761483</v>
      </c>
      <c r="AX52" s="87" t="n">
        <f aca="true">OFFSET(ENAVolCoef,0,impvol_order-2)+OFFSET(ENAVolCoef,1,impvol_order-2)*E52+OFFSET(ENAVolCoef,2,impvol_order-2)*E52^2+IF(impvol_order&gt;2,OFFSET(ENAVolCoef,3,impvol_order-2)*E52^3,0)+IF(impvol_order&gt;3,OFFSET(ENAVolCoef,4,impvol_order-2)*E52^4,0)+IF(impvol_order&gt;4,OFFSET(ENAVolCoef,5,impvol_order-2)*E52^5,0)</f>
        <v>0.489516639313767</v>
      </c>
      <c r="AY52" s="87" t="n">
        <f aca="true">OFFSET(ENAVolCoef,0,impvol_order-2)+OFFSET(ENAVolCoef,1,impvol_order-2)*F52+OFFSET(ENAVolCoef,2,impvol_order-2)*F52^2+IF(impvol_order&gt;2,OFFSET(ENAVolCoef,3,impvol_order-2)*F52^3,0)+IF(impvol_order&gt;3,OFFSET(ENAVolCoef,4,impvol_order-2)*F52^4,0)+IF(impvol_order&gt;4,OFFSET(ENAVolCoef,5,impvol_order-2)*F52^5,0)</f>
        <v>0.48951826537379</v>
      </c>
      <c r="AZ52" s="87" t="n">
        <f aca="true">OFFSET(ENAVolCoef,0,impvol_order-2)+OFFSET(ENAVolCoef,1,impvol_order-2)*G52+OFFSET(ENAVolCoef,2,impvol_order-2)*G52^2+IF(impvol_order&gt;2,OFFSET(ENAVolCoef,3,impvol_order-2)*G52^3,0)+IF(impvol_order&gt;3,OFFSET(ENAVolCoef,4,impvol_order-2)*G52^4,0)+IF(impvol_order&gt;4,OFFSET(ENAVolCoef,5,impvol_order-2)*G52^5,0)</f>
        <v>0.489515090339191</v>
      </c>
      <c r="BB52" s="48" t="e">
        <f aca="false">EURO(UnderlyingPrice,$D52,IntRate,Yield,AX52,$D$6,1,0)</f>
        <v>#NAME?</v>
      </c>
      <c r="BC52" s="48" t="e">
        <f aca="false">EURO(UnderlyingPrice,$D52*(1+$P$8),IntRate,Yield,AY52,$D$6,1,0)</f>
        <v>#NAME?</v>
      </c>
      <c r="BD52" s="48" t="e">
        <f aca="false">EURO(UnderlyingPrice,$D52*(1-$P$8),IntRate,Yield,AZ52,$D$6,1,0)</f>
        <v>#NAME?</v>
      </c>
      <c r="BF52" s="80" t="e">
        <f aca="false">(BC52+BD52-2*BB52)/($P$8*$D52)^2</f>
        <v>#NAME?</v>
      </c>
      <c r="BG52" s="48" t="e">
        <f aca="false">+BF52/$D$9</f>
        <v>#NAME?</v>
      </c>
      <c r="BI52" s="79" t="e">
        <f aca="false">+BB52-L52</f>
        <v>#NAME?</v>
      </c>
      <c r="BJ52" s="65" t="e">
        <f aca="false">+BI52/BB52</f>
        <v>#NAME?</v>
      </c>
    </row>
    <row r="53" customFormat="false" ht="11.25" hidden="false" customHeight="false" outlineLevel="0" collapsed="false">
      <c r="C53" s="77" t="n">
        <v>40</v>
      </c>
      <c r="D53" s="78" t="n">
        <f aca="true">D52+(ROUNDUP(MAX(StrikeRange),1)-ROUNDDOWN(MIN(StrikeRange),1))/100</f>
        <v>4.40000000000001</v>
      </c>
      <c r="E53" s="64" t="n">
        <f aca="false">+D53/UnderlyingPrice-1</f>
        <v>-0.091847265221877</v>
      </c>
      <c r="F53" s="64" t="n">
        <f aca="false">+D53*(1+$P$8)/UnderlyingPrice-1</f>
        <v>-0.0913931888544879</v>
      </c>
      <c r="G53" s="64" t="n">
        <f aca="false">+D53*(1-$P$8)/UnderlyingPrice-1</f>
        <v>-0.0923013415892661</v>
      </c>
      <c r="H53" s="64" t="n">
        <f aca="true">OFFSET(VolSkewCoef,0,impvol_order-2)+OFFSET(VolSkewCoef,1,impvol_order-2)*F53+OFFSET(VolSkewCoef,2,impvol_order-2)*F53^2+IF(impvol_order&gt;2,OFFSET(VolSkewCoef,3,impvol_order-2)*F53^3,0)+IF(impvol_order&gt;3,OFFSET(VolSkewCoef,4,impvol_order-2)*F53^4,0)+IF(impvol_order&gt;4,OFFSET(VolSkewCoef,5,impvol_order-2)*F53^5,0)</f>
        <v>0.514518125136848</v>
      </c>
      <c r="I53" s="64" t="n">
        <f aca="true">OFFSET(VolSkewCoef,0,impvol_order-2)+OFFSET(VolSkewCoef,1,impvol_order-2)*E53+OFFSET(VolSkewCoef,2,impvol_order-2)*E53^2+IF(impvol_order&gt;2,OFFSET(VolSkewCoef,3,impvol_order-2)*E53^3,0)+IF(impvol_order&gt;3,OFFSET(VolSkewCoef,4,impvol_order-2)*E53^4,0)+IF(impvol_order&gt;4,OFFSET(VolSkewCoef,5,impvol_order-2)*E53^5,0)</f>
        <v>0.514512901204724</v>
      </c>
      <c r="J53" s="64" t="n">
        <f aca="true">OFFSET(VolSkewCoef,0,impvol_order-2)+OFFSET(VolSkewCoef,1,impvol_order-2)*G53+OFFSET(VolSkewCoef,2,impvol_order-2)*G53^2+IF(impvol_order&gt;2,OFFSET(VolSkewCoef,3,impvol_order-2)*G53^3,0)+IF(impvol_order&gt;3,OFFSET(VolSkewCoef,4,impvol_order-2)*G53^4,0)+IF(impvol_order&gt;4,OFFSET(VolSkewCoef,5,impvol_order-2)*G53^5,0)</f>
        <v>0.514507776068001</v>
      </c>
      <c r="L53" s="79" t="e">
        <f aca="false">EURO(UnderlyingPrice,$D53,IntRate,Yield,$I53,$D$6,L$12,0)</f>
        <v>#NAME?</v>
      </c>
      <c r="M53" s="79" t="e">
        <f aca="false">EURO(UnderlyingPrice,$D53,IntRate,Yield,$I53,$D$6,M$12,0)</f>
        <v>#NAME?</v>
      </c>
      <c r="O53" s="79" t="e">
        <f aca="false">EURO(UnderlyingPrice,$D53*(1+$P$8),IntRate,Yield,$H53,Expiry-Today,O$12,0)</f>
        <v>#NAME?</v>
      </c>
      <c r="P53" s="79" t="e">
        <f aca="false">EURO(UnderlyingPrice,$D53*(1+$P$8),IntRate,Yield,$H53,Expiry-Today,P$12,0)</f>
        <v>#NAME?</v>
      </c>
      <c r="R53" s="79" t="e">
        <f aca="false">EURO(UnderlyingPrice,$D53*(1-$P$8),IntRate,Yield,$J53,Expiry-Today,R$12,0)</f>
        <v>#NAME?</v>
      </c>
      <c r="S53" s="79" t="e">
        <f aca="false">EURO(UnderlyingPrice,$D53*(1-$P$8),IntRate,Yield,$J53,Expiry-Today,S$12,0)</f>
        <v>#NAME?</v>
      </c>
      <c r="U53" s="80" t="e">
        <f aca="false">(O53+R53-2*L53)/($P$8*D53)^2</f>
        <v>#NAME?</v>
      </c>
      <c r="V53" s="80"/>
      <c r="W53" s="81" t="e">
        <f aca="false">U53/$D$9</f>
        <v>#NAME?</v>
      </c>
      <c r="Z53" s="80" t="n">
        <f aca="false">(1/(D53*SQRT(2*PI()*T/365.25*ATMImpVol^2)))</f>
        <v>0.276463937594882</v>
      </c>
      <c r="AA53" s="80" t="n">
        <f aca="false">LN(D53/UnderlyingPrice)+0.5*T/365.25*ATMImpVol^2</f>
        <v>-0.0425643134060748</v>
      </c>
      <c r="AB53" s="80" t="n">
        <f aca="false">-(AA53^2)</f>
        <v>-0.00181172077573056</v>
      </c>
      <c r="AC53" s="80" t="n">
        <f aca="false">AB53/(2*T/365.25*ATMImpVol^2)</f>
        <v>-0.00842215963337178</v>
      </c>
      <c r="AD53" s="82" t="n">
        <f aca="false">EXP(AC53)</f>
        <v>0.991613207394509</v>
      </c>
      <c r="AE53" s="82" t="n">
        <f aca="false">AD53*Z53</f>
        <v>0.274145291887376</v>
      </c>
      <c r="AF53" s="82"/>
      <c r="AG53" s="83" t="n">
        <f aca="false">(LN($D53/UnderlyingPrice)+0.5*ATMImpVol^2*(T/365.25))/(ATMImpVol*SQRT(T/365.25))</f>
        <v>-0.129785666645988</v>
      </c>
      <c r="AH53" s="83" t="n">
        <f aca="false">(LN(($D53*(1+$P$8))/UnderlyingPrice)+0.5*ATMImpVol^2*(T/365.25))/(ATMImpVol*SQRT(T/365.25))</f>
        <v>-0.128261464554404</v>
      </c>
      <c r="AI53" s="83" t="n">
        <f aca="false">(LN($D53*(1-$P$8)/UnderlyingPrice)+0.5*ATMImpVol^2*(T/365.25))/(ATMImpVol*SQRT(T/365.25))</f>
        <v>-0.131310631029223</v>
      </c>
      <c r="AJ53" s="81"/>
      <c r="AK53" s="83" t="e">
        <f aca="false">W53/(AH53-AI53)*(D53*2*$P$8)</f>
        <v>#NAME?</v>
      </c>
      <c r="AL53" s="83"/>
      <c r="AM53" s="84" t="n">
        <v>0.9</v>
      </c>
      <c r="AN53" s="85" t="n">
        <f aca="false">NORMDIST(AM53,0,1,FALSE())</f>
        <v>0.266085249898755</v>
      </c>
      <c r="AX53" s="87" t="n">
        <f aca="true">OFFSET(ENAVolCoef,0,impvol_order-2)+OFFSET(ENAVolCoef,1,impvol_order-2)*E53+OFFSET(ENAVolCoef,2,impvol_order-2)*E53^2+IF(impvol_order&gt;2,OFFSET(ENAVolCoef,3,impvol_order-2)*E53^3,0)+IF(impvol_order&gt;3,OFFSET(ENAVolCoef,4,impvol_order-2)*E53^4,0)+IF(impvol_order&gt;4,OFFSET(ENAVolCoef,5,impvol_order-2)*E53^5,0)</f>
        <v>0.489551971327662</v>
      </c>
      <c r="AY53" s="87" t="n">
        <f aca="true">OFFSET(ENAVolCoef,0,impvol_order-2)+OFFSET(ENAVolCoef,1,impvol_order-2)*F53+OFFSET(ENAVolCoef,2,impvol_order-2)*F53^2+IF(impvol_order&gt;2,OFFSET(ENAVolCoef,3,impvol_order-2)*F53^3,0)+IF(impvol_order&gt;3,OFFSET(ENAVolCoef,4,impvol_order-2)*F53^4,0)+IF(impvol_order&gt;4,OFFSET(ENAVolCoef,5,impvol_order-2)*F53^5,0)</f>
        <v>0.489554849065219</v>
      </c>
      <c r="AZ53" s="87" t="n">
        <f aca="true">OFFSET(ENAVolCoef,0,impvol_order-2)+OFFSET(ENAVolCoef,1,impvol_order-2)*G53+OFFSET(ENAVolCoef,2,impvol_order-2)*G53^2+IF(impvol_order&gt;2,OFFSET(ENAVolCoef,3,impvol_order-2)*G53^3,0)+IF(impvol_order&gt;3,OFFSET(ENAVolCoef,4,impvol_order-2)*G53^4,0)+IF(impvol_order&gt;4,OFFSET(ENAVolCoef,5,impvol_order-2)*G53^5,0)</f>
        <v>0.489549170996833</v>
      </c>
      <c r="BB53" s="48" t="e">
        <f aca="false">EURO(UnderlyingPrice,$D53,IntRate,Yield,AX53,$D$6,1,0)</f>
        <v>#NAME?</v>
      </c>
      <c r="BC53" s="48" t="e">
        <f aca="false">EURO(UnderlyingPrice,$D53*(1+$P$8),IntRate,Yield,AY53,$D$6,1,0)</f>
        <v>#NAME?</v>
      </c>
      <c r="BD53" s="48" t="e">
        <f aca="false">EURO(UnderlyingPrice,$D53*(1-$P$8),IntRate,Yield,AZ53,$D$6,1,0)</f>
        <v>#NAME?</v>
      </c>
      <c r="BF53" s="80" t="e">
        <f aca="false">(BC53+BD53-2*BB53)/($P$8*$D53)^2</f>
        <v>#NAME?</v>
      </c>
      <c r="BG53" s="48" t="e">
        <f aca="false">+BF53/$D$9</f>
        <v>#NAME?</v>
      </c>
      <c r="BI53" s="79" t="e">
        <f aca="false">+BB53-L53</f>
        <v>#NAME?</v>
      </c>
      <c r="BJ53" s="65" t="e">
        <f aca="false">+BI53/BB53</f>
        <v>#NAME?</v>
      </c>
    </row>
    <row r="54" customFormat="false" ht="11.25" hidden="false" customHeight="false" outlineLevel="0" collapsed="false">
      <c r="C54" s="77" t="n">
        <v>41</v>
      </c>
      <c r="D54" s="78" t="n">
        <f aca="true">D53+(ROUNDUP(MAX(StrikeRange),1)-ROUNDDOWN(MIN(StrikeRange),1))/100</f>
        <v>4.43500000000001</v>
      </c>
      <c r="E54" s="64" t="n">
        <f aca="false">+D54/UnderlyingPrice-1</f>
        <v>-0.0846233230134147</v>
      </c>
      <c r="F54" s="64" t="n">
        <f aca="false">+D54*(1+$P$8)/UnderlyingPrice-1</f>
        <v>-0.0841656346749214</v>
      </c>
      <c r="G54" s="64" t="n">
        <f aca="false">+D54*(1-$P$8)/UnderlyingPrice-1</f>
        <v>-0.0850810113519078</v>
      </c>
      <c r="H54" s="64" t="n">
        <f aca="true">OFFSET(VolSkewCoef,0,impvol_order-2)+OFFSET(VolSkewCoef,1,impvol_order-2)*F54+OFFSET(VolSkewCoef,2,impvol_order-2)*F54^2+IF(impvol_order&gt;2,OFFSET(VolSkewCoef,3,impvol_order-2)*F54^3,0)+IF(impvol_order&gt;3,OFFSET(VolSkewCoef,4,impvol_order-2)*F54^4,0)+IF(impvol_order&gt;4,OFFSET(VolSkewCoef,5,impvol_order-2)*F54^5,0)</f>
        <v>0.514614499830772</v>
      </c>
      <c r="I54" s="64" t="n">
        <f aca="true">OFFSET(VolSkewCoef,0,impvol_order-2)+OFFSET(VolSkewCoef,1,impvol_order-2)*E54+OFFSET(VolSkewCoef,2,impvol_order-2)*E54^2+IF(impvol_order&gt;2,OFFSET(VolSkewCoef,3,impvol_order-2)*E54^3,0)+IF(impvol_order&gt;3,OFFSET(VolSkewCoef,4,impvol_order-2)*E54^4,0)+IF(impvol_order&gt;4,OFFSET(VolSkewCoef,5,impvol_order-2)*E54^5,0)</f>
        <v>0.514607662548316</v>
      </c>
      <c r="J54" s="64" t="n">
        <f aca="true">OFFSET(VolSkewCoef,0,impvol_order-2)+OFFSET(VolSkewCoef,1,impvol_order-2)*G54+OFFSET(VolSkewCoef,2,impvol_order-2)*G54^2+IF(impvol_order&gt;2,OFFSET(VolSkewCoef,3,impvol_order-2)*G54^3,0)+IF(impvol_order&gt;3,OFFSET(VolSkewCoef,4,impvol_order-2)*G54^4,0)+IF(impvol_order&gt;4,OFFSET(VolSkewCoef,5,impvol_order-2)*G54^5,0)</f>
        <v>0.514600924108351</v>
      </c>
      <c r="L54" s="79" t="e">
        <f aca="false">EURO(UnderlyingPrice,$D54,IntRate,Yield,$I54,$D$6,L$12,0)</f>
        <v>#NAME?</v>
      </c>
      <c r="M54" s="79" t="e">
        <f aca="false">EURO(UnderlyingPrice,$D54,IntRate,Yield,$I54,$D$6,M$12,0)</f>
        <v>#NAME?</v>
      </c>
      <c r="O54" s="79" t="e">
        <f aca="false">EURO(UnderlyingPrice,$D54*(1+$P$8),IntRate,Yield,$H54,Expiry-Today,O$12,0)</f>
        <v>#NAME?</v>
      </c>
      <c r="P54" s="79" t="e">
        <f aca="false">EURO(UnderlyingPrice,$D54*(1+$P$8),IntRate,Yield,$H54,Expiry-Today,P$12,0)</f>
        <v>#NAME?</v>
      </c>
      <c r="R54" s="79" t="e">
        <f aca="false">EURO(UnderlyingPrice,$D54*(1-$P$8),IntRate,Yield,$J54,Expiry-Today,R$12,0)</f>
        <v>#NAME?</v>
      </c>
      <c r="S54" s="79" t="e">
        <f aca="false">EURO(UnderlyingPrice,$D54*(1-$P$8),IntRate,Yield,$J54,Expiry-Today,S$12,0)</f>
        <v>#NAME?</v>
      </c>
      <c r="U54" s="80" t="e">
        <f aca="false">(O54+R54-2*L54)/($P$8*D54)^2</f>
        <v>#NAME?</v>
      </c>
      <c r="V54" s="80"/>
      <c r="W54" s="81" t="e">
        <f aca="false">U54/$D$9</f>
        <v>#NAME?</v>
      </c>
      <c r="Z54" s="80" t="n">
        <f aca="false">(1/(D54*SQRT(2*PI()*T/365.25*ATMImpVol^2)))</f>
        <v>0.274282147782972</v>
      </c>
      <c r="AA54" s="80" t="n">
        <f aca="false">LN(D54/UnderlyingPrice)+0.5*T/365.25*ATMImpVol^2</f>
        <v>-0.0346412385687474</v>
      </c>
      <c r="AB54" s="80" t="n">
        <f aca="false">-(AA54^2)</f>
        <v>-0.00120001540957687</v>
      </c>
      <c r="AC54" s="80" t="n">
        <f aca="false">AB54/(2*T/365.25*ATMImpVol^2)</f>
        <v>-0.00557852041956468</v>
      </c>
      <c r="AD54" s="82" t="n">
        <f aca="false">EXP(AC54)</f>
        <v>0.994437010631954</v>
      </c>
      <c r="AE54" s="82" t="n">
        <f aca="false">AD54*Z54</f>
        <v>0.27275631911101</v>
      </c>
      <c r="AF54" s="82"/>
      <c r="AG54" s="83" t="n">
        <f aca="false">(LN($D54/UnderlyingPrice)+0.5*ATMImpVol^2*(T/365.25))/(ATMImpVol*SQRT(T/365.25))</f>
        <v>-0.105626894487765</v>
      </c>
      <c r="AH54" s="83" t="n">
        <f aca="false">(LN(($D54*(1+$P$8))/UnderlyingPrice)+0.5*ATMImpVol^2*(T/365.25))/(ATMImpVol*SQRT(T/365.25))</f>
        <v>-0.104102692396181</v>
      </c>
      <c r="AI54" s="83" t="n">
        <f aca="false">(LN($D54*(1-$P$8)/UnderlyingPrice)+0.5*ATMImpVol^2*(T/365.25))/(ATMImpVol*SQRT(T/365.25))</f>
        <v>-0.107151858870998</v>
      </c>
      <c r="AJ54" s="81"/>
      <c r="AK54" s="83" t="e">
        <f aca="false">W54/(AH54-AI54)*(D54*2*$P$8)</f>
        <v>#NAME?</v>
      </c>
      <c r="AL54" s="83"/>
      <c r="AM54" s="84" t="n">
        <v>1</v>
      </c>
      <c r="AN54" s="85" t="n">
        <f aca="false">NORMDIST(AM54,0,1,FALSE())</f>
        <v>0.241970724519143</v>
      </c>
      <c r="AX54" s="87" t="n">
        <f aca="true">OFFSET(ENAVolCoef,0,impvol_order-2)+OFFSET(ENAVolCoef,1,impvol_order-2)*E54+OFFSET(ENAVolCoef,2,impvol_order-2)*E54^2+IF(impvol_order&gt;2,OFFSET(ENAVolCoef,3,impvol_order-2)*E54^3,0)+IF(impvol_order&gt;3,OFFSET(ENAVolCoef,4,impvol_order-2)*E54^4,0)+IF(impvol_order&gt;4,OFFSET(ENAVolCoef,5,impvol_order-2)*E54^5,0)</f>
        <v>0.48960689492062</v>
      </c>
      <c r="AY54" s="87" t="n">
        <f aca="true">OFFSET(ENAVolCoef,0,impvol_order-2)+OFFSET(ENAVolCoef,1,impvol_order-2)*F54+OFFSET(ENAVolCoef,2,impvol_order-2)*F54^2+IF(impvol_order&gt;2,OFFSET(ENAVolCoef,3,impvol_order-2)*F54^3,0)+IF(impvol_order&gt;3,OFFSET(ENAVolCoef,4,impvol_order-2)*F54^4,0)+IF(impvol_order&gt;4,OFFSET(ENAVolCoef,5,impvol_order-2)*F54^5,0)</f>
        <v>0.489611029283294</v>
      </c>
      <c r="AZ54" s="87" t="n">
        <f aca="true">OFFSET(ENAVolCoef,0,impvol_order-2)+OFFSET(ENAVolCoef,1,impvol_order-2)*G54+OFFSET(ENAVolCoef,2,impvol_order-2)*G54^2+IF(impvol_order&gt;2,OFFSET(ENAVolCoef,3,impvol_order-2)*G54^3,0)+IF(impvol_order&gt;3,OFFSET(ENAVolCoef,4,impvol_order-2)*G54^4,0)+IF(impvol_order&gt;4,OFFSET(ENAVolCoef,5,impvol_order-2)*G54^5,0)</f>
        <v>0.489602838266484</v>
      </c>
      <c r="BB54" s="48" t="e">
        <f aca="false">EURO(UnderlyingPrice,$D54,IntRate,Yield,AX54,$D$6,1,0)</f>
        <v>#NAME?</v>
      </c>
      <c r="BC54" s="48" t="e">
        <f aca="false">EURO(UnderlyingPrice,$D54*(1+$P$8),IntRate,Yield,AY54,$D$6,1,0)</f>
        <v>#NAME?</v>
      </c>
      <c r="BD54" s="48" t="e">
        <f aca="false">EURO(UnderlyingPrice,$D54*(1-$P$8),IntRate,Yield,AZ54,$D$6,1,0)</f>
        <v>#NAME?</v>
      </c>
      <c r="BF54" s="80" t="e">
        <f aca="false">(BC54+BD54-2*BB54)/($P$8*$D54)^2</f>
        <v>#NAME?</v>
      </c>
      <c r="BG54" s="48" t="e">
        <f aca="false">+BF54/$D$9</f>
        <v>#NAME?</v>
      </c>
      <c r="BI54" s="79" t="e">
        <f aca="false">+BB54-L54</f>
        <v>#NAME?</v>
      </c>
      <c r="BJ54" s="65" t="e">
        <f aca="false">+BI54/BB54</f>
        <v>#NAME?</v>
      </c>
    </row>
    <row r="55" customFormat="false" ht="11.25" hidden="false" customHeight="false" outlineLevel="0" collapsed="false">
      <c r="C55" s="77" t="n">
        <v>42</v>
      </c>
      <c r="D55" s="78" t="n">
        <f aca="true">D54+(ROUNDUP(MAX(StrikeRange),1)-ROUNDDOWN(MIN(StrikeRange),1))/100</f>
        <v>4.47000000000001</v>
      </c>
      <c r="E55" s="64" t="n">
        <f aca="false">+D55/UnderlyingPrice-1</f>
        <v>-0.0773993808049522</v>
      </c>
      <c r="F55" s="64" t="n">
        <f aca="false">+D55*(1+$P$8)/UnderlyingPrice-1</f>
        <v>-0.0769380804953548</v>
      </c>
      <c r="G55" s="64" t="n">
        <f aca="false">+D55*(1-$P$8)/UnderlyingPrice-1</f>
        <v>-0.0778606811145498</v>
      </c>
      <c r="H55" s="64" t="n">
        <f aca="true">OFFSET(VolSkewCoef,0,impvol_order-2)+OFFSET(VolSkewCoef,1,impvol_order-2)*F55+OFFSET(VolSkewCoef,2,impvol_order-2)*F55^2+IF(impvol_order&gt;2,OFFSET(VolSkewCoef,3,impvol_order-2)*F55^3,0)+IF(impvol_order&gt;3,OFFSET(VolSkewCoef,4,impvol_order-2)*F55^4,0)+IF(impvol_order&gt;4,OFFSET(VolSkewCoef,5,impvol_order-2)*F55^5,0)</f>
        <v>0.514735498622002</v>
      </c>
      <c r="I55" s="64" t="n">
        <f aca="true">OFFSET(VolSkewCoef,0,impvol_order-2)+OFFSET(VolSkewCoef,1,impvol_order-2)*E55+OFFSET(VolSkewCoef,2,impvol_order-2)*E55^2+IF(impvol_order&gt;2,OFFSET(VolSkewCoef,3,impvol_order-2)*E55^3,0)+IF(impvol_order&gt;3,OFFSET(VolSkewCoef,4,impvol_order-2)*E55^4,0)+IF(impvol_order&gt;4,OFFSET(VolSkewCoef,5,impvol_order-2)*E55^5,0)</f>
        <v>0.514727047546688</v>
      </c>
      <c r="J55" s="64" t="n">
        <f aca="true">OFFSET(VolSkewCoef,0,impvol_order-2)+OFFSET(VolSkewCoef,1,impvol_order-2)*G55+OFFSET(VolSkewCoef,2,impvol_order-2)*G55^2+IF(impvol_order&gt;2,OFFSET(VolSkewCoef,3,impvol_order-2)*G55^3,0)+IF(impvol_order&gt;3,OFFSET(VolSkewCoef,4,impvol_order-2)*G55^4,0)+IF(impvol_order&gt;4,OFFSET(VolSkewCoef,5,impvol_order-2)*G55^5,0)</f>
        <v>0.514718695324942</v>
      </c>
      <c r="L55" s="79" t="e">
        <f aca="false">EURO(UnderlyingPrice,$D55,IntRate,Yield,$I55,$D$6,L$12,0)</f>
        <v>#NAME?</v>
      </c>
      <c r="M55" s="79" t="e">
        <f aca="false">EURO(UnderlyingPrice,$D55,IntRate,Yield,$I55,$D$6,M$12,0)</f>
        <v>#NAME?</v>
      </c>
      <c r="O55" s="79" t="e">
        <f aca="false">EURO(UnderlyingPrice,$D55*(1+$P$8),IntRate,Yield,$H55,Expiry-Today,O$12,0)</f>
        <v>#NAME?</v>
      </c>
      <c r="P55" s="79" t="e">
        <f aca="false">EURO(UnderlyingPrice,$D55*(1+$P$8),IntRate,Yield,$H55,Expiry-Today,P$12,0)</f>
        <v>#NAME?</v>
      </c>
      <c r="R55" s="79" t="e">
        <f aca="false">EURO(UnderlyingPrice,$D55*(1-$P$8),IntRate,Yield,$J55,Expiry-Today,R$12,0)</f>
        <v>#NAME?</v>
      </c>
      <c r="S55" s="79" t="e">
        <f aca="false">EURO(UnderlyingPrice,$D55*(1-$P$8),IntRate,Yield,$J55,Expiry-Today,S$12,0)</f>
        <v>#NAME?</v>
      </c>
      <c r="U55" s="80" t="e">
        <f aca="false">(O55+R55-2*L55)/($P$8*D55)^2</f>
        <v>#NAME?</v>
      </c>
      <c r="V55" s="80"/>
      <c r="W55" s="81" t="e">
        <f aca="false">U55/$D$9</f>
        <v>#NAME?</v>
      </c>
      <c r="Z55" s="80" t="n">
        <f aca="false">(1/(D55*SQRT(2*PI()*T/365.25*ATMImpVol^2)))</f>
        <v>0.272134524701897</v>
      </c>
      <c r="AA55" s="80" t="n">
        <f aca="false">LN(D55/UnderlyingPrice)+0.5*T/365.25*ATMImpVol^2</f>
        <v>-0.0267804457048127</v>
      </c>
      <c r="AB55" s="80" t="n">
        <f aca="false">-(AA55^2)</f>
        <v>-0.00071719227214842</v>
      </c>
      <c r="AC55" s="80" t="n">
        <f aca="false">AB55/(2*T/365.25*ATMImpVol^2)</f>
        <v>-0.00333401696595267</v>
      </c>
      <c r="AD55" s="82" t="n">
        <f aca="false">EXP(AC55)</f>
        <v>0.996671534697119</v>
      </c>
      <c r="AE55" s="82" t="n">
        <f aca="false">AD55*Z55</f>
        <v>0.271228734378711</v>
      </c>
      <c r="AF55" s="82"/>
      <c r="AG55" s="83" t="n">
        <f aca="false">(LN($D55/UnderlyingPrice)+0.5*ATMImpVol^2*(T/365.25))/(ATMImpVol*SQRT(T/365.25))</f>
        <v>-0.0816580304189695</v>
      </c>
      <c r="AH55" s="83" t="n">
        <f aca="false">(LN(($D55*(1+$P$8))/UnderlyingPrice)+0.5*ATMImpVol^2*(T/365.25))/(ATMImpVol*SQRT(T/365.25))</f>
        <v>-0.0801338283273858</v>
      </c>
      <c r="AI55" s="83" t="n">
        <f aca="false">(LN($D55*(1-$P$8)/UnderlyingPrice)+0.5*ATMImpVol^2*(T/365.25))/(ATMImpVol*SQRT(T/365.25))</f>
        <v>-0.083182994802204</v>
      </c>
      <c r="AJ55" s="81"/>
      <c r="AK55" s="83" t="e">
        <f aca="false">W55/(AH55-AI55)*(D55*2*$P$8)</f>
        <v>#NAME?</v>
      </c>
      <c r="AL55" s="83"/>
      <c r="AM55" s="84" t="n">
        <v>1.1</v>
      </c>
      <c r="AN55" s="85" t="n">
        <f aca="false">NORMDIST(AM55,0,1,FALSE())</f>
        <v>0.217852177032551</v>
      </c>
      <c r="AX55" s="87" t="n">
        <f aca="true">OFFSET(ENAVolCoef,0,impvol_order-2)+OFFSET(ENAVolCoef,1,impvol_order-2)*E55+OFFSET(ENAVolCoef,2,impvol_order-2)*E55^2+IF(impvol_order&gt;2,OFFSET(ENAVolCoef,3,impvol_order-2)*E55^3,0)+IF(impvol_order&gt;3,OFFSET(ENAVolCoef,4,impvol_order-2)*E55^4,0)+IF(impvol_order&gt;4,OFFSET(ENAVolCoef,5,impvol_order-2)*E55^5,0)</f>
        <v>0.489681177274932</v>
      </c>
      <c r="AY55" s="87" t="n">
        <f aca="true">OFFSET(ENAVolCoef,0,impvol_order-2)+OFFSET(ENAVolCoef,1,impvol_order-2)*F55+OFFSET(ENAVolCoef,2,impvol_order-2)*F55^2+IF(impvol_order&gt;2,OFFSET(ENAVolCoef,3,impvol_order-2)*F55^3,0)+IF(impvol_order&gt;3,OFFSET(ENAVolCoef,4,impvol_order-2)*F55^4,0)+IF(impvol_order&gt;4,OFFSET(ENAVolCoef,5,impvol_order-2)*F55^5,0)</f>
        <v>0.489686572860905</v>
      </c>
      <c r="AZ55" s="87" t="n">
        <f aca="true">OFFSET(ENAVolCoef,0,impvol_order-2)+OFFSET(ENAVolCoef,1,impvol_order-2)*G55+OFFSET(ENAVolCoef,2,impvol_order-2)*G55^2+IF(impvol_order&gt;2,OFFSET(ENAVolCoef,3,impvol_order-2)*G55^3,0)+IF(impvol_order&gt;3,OFFSET(ENAVolCoef,4,impvol_order-2)*G55^4,0)+IF(impvol_order&gt;4,OFFSET(ENAVolCoef,5,impvol_order-2)*G55^5,0)</f>
        <v>0.489675859679484</v>
      </c>
      <c r="BB55" s="48" t="e">
        <f aca="false">EURO(UnderlyingPrice,$D55,IntRate,Yield,AX55,$D$6,1,0)</f>
        <v>#NAME?</v>
      </c>
      <c r="BC55" s="48" t="e">
        <f aca="false">EURO(UnderlyingPrice,$D55*(1+$P$8),IntRate,Yield,AY55,$D$6,1,0)</f>
        <v>#NAME?</v>
      </c>
      <c r="BD55" s="48" t="e">
        <f aca="false">EURO(UnderlyingPrice,$D55*(1-$P$8),IntRate,Yield,AZ55,$D$6,1,0)</f>
        <v>#NAME?</v>
      </c>
      <c r="BF55" s="80" t="e">
        <f aca="false">(BC55+BD55-2*BB55)/($P$8*$D55)^2</f>
        <v>#NAME?</v>
      </c>
      <c r="BG55" s="48" t="e">
        <f aca="false">+BF55/$D$9</f>
        <v>#NAME?</v>
      </c>
      <c r="BI55" s="79" t="e">
        <f aca="false">+BB55-L55</f>
        <v>#NAME?</v>
      </c>
      <c r="BJ55" s="65" t="e">
        <f aca="false">+BI55/BB55</f>
        <v>#NAME?</v>
      </c>
    </row>
    <row r="56" customFormat="false" ht="11.25" hidden="false" customHeight="false" outlineLevel="0" collapsed="false">
      <c r="C56" s="77" t="n">
        <v>43</v>
      </c>
      <c r="D56" s="78" t="n">
        <f aca="true">D55+(ROUNDUP(MAX(StrikeRange),1)-ROUNDDOWN(MIN(StrikeRange),1))/100</f>
        <v>4.50500000000001</v>
      </c>
      <c r="E56" s="64" t="n">
        <f aca="false">+D56/UnderlyingPrice-1</f>
        <v>-0.0701754385964899</v>
      </c>
      <c r="F56" s="64" t="n">
        <f aca="false">+D56*(1+$P$8)/UnderlyingPrice-1</f>
        <v>-0.0697105263157881</v>
      </c>
      <c r="G56" s="64" t="n">
        <f aca="false">+D56*(1-$P$8)/UnderlyingPrice-1</f>
        <v>-0.0706403508771917</v>
      </c>
      <c r="H56" s="64" t="n">
        <f aca="true">OFFSET(VolSkewCoef,0,impvol_order-2)+OFFSET(VolSkewCoef,1,impvol_order-2)*F56+OFFSET(VolSkewCoef,2,impvol_order-2)*F56^2+IF(impvol_order&gt;2,OFFSET(VolSkewCoef,3,impvol_order-2)*F56^3,0)+IF(impvol_order&gt;3,OFFSET(VolSkewCoef,4,impvol_order-2)*F56^4,0)+IF(impvol_order&gt;4,OFFSET(VolSkewCoef,5,impvol_order-2)*F56^5,0)</f>
        <v>0.514880739558662</v>
      </c>
      <c r="I56" s="64" t="n">
        <f aca="true">OFFSET(VolSkewCoef,0,impvol_order-2)+OFFSET(VolSkewCoef,1,impvol_order-2)*E56+OFFSET(VolSkewCoef,2,impvol_order-2)*E56^2+IF(impvol_order&gt;2,OFFSET(VolSkewCoef,3,impvol_order-2)*E56^3,0)+IF(impvol_order&gt;3,OFFSET(VolSkewCoef,4,impvol_order-2)*E56^4,0)+IF(impvol_order&gt;4,OFFSET(VolSkewCoef,5,impvol_order-2)*E56^5,0)</f>
        <v>0.514870674820323</v>
      </c>
      <c r="J56" s="64" t="n">
        <f aca="true">OFFSET(VolSkewCoef,0,impvol_order-2)+OFFSET(VolSkewCoef,1,impvol_order-2)*G56+OFFSET(VolSkewCoef,2,impvol_order-2)*G56^2+IF(impvol_order&gt;2,OFFSET(VolSkewCoef,3,impvol_order-2)*G56^3,0)+IF(impvol_order&gt;3,OFFSET(VolSkewCoef,4,impvol_order-2)*G56^4,0)+IF(impvol_order&gt;4,OFFSET(VolSkewCoef,5,impvol_order-2)*G56^5,0)</f>
        <v>0.514860708910039</v>
      </c>
      <c r="L56" s="79" t="e">
        <f aca="false">EURO(UnderlyingPrice,$D56,IntRate,Yield,$I56,$D$6,L$12,0)</f>
        <v>#NAME?</v>
      </c>
      <c r="M56" s="79" t="e">
        <f aca="false">EURO(UnderlyingPrice,$D56,IntRate,Yield,$I56,$D$6,M$12,0)</f>
        <v>#NAME?</v>
      </c>
      <c r="O56" s="79" t="e">
        <f aca="false">EURO(UnderlyingPrice,$D56*(1+$P$8),IntRate,Yield,$H56,Expiry-Today,O$12,0)</f>
        <v>#NAME?</v>
      </c>
      <c r="P56" s="79" t="e">
        <f aca="false">EURO(UnderlyingPrice,$D56*(1+$P$8),IntRate,Yield,$H56,Expiry-Today,P$12,0)</f>
        <v>#NAME?</v>
      </c>
      <c r="R56" s="79" t="e">
        <f aca="false">EURO(UnderlyingPrice,$D56*(1-$P$8),IntRate,Yield,$J56,Expiry-Today,R$12,0)</f>
        <v>#NAME?</v>
      </c>
      <c r="S56" s="79" t="e">
        <f aca="false">EURO(UnderlyingPrice,$D56*(1-$P$8),IntRate,Yield,$J56,Expiry-Today,S$12,0)</f>
        <v>#NAME?</v>
      </c>
      <c r="U56" s="80" t="e">
        <f aca="false">(O56+R56-2*L56)/($P$8*D56)^2</f>
        <v>#NAME?</v>
      </c>
      <c r="V56" s="80"/>
      <c r="W56" s="81" t="e">
        <f aca="false">U56/$D$9</f>
        <v>#NAME?</v>
      </c>
      <c r="Z56" s="80" t="n">
        <f aca="false">(1/(D56*SQRT(2*PI()*T/365.25*ATMImpVol^2)))</f>
        <v>0.270020272012759</v>
      </c>
      <c r="AA56" s="80" t="n">
        <f aca="false">LN(D56/UnderlyingPrice)+0.5*T/365.25*ATMImpVol^2</f>
        <v>-0.0189809632699889</v>
      </c>
      <c r="AB56" s="80" t="n">
        <f aca="false">-(AA56^2)</f>
        <v>-0.000360276966656668</v>
      </c>
      <c r="AC56" s="80" t="n">
        <f aca="false">AB56/(2*T/365.25*ATMImpVol^2)</f>
        <v>-0.00167482217241002</v>
      </c>
      <c r="AD56" s="82" t="n">
        <f aca="false">EXP(AC56)</f>
        <v>0.998326579559585</v>
      </c>
      <c r="AE56" s="82" t="n">
        <f aca="false">AD56*Z56</f>
        <v>0.269568414570247</v>
      </c>
      <c r="AF56" s="82"/>
      <c r="AG56" s="83" t="n">
        <f aca="false">(LN($D56/UnderlyingPrice)+0.5*ATMImpVol^2*(T/365.25))/(ATMImpVol*SQRT(T/365.25))</f>
        <v>-0.0578761120395975</v>
      </c>
      <c r="AH56" s="83" t="n">
        <f aca="false">(LN(($D56*(1+$P$8))/UnderlyingPrice)+0.5*ATMImpVol^2*(T/365.25))/(ATMImpVol*SQRT(T/365.25))</f>
        <v>-0.0563519099480135</v>
      </c>
      <c r="AI56" s="83" t="n">
        <f aca="false">(LN($D56*(1-$P$8)/UnderlyingPrice)+0.5*ATMImpVol^2*(T/365.25))/(ATMImpVol*SQRT(T/365.25))</f>
        <v>-0.0594010764228319</v>
      </c>
      <c r="AJ56" s="81"/>
      <c r="AK56" s="83" t="e">
        <f aca="false">W56/(AH56-AI56)*(D56*2*$P$8)</f>
        <v>#NAME?</v>
      </c>
      <c r="AL56" s="83"/>
      <c r="AM56" s="84" t="n">
        <v>1.2</v>
      </c>
      <c r="AN56" s="85" t="n">
        <f aca="false">NORMDIST(AM56,0,1,FALSE())</f>
        <v>0.194186054983213</v>
      </c>
      <c r="AX56" s="87" t="n">
        <f aca="true">OFFSET(ENAVolCoef,0,impvol_order-2)+OFFSET(ENAVolCoef,1,impvol_order-2)*E56+OFFSET(ENAVolCoef,2,impvol_order-2)*E56^2+IF(impvol_order&gt;2,OFFSET(ENAVolCoef,3,impvol_order-2)*E56^3,0)+IF(impvol_order&gt;3,OFFSET(ENAVolCoef,4,impvol_order-2)*E56^4,0)+IF(impvol_order&gt;4,OFFSET(ENAVolCoef,5,impvol_order-2)*E56^5,0)</f>
        <v>0.489774585572889</v>
      </c>
      <c r="AY56" s="87" t="n">
        <f aca="true">OFFSET(ENAVolCoef,0,impvol_order-2)+OFFSET(ENAVolCoef,1,impvol_order-2)*F56+OFFSET(ENAVolCoef,2,impvol_order-2)*F56^2+IF(impvol_order&gt;2,OFFSET(ENAVolCoef,3,impvol_order-2)*F56^3,0)+IF(impvol_order&gt;3,OFFSET(ENAVolCoef,4,impvol_order-2)*F56^4,0)+IF(impvol_order&gt;4,OFFSET(ENAVolCoef,5,impvol_order-2)*F56^5,0)</f>
        <v>0.489781246630941</v>
      </c>
      <c r="AZ56" s="87" t="n">
        <f aca="true">OFFSET(ENAVolCoef,0,impvol_order-2)+OFFSET(ENAVolCoef,1,impvol_order-2)*G56+OFFSET(ENAVolCoef,2,impvol_order-2)*G56^2+IF(impvol_order&gt;2,OFFSET(ENAVolCoef,3,impvol_order-2)*G56^3,0)+IF(impvol_order&gt;3,OFFSET(ENAVolCoef,4,impvol_order-2)*G56^4,0)+IF(impvol_order&gt;4,OFFSET(ENAVolCoef,5,impvol_order-2)*G56^5,0)</f>
        <v>0.489768002767177</v>
      </c>
      <c r="BB56" s="48" t="e">
        <f aca="false">EURO(UnderlyingPrice,$D56,IntRate,Yield,AX56,$D$6,1,0)</f>
        <v>#NAME?</v>
      </c>
      <c r="BC56" s="48" t="e">
        <f aca="false">EURO(UnderlyingPrice,$D56*(1+$P$8),IntRate,Yield,AY56,$D$6,1,0)</f>
        <v>#NAME?</v>
      </c>
      <c r="BD56" s="48" t="e">
        <f aca="false">EURO(UnderlyingPrice,$D56*(1-$P$8),IntRate,Yield,AZ56,$D$6,1,0)</f>
        <v>#NAME?</v>
      </c>
      <c r="BF56" s="80" t="e">
        <f aca="false">(BC56+BD56-2*BB56)/($P$8*$D56)^2</f>
        <v>#NAME?</v>
      </c>
      <c r="BG56" s="48" t="e">
        <f aca="false">+BF56/$D$9</f>
        <v>#NAME?</v>
      </c>
      <c r="BI56" s="79" t="e">
        <f aca="false">+BB56-L56</f>
        <v>#NAME?</v>
      </c>
      <c r="BJ56" s="65" t="e">
        <f aca="false">+BI56/BB56</f>
        <v>#NAME?</v>
      </c>
    </row>
    <row r="57" customFormat="false" ht="11.25" hidden="false" customHeight="false" outlineLevel="0" collapsed="false">
      <c r="C57" s="77" t="n">
        <v>44</v>
      </c>
      <c r="D57" s="78" t="n">
        <f aca="true">D56+(ROUNDUP(MAX(StrikeRange),1)-ROUNDDOWN(MIN(StrikeRange),1))/100</f>
        <v>4.54000000000001</v>
      </c>
      <c r="E57" s="64" t="n">
        <f aca="false">+D57/UnderlyingPrice-1</f>
        <v>-0.0629514963880276</v>
      </c>
      <c r="F57" s="64" t="n">
        <f aca="false">+D57*(1+$P$8)/UnderlyingPrice-1</f>
        <v>-0.0624829721362217</v>
      </c>
      <c r="G57" s="64" t="n">
        <f aca="false">+D57*(1-$P$8)/UnderlyingPrice-1</f>
        <v>-0.0634200206398334</v>
      </c>
      <c r="H57" s="64" t="n">
        <f aca="true">OFFSET(VolSkewCoef,0,impvol_order-2)+OFFSET(VolSkewCoef,1,impvol_order-2)*F57+OFFSET(VolSkewCoef,2,impvol_order-2)*F57^2+IF(impvol_order&gt;2,OFFSET(VolSkewCoef,3,impvol_order-2)*F57^3,0)+IF(impvol_order&gt;3,OFFSET(VolSkewCoef,4,impvol_order-2)*F57^4,0)+IF(impvol_order&gt;4,OFFSET(VolSkewCoef,5,impvol_order-2)*F57^5,0)</f>
        <v>0.515049840688879</v>
      </c>
      <c r="I57" s="64" t="n">
        <f aca="true">OFFSET(VolSkewCoef,0,impvol_order-2)+OFFSET(VolSkewCoef,1,impvol_order-2)*E57+OFFSET(VolSkewCoef,2,impvol_order-2)*E57^2+IF(impvol_order&gt;2,OFFSET(VolSkewCoef,3,impvol_order-2)*E57^3,0)+IF(impvol_order&gt;3,OFFSET(VolSkewCoef,4,impvol_order-2)*E57^4,0)+IF(impvol_order&gt;4,OFFSET(VolSkewCoef,5,impvol_order-2)*E57^5,0)</f>
        <v>0.515038162989698</v>
      </c>
      <c r="J57" s="64" t="n">
        <f aca="true">OFFSET(VolSkewCoef,0,impvol_order-2)+OFFSET(VolSkewCoef,1,impvol_order-2)*G57+OFFSET(VolSkewCoef,2,impvol_order-2)*G57^2+IF(impvol_order&gt;2,OFFSET(VolSkewCoef,3,impvol_order-2)*G57^3,0)+IF(impvol_order&gt;3,OFFSET(VolSkewCoef,4,impvol_order-2)*G57^4,0)+IF(impvol_order&gt;4,OFFSET(VolSkewCoef,5,impvol_order-2)*G57^5,0)</f>
        <v>0.515026584055905</v>
      </c>
      <c r="L57" s="79" t="e">
        <f aca="false">EURO(UnderlyingPrice,$D57,IntRate,Yield,$I57,$D$6,L$12,0)</f>
        <v>#NAME?</v>
      </c>
      <c r="M57" s="79" t="e">
        <f aca="false">EURO(UnderlyingPrice,$D57,IntRate,Yield,$I57,$D$6,M$12,0)</f>
        <v>#NAME?</v>
      </c>
      <c r="O57" s="79" t="e">
        <f aca="false">EURO(UnderlyingPrice,$D57*(1+$P$8),IntRate,Yield,$H57,Expiry-Today,O$12,0)</f>
        <v>#NAME?</v>
      </c>
      <c r="P57" s="79" t="e">
        <f aca="false">EURO(UnderlyingPrice,$D57*(1+$P$8),IntRate,Yield,$H57,Expiry-Today,P$12,0)</f>
        <v>#NAME?</v>
      </c>
      <c r="R57" s="79" t="e">
        <f aca="false">EURO(UnderlyingPrice,$D57*(1-$P$8),IntRate,Yield,$J57,Expiry-Today,R$12,0)</f>
        <v>#NAME?</v>
      </c>
      <c r="S57" s="79" t="e">
        <f aca="false">EURO(UnderlyingPrice,$D57*(1-$P$8),IntRate,Yield,$J57,Expiry-Today,S$12,0)</f>
        <v>#NAME?</v>
      </c>
      <c r="U57" s="80" t="e">
        <f aca="false">(O57+R57-2*L57)/($P$8*D57)^2</f>
        <v>#NAME?</v>
      </c>
      <c r="V57" s="80"/>
      <c r="W57" s="81" t="e">
        <f aca="false">U57/$D$9</f>
        <v>#NAME?</v>
      </c>
      <c r="Z57" s="80" t="n">
        <f aca="false">(1/(D57*SQRT(2*PI()*T/365.25*ATMImpVol^2)))</f>
        <v>0.267938617933366</v>
      </c>
      <c r="AA57" s="80" t="n">
        <f aca="false">LN(D57/UnderlyingPrice)+0.5*T/365.25*ATMImpVol^2</f>
        <v>-0.0112418422770335</v>
      </c>
      <c r="AB57" s="80" t="n">
        <f aca="false">-(AA57^2)</f>
        <v>-0.000126379017781698</v>
      </c>
      <c r="AC57" s="80" t="n">
        <f aca="false">AB57/(2*T/365.25*ATMImpVol^2)</f>
        <v>-0.000587499065156435</v>
      </c>
      <c r="AD57" s="82" t="n">
        <f aca="false">EXP(AC57)</f>
        <v>0.999412673478628</v>
      </c>
      <c r="AE57" s="82" t="n">
        <f aca="false">AD57*Z57</f>
        <v>0.267781250476954</v>
      </c>
      <c r="AF57" s="82"/>
      <c r="AG57" s="83" t="n">
        <f aca="false">(LN($D57/UnderlyingPrice)+0.5*ATMImpVol^2*(T/365.25))/(ATMImpVol*SQRT(T/365.25))</f>
        <v>-0.0342782457298046</v>
      </c>
      <c r="AH57" s="83" t="n">
        <f aca="false">(LN(($D57*(1+$P$8))/UnderlyingPrice)+0.5*ATMImpVol^2*(T/365.25))/(ATMImpVol*SQRT(T/365.25))</f>
        <v>-0.0327540436382211</v>
      </c>
      <c r="AI57" s="83" t="n">
        <f aca="false">(LN($D57*(1-$P$8)/UnderlyingPrice)+0.5*ATMImpVol^2*(T/365.25))/(ATMImpVol*SQRT(T/365.25))</f>
        <v>-0.0358032101130387</v>
      </c>
      <c r="AJ57" s="81"/>
      <c r="AK57" s="83" t="e">
        <f aca="false">W57/(AH57-AI57)*(D57*2*$P$8)</f>
        <v>#NAME?</v>
      </c>
      <c r="AL57" s="83"/>
      <c r="AM57" s="84" t="n">
        <v>1.3</v>
      </c>
      <c r="AN57" s="85" t="n">
        <f aca="false">NORMDIST(AM57,0,1,FALSE())</f>
        <v>0.171368592047807</v>
      </c>
      <c r="AX57" s="87" t="n">
        <f aca="true">OFFSET(ENAVolCoef,0,impvol_order-2)+OFFSET(ENAVolCoef,1,impvol_order-2)*E57+OFFSET(ENAVolCoef,2,impvol_order-2)*E57^2+IF(impvol_order&gt;2,OFFSET(ENAVolCoef,3,impvol_order-2)*E57^3,0)+IF(impvol_order&gt;3,OFFSET(ENAVolCoef,4,impvol_order-2)*E57^4,0)+IF(impvol_order&gt;4,OFFSET(ENAVolCoef,5,impvol_order-2)*E57^5,0)</f>
        <v>0.48988688699678</v>
      </c>
      <c r="AY57" s="87" t="n">
        <f aca="true">OFFSET(ENAVolCoef,0,impvol_order-2)+OFFSET(ENAVolCoef,1,impvol_order-2)*F57+OFFSET(ENAVolCoef,2,impvol_order-2)*F57^2+IF(impvol_order&gt;2,OFFSET(ENAVolCoef,3,impvol_order-2)*F57^3,0)+IF(impvol_order&gt;3,OFFSET(ENAVolCoef,4,impvol_order-2)*F57^4,0)+IF(impvol_order&gt;4,OFFSET(ENAVolCoef,5,impvol_order-2)*F57^5,0)</f>
        <v>0.489894817426291</v>
      </c>
      <c r="AZ57" s="87" t="n">
        <f aca="true">OFFSET(ENAVolCoef,0,impvol_order-2)+OFFSET(ENAVolCoef,1,impvol_order-2)*G57+OFFSET(ENAVolCoef,2,impvol_order-2)*G57^2+IF(impvol_order&gt;2,OFFSET(ENAVolCoef,3,impvol_order-2)*G57^3,0)+IF(impvol_order&gt;3,OFFSET(ENAVolCoef,4,impvol_order-2)*G57^4,0)+IF(impvol_order&gt;4,OFFSET(ENAVolCoef,5,impvol_order-2)*G57^5,0)</f>
        <v>0.489879035060905</v>
      </c>
      <c r="BB57" s="48" t="e">
        <f aca="false">EURO(UnderlyingPrice,$D57,IntRate,Yield,AX57,$D$6,1,0)</f>
        <v>#NAME?</v>
      </c>
      <c r="BC57" s="48" t="e">
        <f aca="false">EURO(UnderlyingPrice,$D57*(1+$P$8),IntRate,Yield,AY57,$D$6,1,0)</f>
        <v>#NAME?</v>
      </c>
      <c r="BD57" s="48" t="e">
        <f aca="false">EURO(UnderlyingPrice,$D57*(1-$P$8),IntRate,Yield,AZ57,$D$6,1,0)</f>
        <v>#NAME?</v>
      </c>
      <c r="BF57" s="80" t="e">
        <f aca="false">(BC57+BD57-2*BB57)/($P$8*$D57)^2</f>
        <v>#NAME?</v>
      </c>
      <c r="BG57" s="48" t="e">
        <f aca="false">+BF57/$D$9</f>
        <v>#NAME?</v>
      </c>
      <c r="BI57" s="79" t="e">
        <f aca="false">+BB57-L57</f>
        <v>#NAME?</v>
      </c>
      <c r="BJ57" s="65" t="e">
        <f aca="false">+BI57/BB57</f>
        <v>#NAME?</v>
      </c>
    </row>
    <row r="58" customFormat="false" ht="11.25" hidden="false" customHeight="false" outlineLevel="0" collapsed="false">
      <c r="C58" s="77" t="n">
        <v>45</v>
      </c>
      <c r="D58" s="78" t="n">
        <f aca="true">D57+(ROUNDUP(MAX(StrikeRange),1)-ROUNDDOWN(MIN(StrikeRange),1))/100</f>
        <v>4.57500000000001</v>
      </c>
      <c r="E58" s="64" t="n">
        <f aca="false">+D58/UnderlyingPrice-1</f>
        <v>-0.0557275541795652</v>
      </c>
      <c r="F58" s="64" t="n">
        <f aca="false">+D58*(1+$P$8)/UnderlyingPrice-1</f>
        <v>-0.0552554179566551</v>
      </c>
      <c r="G58" s="64" t="n">
        <f aca="false">+D58*(1-$P$8)/UnderlyingPrice-1</f>
        <v>-0.0561996904024753</v>
      </c>
      <c r="H58" s="64" t="n">
        <f aca="true">OFFSET(VolSkewCoef,0,impvol_order-2)+OFFSET(VolSkewCoef,1,impvol_order-2)*F58+OFFSET(VolSkewCoef,2,impvol_order-2)*F58^2+IF(impvol_order&gt;2,OFFSET(VolSkewCoef,3,impvol_order-2)*F58^3,0)+IF(impvol_order&gt;3,OFFSET(VolSkewCoef,4,impvol_order-2)*F58^4,0)+IF(impvol_order&gt;4,OFFSET(VolSkewCoef,5,impvol_order-2)*F58^5,0)</f>
        <v>0.515242420060775</v>
      </c>
      <c r="I58" s="64" t="n">
        <f aca="true">OFFSET(VolSkewCoef,0,impvol_order-2)+OFFSET(VolSkewCoef,1,impvol_order-2)*E58+OFFSET(VolSkewCoef,2,impvol_order-2)*E58^2+IF(impvol_order&gt;2,OFFSET(VolSkewCoef,3,impvol_order-2)*E58^3,0)+IF(impvol_order&gt;3,OFFSET(VolSkewCoef,4,impvol_order-2)*E58^4,0)+IF(impvol_order&gt;4,OFFSET(VolSkewCoef,5,impvol_order-2)*E58^5,0)</f>
        <v>0.515229130675296</v>
      </c>
      <c r="J58" s="64" t="n">
        <f aca="true">OFFSET(VolSkewCoef,0,impvol_order-2)+OFFSET(VolSkewCoef,1,impvol_order-2)*G58+OFFSET(VolSkewCoef,2,impvol_order-2)*G58^2+IF(impvol_order&gt;2,OFFSET(VolSkewCoef,3,impvol_order-2)*G58^3,0)+IF(impvol_order&gt;3,OFFSET(VolSkewCoef,4,impvol_order-2)*G58^4,0)+IF(impvol_order&gt;4,OFFSET(VolSkewCoef,5,impvol_order-2)*G58^5,0)</f>
        <v>0.515215939954803</v>
      </c>
      <c r="L58" s="79" t="e">
        <f aca="false">EURO(UnderlyingPrice,$D58,IntRate,Yield,$I58,$D$6,L$12,0)</f>
        <v>#NAME?</v>
      </c>
      <c r="M58" s="79" t="e">
        <f aca="false">EURO(UnderlyingPrice,$D58,IntRate,Yield,$I58,$D$6,M$12,0)</f>
        <v>#NAME?</v>
      </c>
      <c r="O58" s="79" t="e">
        <f aca="false">EURO(UnderlyingPrice,$D58*(1+$P$8),IntRate,Yield,$H58,Expiry-Today,O$12,0)</f>
        <v>#NAME?</v>
      </c>
      <c r="P58" s="79" t="e">
        <f aca="false">EURO(UnderlyingPrice,$D58*(1+$P$8),IntRate,Yield,$H58,Expiry-Today,P$12,0)</f>
        <v>#NAME?</v>
      </c>
      <c r="R58" s="79" t="e">
        <f aca="false">EURO(UnderlyingPrice,$D58*(1-$P$8),IntRate,Yield,$J58,Expiry-Today,R$12,0)</f>
        <v>#NAME?</v>
      </c>
      <c r="S58" s="79" t="e">
        <f aca="false">EURO(UnderlyingPrice,$D58*(1-$P$8),IntRate,Yield,$J58,Expiry-Today,S$12,0)</f>
        <v>#NAME?</v>
      </c>
      <c r="U58" s="80" t="e">
        <f aca="false">(O58+R58-2*L58)/($P$8*D58)^2</f>
        <v>#NAME?</v>
      </c>
      <c r="V58" s="80"/>
      <c r="W58" s="81" t="e">
        <f aca="false">U58/$D$9</f>
        <v>#NAME?</v>
      </c>
      <c r="Z58" s="80" t="n">
        <f aca="false">(1/(D58*SQRT(2*PI()*T/365.25*ATMImpVol^2)))</f>
        <v>0.265888814298903</v>
      </c>
      <c r="AA58" s="80" t="n">
        <f aca="false">LN(D58/UnderlyingPrice)+0.5*T/365.25*ATMImpVol^2</f>
        <v>-0.0035621556028055</v>
      </c>
      <c r="AB58" s="80" t="n">
        <f aca="false">-(AA58^2)</f>
        <v>-1.26889525385986E-005</v>
      </c>
      <c r="AC58" s="80" t="n">
        <f aca="false">AB58/(2*T/365.25*ATMImpVol^2)</f>
        <v>-5.89872265593808E-005</v>
      </c>
      <c r="AD58" s="82" t="n">
        <f aca="false">EXP(AC58)</f>
        <v>0.999941014513153</v>
      </c>
      <c r="AE58" s="82" t="n">
        <f aca="false">AD58*Z58</f>
        <v>0.265873130717744</v>
      </c>
      <c r="AF58" s="82"/>
      <c r="AG58" s="83" t="n">
        <f aca="false">(LN($D58/UnderlyingPrice)+0.5*ATMImpVol^2*(T/365.25))/(ATMImpVol*SQRT(T/365.25))</f>
        <v>-0.0108616045370268</v>
      </c>
      <c r="AH58" s="83" t="n">
        <f aca="false">(LN(($D58*(1+$P$8))/UnderlyingPrice)+0.5*ATMImpVol^2*(T/365.25))/(ATMImpVol*SQRT(T/365.25))</f>
        <v>-0.00933740244544331</v>
      </c>
      <c r="AI58" s="83" t="n">
        <f aca="false">(LN($D58*(1-$P$8)/UnderlyingPrice)+0.5*ATMImpVol^2*(T/365.25))/(ATMImpVol*SQRT(T/365.25))</f>
        <v>-0.0123865689202608</v>
      </c>
      <c r="AJ58" s="81"/>
      <c r="AK58" s="83" t="e">
        <f aca="false">W58/(AH58-AI58)*(D58*2*$P$8)</f>
        <v>#NAME?</v>
      </c>
      <c r="AL58" s="83"/>
      <c r="AM58" s="84" t="n">
        <v>1.4</v>
      </c>
      <c r="AN58" s="85" t="n">
        <f aca="false">NORMDIST(AM58,0,1,FALSE())</f>
        <v>0.149727465635745</v>
      </c>
      <c r="AX58" s="87" t="n">
        <f aca="true">OFFSET(ENAVolCoef,0,impvol_order-2)+OFFSET(ENAVolCoef,1,impvol_order-2)*E58+OFFSET(ENAVolCoef,2,impvol_order-2)*E58^2+IF(impvol_order&gt;2,OFFSET(ENAVolCoef,3,impvol_order-2)*E58^3,0)+IF(impvol_order&gt;3,OFFSET(ENAVolCoef,4,impvol_order-2)*E58^4,0)+IF(impvol_order&gt;4,OFFSET(ENAVolCoef,5,impvol_order-2)*E58^5,0)</f>
        <v>0.490017848728898</v>
      </c>
      <c r="AY58" s="87" t="n">
        <f aca="true">OFFSET(ENAVolCoef,0,impvol_order-2)+OFFSET(ENAVolCoef,1,impvol_order-2)*F58+OFFSET(ENAVolCoef,2,impvol_order-2)*F58^2+IF(impvol_order&gt;2,OFFSET(ENAVolCoef,3,impvol_order-2)*F58^3,0)+IF(impvol_order&gt;3,OFFSET(ENAVolCoef,4,impvol_order-2)*F58^4,0)+IF(impvol_order&gt;4,OFFSET(ENAVolCoef,5,impvol_order-2)*F58^5,0)</f>
        <v>0.490027052079845</v>
      </c>
      <c r="AZ58" s="87" t="n">
        <f aca="true">OFFSET(ENAVolCoef,0,impvol_order-2)+OFFSET(ENAVolCoef,1,impvol_order-2)*G58+OFFSET(ENAVolCoef,2,impvol_order-2)*G58^2+IF(impvol_order&gt;2,OFFSET(ENAVolCoef,3,impvol_order-2)*G58^3,0)+IF(impvol_order&gt;3,OFFSET(ENAVolCoef,4,impvol_order-2)*G58^4,0)+IF(impvol_order&gt;4,OFFSET(ENAVolCoef,5,impvol_order-2)*G58^5,0)</f>
        <v>0.490008724092011</v>
      </c>
      <c r="BB58" s="48" t="e">
        <f aca="false">EURO(UnderlyingPrice,$D58,IntRate,Yield,AX58,$D$6,1,0)</f>
        <v>#NAME?</v>
      </c>
      <c r="BC58" s="48" t="e">
        <f aca="false">EURO(UnderlyingPrice,$D58*(1+$P$8),IntRate,Yield,AY58,$D$6,1,0)</f>
        <v>#NAME?</v>
      </c>
      <c r="BD58" s="48" t="e">
        <f aca="false">EURO(UnderlyingPrice,$D58*(1-$P$8),IntRate,Yield,AZ58,$D$6,1,0)</f>
        <v>#NAME?</v>
      </c>
      <c r="BF58" s="80" t="e">
        <f aca="false">(BC58+BD58-2*BB58)/($P$8*$D58)^2</f>
        <v>#NAME?</v>
      </c>
      <c r="BG58" s="48" t="e">
        <f aca="false">+BF58/$D$9</f>
        <v>#NAME?</v>
      </c>
      <c r="BI58" s="79" t="e">
        <f aca="false">+BB58-L58</f>
        <v>#NAME?</v>
      </c>
      <c r="BJ58" s="65" t="e">
        <f aca="false">+BI58/BB58</f>
        <v>#NAME?</v>
      </c>
    </row>
    <row r="59" customFormat="false" ht="11.25" hidden="false" customHeight="false" outlineLevel="0" collapsed="false">
      <c r="C59" s="77" t="n">
        <v>46</v>
      </c>
      <c r="D59" s="78" t="n">
        <f aca="true">D58+(ROUNDUP(MAX(StrikeRange),1)-ROUNDDOWN(MIN(StrikeRange),1))/100</f>
        <v>4.61000000000001</v>
      </c>
      <c r="E59" s="64" t="n">
        <f aca="false">+D59/UnderlyingPrice-1</f>
        <v>-0.0485036119711029</v>
      </c>
      <c r="F59" s="64" t="n">
        <f aca="false">+D59*(1+$P$8)/UnderlyingPrice-1</f>
        <v>-0.0480278637770885</v>
      </c>
      <c r="G59" s="64" t="n">
        <f aca="false">+D59*(1-$P$8)/UnderlyingPrice-1</f>
        <v>-0.0489793601651173</v>
      </c>
      <c r="H59" s="64" t="n">
        <f aca="true">OFFSET(VolSkewCoef,0,impvol_order-2)+OFFSET(VolSkewCoef,1,impvol_order-2)*F59+OFFSET(VolSkewCoef,2,impvol_order-2)*F59^2+IF(impvol_order&gt;2,OFFSET(VolSkewCoef,3,impvol_order-2)*F59^3,0)+IF(impvol_order&gt;3,OFFSET(VolSkewCoef,4,impvol_order-2)*F59^4,0)+IF(impvol_order&gt;4,OFFSET(VolSkewCoef,5,impvol_order-2)*F59^5,0)</f>
        <v>0.515458095722477</v>
      </c>
      <c r="I59" s="64" t="n">
        <f aca="true">OFFSET(VolSkewCoef,0,impvol_order-2)+OFFSET(VolSkewCoef,1,impvol_order-2)*E59+OFFSET(VolSkewCoef,2,impvol_order-2)*E59^2+IF(impvol_order&gt;2,OFFSET(VolSkewCoef,3,impvol_order-2)*E59^3,0)+IF(impvol_order&gt;3,OFFSET(VolSkewCoef,4,impvol_order-2)*E59^4,0)+IF(impvol_order&gt;4,OFFSET(VolSkewCoef,5,impvol_order-2)*E59^5,0)</f>
        <v>0.515443196497595</v>
      </c>
      <c r="J59" s="64" t="n">
        <f aca="true">OFFSET(VolSkewCoef,0,impvol_order-2)+OFFSET(VolSkewCoef,1,impvol_order-2)*G59+OFFSET(VolSkewCoef,2,impvol_order-2)*G59^2+IF(impvol_order&gt;2,OFFSET(VolSkewCoef,3,impvol_order-2)*G59^3,0)+IF(impvol_order&gt;3,OFFSET(VolSkewCoef,4,impvol_order-2)*G59^4,0)+IF(impvol_order&gt;4,OFFSET(VolSkewCoef,5,impvol_order-2)*G59^5,0)</f>
        <v>0.515428395798997</v>
      </c>
      <c r="L59" s="79" t="e">
        <f aca="false">EURO(UnderlyingPrice,$D59,IntRate,Yield,$I59,$D$6,L$12,0)</f>
        <v>#NAME?</v>
      </c>
      <c r="M59" s="79" t="e">
        <f aca="false">EURO(UnderlyingPrice,$D59,IntRate,Yield,$I59,$D$6,M$12,0)</f>
        <v>#NAME?</v>
      </c>
      <c r="O59" s="79" t="e">
        <f aca="false">EURO(UnderlyingPrice,$D59*(1+$P$8),IntRate,Yield,$H59,Expiry-Today,O$12,0)</f>
        <v>#NAME?</v>
      </c>
      <c r="P59" s="79" t="e">
        <f aca="false">EURO(UnderlyingPrice,$D59*(1+$P$8),IntRate,Yield,$H59,Expiry-Today,P$12,0)</f>
        <v>#NAME?</v>
      </c>
      <c r="R59" s="79" t="e">
        <f aca="false">EURO(UnderlyingPrice,$D59*(1-$P$8),IntRate,Yield,$J59,Expiry-Today,R$12,0)</f>
        <v>#NAME?</v>
      </c>
      <c r="S59" s="79" t="e">
        <f aca="false">EURO(UnderlyingPrice,$D59*(1-$P$8),IntRate,Yield,$J59,Expiry-Today,S$12,0)</f>
        <v>#NAME?</v>
      </c>
      <c r="U59" s="80" t="e">
        <f aca="false">(O59+R59-2*L59)/($P$8*D59)^2</f>
        <v>#NAME?</v>
      </c>
      <c r="V59" s="80"/>
      <c r="W59" s="81" t="e">
        <f aca="false">U59/$D$9</f>
        <v>#NAME?</v>
      </c>
      <c r="Z59" s="80" t="n">
        <f aca="false">(1/(D59*SQRT(2*PI()*T/365.25*ATMImpVol^2)))</f>
        <v>0.263870135665397</v>
      </c>
      <c r="AA59" s="80" t="n">
        <f aca="false">LN(D59/UnderlyingPrice)+0.5*T/365.25*ATMImpVol^2</f>
        <v>0.00405900267826701</v>
      </c>
      <c r="AB59" s="80" t="n">
        <f aca="false">-(AA59^2)</f>
        <v>-1.64755027421788E-005</v>
      </c>
      <c r="AC59" s="80" t="n">
        <f aca="false">AB59/(2*T/365.25*ATMImpVol^2)</f>
        <v>-7.6589790211315E-005</v>
      </c>
      <c r="AD59" s="82" t="n">
        <f aca="false">EXP(AC59)</f>
        <v>0.999923413142712</v>
      </c>
      <c r="AE59" s="82" t="n">
        <f aca="false">AD59*Z59</f>
        <v>0.263849926680974</v>
      </c>
      <c r="AF59" s="82"/>
      <c r="AG59" s="83" t="n">
        <f aca="false">(LN($D59/UnderlyingPrice)+0.5*ATMImpVol^2*(T/365.25))/(ATMImpVol*SQRT(T/365.25))</f>
        <v>0.0123765738563881</v>
      </c>
      <c r="AH59" s="83" t="n">
        <f aca="false">(LN(($D59*(1+$P$8))/UnderlyingPrice)+0.5*ATMImpVol^2*(T/365.25))/(ATMImpVol*SQRT(T/365.25))</f>
        <v>0.0139007759479719</v>
      </c>
      <c r="AI59" s="83" t="n">
        <f aca="false">(LN($D59*(1-$P$8)/UnderlyingPrice)+0.5*ATMImpVol^2*(T/365.25))/(ATMImpVol*SQRT(T/365.25))</f>
        <v>0.0108516094731539</v>
      </c>
      <c r="AJ59" s="81"/>
      <c r="AK59" s="83" t="e">
        <f aca="false">W59/(AH59-AI59)*(D59*2*$P$8)</f>
        <v>#NAME?</v>
      </c>
      <c r="AL59" s="83"/>
      <c r="AM59" s="84" t="n">
        <v>1.5</v>
      </c>
      <c r="AN59" s="85" t="n">
        <f aca="false">NORMDIST(AM59,0,1,FALSE())</f>
        <v>0.129517595665892</v>
      </c>
      <c r="AX59" s="87" t="n">
        <f aca="true">OFFSET(ENAVolCoef,0,impvol_order-2)+OFFSET(ENAVolCoef,1,impvol_order-2)*E59+OFFSET(ENAVolCoef,2,impvol_order-2)*E59^2+IF(impvol_order&gt;2,OFFSET(ENAVolCoef,3,impvol_order-2)*E59^3,0)+IF(impvol_order&gt;3,OFFSET(ENAVolCoef,4,impvol_order-2)*E59^4,0)+IF(impvol_order&gt;4,OFFSET(ENAVolCoef,5,impvol_order-2)*E59^5,0)</f>
        <v>0.490167237951531</v>
      </c>
      <c r="AY59" s="87" t="n">
        <f aca="true">OFFSET(ENAVolCoef,0,impvol_order-2)+OFFSET(ENAVolCoef,1,impvol_order-2)*F59+OFFSET(ENAVolCoef,2,impvol_order-2)*F59^2+IF(impvol_order&gt;2,OFFSET(ENAVolCoef,3,impvol_order-2)*F59^3,0)+IF(impvol_order&gt;3,OFFSET(ENAVolCoef,4,impvol_order-2)*F59^4,0)+IF(impvol_order&gt;4,OFFSET(ENAVolCoef,5,impvol_order-2)*F59^5,0)</f>
        <v>0.490177717424492</v>
      </c>
      <c r="AZ59" s="87" t="n">
        <f aca="true">OFFSET(ENAVolCoef,0,impvol_order-2)+OFFSET(ENAVolCoef,1,impvol_order-2)*G59+OFFSET(ENAVolCoef,2,impvol_order-2)*G59^2+IF(impvol_order&gt;2,OFFSET(ENAVolCoef,3,impvol_order-2)*G59^3,0)+IF(impvol_order&gt;3,OFFSET(ENAVolCoef,4,impvol_order-2)*G59^4,0)+IF(impvol_order&gt;4,OFFSET(ENAVolCoef,5,impvol_order-2)*G59^5,0)</f>
        <v>0.490156837391837</v>
      </c>
      <c r="BB59" s="48" t="e">
        <f aca="false">EURO(UnderlyingPrice,$D59,IntRate,Yield,AX59,$D$6,1,0)</f>
        <v>#NAME?</v>
      </c>
      <c r="BC59" s="48" t="e">
        <f aca="false">EURO(UnderlyingPrice,$D59*(1+$P$8),IntRate,Yield,AY59,$D$6,1,0)</f>
        <v>#NAME?</v>
      </c>
      <c r="BD59" s="48" t="e">
        <f aca="false">EURO(UnderlyingPrice,$D59*(1-$P$8),IntRate,Yield,AZ59,$D$6,1,0)</f>
        <v>#NAME?</v>
      </c>
      <c r="BF59" s="80" t="e">
        <f aca="false">(BC59+BD59-2*BB59)/($P$8*$D59)^2</f>
        <v>#NAME?</v>
      </c>
      <c r="BG59" s="48" t="e">
        <f aca="false">+BF59/$D$9</f>
        <v>#NAME?</v>
      </c>
      <c r="BI59" s="79" t="e">
        <f aca="false">+BB59-L59</f>
        <v>#NAME?</v>
      </c>
      <c r="BJ59" s="65" t="e">
        <f aca="false">+BI59/BB59</f>
        <v>#NAME?</v>
      </c>
    </row>
    <row r="60" customFormat="false" ht="11.25" hidden="false" customHeight="false" outlineLevel="0" collapsed="false">
      <c r="C60" s="77" t="n">
        <v>47</v>
      </c>
      <c r="D60" s="78" t="n">
        <f aca="true">D59+(ROUNDUP(MAX(StrikeRange),1)-ROUNDDOWN(MIN(StrikeRange),1))/100</f>
        <v>4.64500000000001</v>
      </c>
      <c r="E60" s="64" t="n">
        <f aca="false">+D60/UnderlyingPrice-1</f>
        <v>-0.0412796697626405</v>
      </c>
      <c r="F60" s="64" t="n">
        <f aca="false">+D60*(1+$P$8)/UnderlyingPrice-1</f>
        <v>-0.0408003095975218</v>
      </c>
      <c r="G60" s="64" t="n">
        <f aca="false">+D60*(1-$P$8)/UnderlyingPrice-1</f>
        <v>-0.0417590299277592</v>
      </c>
      <c r="H60" s="64" t="n">
        <f aca="true">OFFSET(VolSkewCoef,0,impvol_order-2)+OFFSET(VolSkewCoef,1,impvol_order-2)*F60+OFFSET(VolSkewCoef,2,impvol_order-2)*F60^2+IF(impvol_order&gt;2,OFFSET(VolSkewCoef,3,impvol_order-2)*F60^3,0)+IF(impvol_order&gt;3,OFFSET(VolSkewCoef,4,impvol_order-2)*F60^4,0)+IF(impvol_order&gt;4,OFFSET(VolSkewCoef,5,impvol_order-2)*F60^5,0)</f>
        <v>0.515696485722109</v>
      </c>
      <c r="I60" s="64" t="n">
        <f aca="true">OFFSET(VolSkewCoef,0,impvol_order-2)+OFFSET(VolSkewCoef,1,impvol_order-2)*E60+OFFSET(VolSkewCoef,2,impvol_order-2)*E60^2+IF(impvol_order&gt;2,OFFSET(VolSkewCoef,3,impvol_order-2)*E60^3,0)+IF(impvol_order&gt;3,OFFSET(VolSkewCoef,4,impvol_order-2)*E60^4,0)+IF(impvol_order&gt;4,OFFSET(VolSkewCoef,5,impvol_order-2)*E60^5,0)</f>
        <v>0.515679979077076</v>
      </c>
      <c r="J60" s="64" t="n">
        <f aca="true">OFFSET(VolSkewCoef,0,impvol_order-2)+OFFSET(VolSkewCoef,1,impvol_order-2)*G60+OFFSET(VolSkewCoef,2,impvol_order-2)*G60^2+IF(impvol_order&gt;2,OFFSET(VolSkewCoef,3,impvol_order-2)*G60^3,0)+IF(impvol_order&gt;3,OFFSET(VolSkewCoef,4,impvol_order-2)*G60^4,0)+IF(impvol_order&gt;4,OFFSET(VolSkewCoef,5,impvol_order-2)*G60^5,0)</f>
        <v>0.51566357078075</v>
      </c>
      <c r="L60" s="79" t="e">
        <f aca="false">EURO(UnderlyingPrice,$D60,IntRate,Yield,$I60,$D$6,L$12,0)</f>
        <v>#NAME?</v>
      </c>
      <c r="M60" s="79" t="e">
        <f aca="false">EURO(UnderlyingPrice,$D60,IntRate,Yield,$I60,$D$6,M$12,0)</f>
        <v>#NAME?</v>
      </c>
      <c r="O60" s="79" t="e">
        <f aca="false">EURO(UnderlyingPrice,$D60*(1+$P$8),IntRate,Yield,$H60,Expiry-Today,O$12,0)</f>
        <v>#NAME?</v>
      </c>
      <c r="P60" s="79" t="e">
        <f aca="false">EURO(UnderlyingPrice,$D60*(1+$P$8),IntRate,Yield,$H60,Expiry-Today,P$12,0)</f>
        <v>#NAME?</v>
      </c>
      <c r="R60" s="79" t="e">
        <f aca="false">EURO(UnderlyingPrice,$D60*(1-$P$8),IntRate,Yield,$J60,Expiry-Today,R$12,0)</f>
        <v>#NAME?</v>
      </c>
      <c r="S60" s="79" t="e">
        <f aca="false">EURO(UnderlyingPrice,$D60*(1-$P$8),IntRate,Yield,$J60,Expiry-Today,S$12,0)</f>
        <v>#NAME?</v>
      </c>
      <c r="U60" s="80" t="e">
        <f aca="false">(O60+R60-2*L60)/($P$8*D60)^2</f>
        <v>#NAME?</v>
      </c>
      <c r="V60" s="80"/>
      <c r="W60" s="81" t="e">
        <f aca="false">U60/$D$9</f>
        <v>#NAME?</v>
      </c>
      <c r="Z60" s="80" t="n">
        <f aca="false">(1/(D60*SQRT(2*PI()*T/365.25*ATMImpVol^2)))</f>
        <v>0.261881878453709</v>
      </c>
      <c r="AA60" s="80" t="n">
        <f aca="false">LN(D60/UnderlyingPrice)+0.5*T/365.25*ATMImpVol^2</f>
        <v>0.0116225179355117</v>
      </c>
      <c r="AB60" s="80" t="n">
        <f aca="false">-(AA60^2)</f>
        <v>-0.000135082923161291</v>
      </c>
      <c r="AC60" s="80" t="n">
        <f aca="false">AB60/(2*T/365.25*ATMImpVol^2)</f>
        <v>-0.000627960973814041</v>
      </c>
      <c r="AD60" s="82" t="n">
        <f aca="false">EXP(AC60)</f>
        <v>0.999372236152414</v>
      </c>
      <c r="AE60" s="82" t="n">
        <f aca="false">AD60*Z60</f>
        <v>0.261717478478078</v>
      </c>
      <c r="AF60" s="82"/>
      <c r="AG60" s="83" t="n">
        <f aca="false">(LN($D60/UnderlyingPrice)+0.5*ATMImpVol^2*(T/365.25))/(ATMImpVol*SQRT(T/365.25))</f>
        <v>0.0354389890886871</v>
      </c>
      <c r="AH60" s="83" t="n">
        <f aca="false">(LN(($D60*(1+$P$8))/UnderlyingPrice)+0.5*ATMImpVol^2*(T/365.25))/(ATMImpVol*SQRT(T/365.25))</f>
        <v>0.0369631911802712</v>
      </c>
      <c r="AI60" s="83" t="n">
        <f aca="false">(LN($D60*(1-$P$8)/UnderlyingPrice)+0.5*ATMImpVol^2*(T/365.25))/(ATMImpVol*SQRT(T/365.25))</f>
        <v>0.0339140247054529</v>
      </c>
      <c r="AJ60" s="81"/>
      <c r="AK60" s="83" t="e">
        <f aca="false">W60/(AH60-AI60)*(D60*2*$P$8)</f>
        <v>#NAME?</v>
      </c>
      <c r="AL60" s="83"/>
      <c r="AM60" s="84" t="n">
        <v>1.6</v>
      </c>
      <c r="AN60" s="85" t="n">
        <f aca="false">NORMDIST(AM60,0,1,FALSE())</f>
        <v>0.110920834679456</v>
      </c>
      <c r="AX60" s="87" t="n">
        <f aca="true">OFFSET(ENAVolCoef,0,impvol_order-2)+OFFSET(ENAVolCoef,1,impvol_order-2)*E60+OFFSET(ENAVolCoef,2,impvol_order-2)*E60^2+IF(impvol_order&gt;2,OFFSET(ENAVolCoef,3,impvol_order-2)*E60^3,0)+IF(impvol_order&gt;3,OFFSET(ENAVolCoef,4,impvol_order-2)*E60^4,0)+IF(impvol_order&gt;4,OFFSET(ENAVolCoef,5,impvol_order-2)*E60^5,0)</f>
        <v>0.490334821846971</v>
      </c>
      <c r="AY60" s="87" t="n">
        <f aca="true">OFFSET(ENAVolCoef,0,impvol_order-2)+OFFSET(ENAVolCoef,1,impvol_order-2)*F60+OFFSET(ENAVolCoef,2,impvol_order-2)*F60^2+IF(impvol_order&gt;2,OFFSET(ENAVolCoef,3,impvol_order-2)*F60^3,0)+IF(impvol_order&gt;3,OFFSET(ENAVolCoef,4,impvol_order-2)*F60^4,0)+IF(impvol_order&gt;4,OFFSET(ENAVolCoef,5,impvol_order-2)*F60^5,0)</f>
        <v>0.490346580293122</v>
      </c>
      <c r="AZ60" s="87" t="n">
        <f aca="true">OFFSET(ENAVolCoef,0,impvol_order-2)+OFFSET(ENAVolCoef,1,impvol_order-2)*G60+OFFSET(ENAVolCoef,2,impvol_order-2)*G60^2+IF(impvol_order&gt;2,OFFSET(ENAVolCoef,3,impvol_order-2)*G60^3,0)+IF(impvol_order&gt;3,OFFSET(ENAVolCoef,4,impvol_order-2)*G60^4,0)+IF(impvol_order&gt;4,OFFSET(ENAVolCoef,5,impvol_order-2)*G60^5,0)</f>
        <v>0.490323142491726</v>
      </c>
      <c r="BB60" s="48" t="e">
        <f aca="false">EURO(UnderlyingPrice,$D60,IntRate,Yield,AX60,$D$6,1,0)</f>
        <v>#NAME?</v>
      </c>
      <c r="BC60" s="48" t="e">
        <f aca="false">EURO(UnderlyingPrice,$D60*(1+$P$8),IntRate,Yield,AY60,$D$6,1,0)</f>
        <v>#NAME?</v>
      </c>
      <c r="BD60" s="48" t="e">
        <f aca="false">EURO(UnderlyingPrice,$D60*(1-$P$8),IntRate,Yield,AZ60,$D$6,1,0)</f>
        <v>#NAME?</v>
      </c>
      <c r="BF60" s="80" t="e">
        <f aca="false">(BC60+BD60-2*BB60)/($P$8*$D60)^2</f>
        <v>#NAME?</v>
      </c>
      <c r="BG60" s="48" t="e">
        <f aca="false">+BF60/$D$9</f>
        <v>#NAME?</v>
      </c>
      <c r="BI60" s="79" t="e">
        <f aca="false">+BB60-L60</f>
        <v>#NAME?</v>
      </c>
      <c r="BJ60" s="65" t="e">
        <f aca="false">+BI60/BB60</f>
        <v>#NAME?</v>
      </c>
    </row>
    <row r="61" customFormat="false" ht="11.25" hidden="false" customHeight="false" outlineLevel="0" collapsed="false">
      <c r="C61" s="77" t="n">
        <v>48</v>
      </c>
      <c r="D61" s="78" t="n">
        <f aca="true">D60+(ROUNDUP(MAX(StrikeRange),1)-ROUNDDOWN(MIN(StrikeRange),1))/100</f>
        <v>4.68000000000001</v>
      </c>
      <c r="E61" s="64" t="n">
        <f aca="false">+D61/UnderlyingPrice-1</f>
        <v>-0.0340557275541781</v>
      </c>
      <c r="F61" s="64" t="n">
        <f aca="false">+D61*(1+$P$8)/UnderlyingPrice-1</f>
        <v>-0.0335727554179554</v>
      </c>
      <c r="G61" s="64" t="n">
        <f aca="false">+D61*(1-$P$8)/UnderlyingPrice-1</f>
        <v>-0.0345386996904009</v>
      </c>
      <c r="H61" s="64" t="n">
        <f aca="true">OFFSET(VolSkewCoef,0,impvol_order-2)+OFFSET(VolSkewCoef,1,impvol_order-2)*F61+OFFSET(VolSkewCoef,2,impvol_order-2)*F61^2+IF(impvol_order&gt;2,OFFSET(VolSkewCoef,3,impvol_order-2)*F61^3,0)+IF(impvol_order&gt;3,OFFSET(VolSkewCoef,4,impvol_order-2)*F61^4,0)+IF(impvol_order&gt;4,OFFSET(VolSkewCoef,5,impvol_order-2)*F61^5,0)</f>
        <v>0.515957208107795</v>
      </c>
      <c r="I61" s="64" t="n">
        <f aca="true">OFFSET(VolSkewCoef,0,impvol_order-2)+OFFSET(VolSkewCoef,1,impvol_order-2)*E61+OFFSET(VolSkewCoef,2,impvol_order-2)*E61^2+IF(impvol_order&gt;2,OFFSET(VolSkewCoef,3,impvol_order-2)*E61^3,0)+IF(impvol_order&gt;3,OFFSET(VolSkewCoef,4,impvol_order-2)*E61^4,0)+IF(impvol_order&gt;4,OFFSET(VolSkewCoef,5,impvol_order-2)*E61^5,0)</f>
        <v>0.515939097034219</v>
      </c>
      <c r="J61" s="64" t="n">
        <f aca="true">OFFSET(VolSkewCoef,0,impvol_order-2)+OFFSET(VolSkewCoef,1,impvol_order-2)*G61+OFFSET(VolSkewCoef,2,impvol_order-2)*G61^2+IF(impvol_order&gt;2,OFFSET(VolSkewCoef,3,impvol_order-2)*G61^3,0)+IF(impvol_order&gt;3,OFFSET(VolSkewCoef,4,impvol_order-2)*G61^4,0)+IF(impvol_order&gt;4,OFFSET(VolSkewCoef,5,impvol_order-2)*G61^5,0)</f>
        <v>0.515921084092325</v>
      </c>
      <c r="L61" s="79" t="e">
        <f aca="false">EURO(UnderlyingPrice,$D61,IntRate,Yield,$I61,$D$6,L$12,0)</f>
        <v>#NAME?</v>
      </c>
      <c r="M61" s="79" t="e">
        <f aca="false">EURO(UnderlyingPrice,$D61,IntRate,Yield,$I61,$D$6,M$12,0)</f>
        <v>#NAME?</v>
      </c>
      <c r="O61" s="79" t="e">
        <f aca="false">EURO(UnderlyingPrice,$D61*(1+$P$8),IntRate,Yield,$H61,Expiry-Today,O$12,0)</f>
        <v>#NAME?</v>
      </c>
      <c r="P61" s="79" t="e">
        <f aca="false">EURO(UnderlyingPrice,$D61*(1+$P$8),IntRate,Yield,$H61,Expiry-Today,P$12,0)</f>
        <v>#NAME?</v>
      </c>
      <c r="R61" s="79" t="e">
        <f aca="false">EURO(UnderlyingPrice,$D61*(1-$P$8),IntRate,Yield,$J61,Expiry-Today,R$12,0)</f>
        <v>#NAME?</v>
      </c>
      <c r="S61" s="79" t="e">
        <f aca="false">EURO(UnderlyingPrice,$D61*(1-$P$8),IntRate,Yield,$J61,Expiry-Today,S$12,0)</f>
        <v>#NAME?</v>
      </c>
      <c r="U61" s="80" t="e">
        <f aca="false">(O61+R61-2*L61)/($P$8*D61)^2</f>
        <v>#NAME?</v>
      </c>
      <c r="V61" s="80"/>
      <c r="W61" s="81" t="e">
        <f aca="false">U61/$D$9</f>
        <v>#NAME?</v>
      </c>
      <c r="Z61" s="80" t="n">
        <f aca="false">(1/(D61*SQRT(2*PI()*T/365.25*ATMImpVol^2)))</f>
        <v>0.25992336013194</v>
      </c>
      <c r="AA61" s="80" t="n">
        <f aca="false">LN(D61/UnderlyingPrice)+0.5*T/365.25*ATMImpVol^2</f>
        <v>0.0191292555992653</v>
      </c>
      <c r="AB61" s="80" t="n">
        <f aca="false">-(AA61^2)</f>
        <v>-0.000365928419782025</v>
      </c>
      <c r="AC61" s="80" t="n">
        <f aca="false">AB61/(2*T/365.25*ATMImpVol^2)</f>
        <v>-0.00170109412392699</v>
      </c>
      <c r="AD61" s="82" t="n">
        <f aca="false">EXP(AC61)</f>
        <v>0.998300351916616</v>
      </c>
      <c r="AE61" s="82" t="n">
        <f aca="false">AD61*Z61</f>
        <v>0.259481581891065</v>
      </c>
      <c r="AF61" s="82"/>
      <c r="AG61" s="83" t="n">
        <f aca="false">(LN($D61/UnderlyingPrice)+0.5*ATMImpVol^2*(T/365.25))/(ATMImpVol*SQRT(T/365.25))</f>
        <v>0.0583282800008193</v>
      </c>
      <c r="AH61" s="83" t="n">
        <f aca="false">(LN(($D61*(1+$P$8))/UnderlyingPrice)+0.5*ATMImpVol^2*(T/365.25))/(ATMImpVol*SQRT(T/365.25))</f>
        <v>0.0598524820924026</v>
      </c>
      <c r="AI61" s="83" t="n">
        <f aca="false">(LN($D61*(1-$P$8)/UnderlyingPrice)+0.5*ATMImpVol^2*(T/365.25))/(ATMImpVol*SQRT(T/365.25))</f>
        <v>0.0568033156175851</v>
      </c>
      <c r="AJ61" s="81"/>
      <c r="AK61" s="83" t="e">
        <f aca="false">W61/(AH61-AI61)*(D61*2*$P$8)</f>
        <v>#NAME?</v>
      </c>
      <c r="AL61" s="83"/>
      <c r="AM61" s="84" t="n">
        <v>1.7</v>
      </c>
      <c r="AN61" s="85" t="n">
        <f aca="false">NORMDIST(AM61,0,1,FALSE())</f>
        <v>0.094049077376887</v>
      </c>
      <c r="AX61" s="87" t="n">
        <f aca="true">OFFSET(ENAVolCoef,0,impvol_order-2)+OFFSET(ENAVolCoef,1,impvol_order-2)*E61+OFFSET(ENAVolCoef,2,impvol_order-2)*E61^2+IF(impvol_order&gt;2,OFFSET(ENAVolCoef,3,impvol_order-2)*E61^3,0)+IF(impvol_order&gt;3,OFFSET(ENAVolCoef,4,impvol_order-2)*E61^4,0)+IF(impvol_order&gt;4,OFFSET(ENAVolCoef,5,impvol_order-2)*E61^5,0)</f>
        <v>0.490520367597509</v>
      </c>
      <c r="AY61" s="87" t="n">
        <f aca="true">OFFSET(ENAVolCoef,0,impvol_order-2)+OFFSET(ENAVolCoef,1,impvol_order-2)*F61+OFFSET(ENAVolCoef,2,impvol_order-2)*F61^2+IF(impvol_order&gt;2,OFFSET(ENAVolCoef,3,impvol_order-2)*F61^3,0)+IF(impvol_order&gt;3,OFFSET(ENAVolCoef,4,impvol_order-2)*F61^4,0)+IF(impvol_order&gt;4,OFFSET(ENAVolCoef,5,impvol_order-2)*F61^5,0)</f>
        <v>0.490533407518623</v>
      </c>
      <c r="AZ61" s="87" t="n">
        <f aca="true">OFFSET(ENAVolCoef,0,impvol_order-2)+OFFSET(ENAVolCoef,1,impvol_order-2)*G61+OFFSET(ENAVolCoef,2,impvol_order-2)*G61^2+IF(impvol_order&gt;2,OFFSET(ENAVolCoef,3,impvol_order-2)*G61^3,0)+IF(impvol_order&gt;3,OFFSET(ENAVolCoef,4,impvol_order-2)*G61^4,0)+IF(impvol_order&gt;4,OFFSET(ENAVolCoef,5,impvol_order-2)*G61^5,0)</f>
        <v>0.490507406923021</v>
      </c>
      <c r="BB61" s="48" t="e">
        <f aca="false">EURO(UnderlyingPrice,$D61,IntRate,Yield,AX61,$D$6,1,0)</f>
        <v>#NAME?</v>
      </c>
      <c r="BC61" s="48" t="e">
        <f aca="false">EURO(UnderlyingPrice,$D61*(1+$P$8),IntRate,Yield,AY61,$D$6,1,0)</f>
        <v>#NAME?</v>
      </c>
      <c r="BD61" s="48" t="e">
        <f aca="false">EURO(UnderlyingPrice,$D61*(1-$P$8),IntRate,Yield,AZ61,$D$6,1,0)</f>
        <v>#NAME?</v>
      </c>
      <c r="BF61" s="80" t="e">
        <f aca="false">(BC61+BD61-2*BB61)/($P$8*$D61)^2</f>
        <v>#NAME?</v>
      </c>
      <c r="BG61" s="48" t="e">
        <f aca="false">+BF61/$D$9</f>
        <v>#NAME?</v>
      </c>
      <c r="BI61" s="79" t="e">
        <f aca="false">+BB61-L61</f>
        <v>#NAME?</v>
      </c>
      <c r="BJ61" s="65" t="e">
        <f aca="false">+BI61/BB61</f>
        <v>#NAME?</v>
      </c>
    </row>
    <row r="62" customFormat="false" ht="11.25" hidden="false" customHeight="false" outlineLevel="0" collapsed="false">
      <c r="C62" s="77" t="n">
        <v>49</v>
      </c>
      <c r="D62" s="78" t="n">
        <f aca="true">D61+(ROUNDUP(MAX(StrikeRange),1)-ROUNDDOWN(MIN(StrikeRange),1))/100</f>
        <v>4.71500000000001</v>
      </c>
      <c r="E62" s="64" t="n">
        <f aca="false">+D62/UnderlyingPrice-1</f>
        <v>-0.0268317853457157</v>
      </c>
      <c r="F62" s="64" t="n">
        <f aca="false">+D62*(1+$P$8)/UnderlyingPrice-1</f>
        <v>-0.0263452012383887</v>
      </c>
      <c r="G62" s="64" t="n">
        <f aca="false">+D62*(1-$P$8)/UnderlyingPrice-1</f>
        <v>-0.0273183694530428</v>
      </c>
      <c r="H62" s="64" t="n">
        <f aca="true">OFFSET(VolSkewCoef,0,impvol_order-2)+OFFSET(VolSkewCoef,1,impvol_order-2)*F62+OFFSET(VolSkewCoef,2,impvol_order-2)*F62^2+IF(impvol_order&gt;2,OFFSET(VolSkewCoef,3,impvol_order-2)*F62^3,0)+IF(impvol_order&gt;3,OFFSET(VolSkewCoef,4,impvol_order-2)*F62^4,0)+IF(impvol_order&gt;4,OFFSET(VolSkewCoef,5,impvol_order-2)*F62^5,0)</f>
        <v>0.51623988092766</v>
      </c>
      <c r="I62" s="64" t="n">
        <f aca="true">OFFSET(VolSkewCoef,0,impvol_order-2)+OFFSET(VolSkewCoef,1,impvol_order-2)*E62+OFFSET(VolSkewCoef,2,impvol_order-2)*E62^2+IF(impvol_order&gt;2,OFFSET(VolSkewCoef,3,impvol_order-2)*E62^3,0)+IF(impvol_order&gt;3,OFFSET(VolSkewCoef,4,impvol_order-2)*E62^4,0)+IF(impvol_order&gt;4,OFFSET(VolSkewCoef,5,impvol_order-2)*E62^5,0)</f>
        <v>0.516220168989504</v>
      </c>
      <c r="J62" s="64" t="n">
        <f aca="true">OFFSET(VolSkewCoef,0,impvol_order-2)+OFFSET(VolSkewCoef,1,impvol_order-2)*G62+OFFSET(VolSkewCoef,2,impvol_order-2)*G62^2+IF(impvol_order&gt;2,OFFSET(VolSkewCoef,3,impvol_order-2)*G62^3,0)+IF(impvol_order&gt;3,OFFSET(VolSkewCoef,4,impvol_order-2)*G62^4,0)+IF(impvol_order&gt;4,OFFSET(VolSkewCoef,5,impvol_order-2)*G62^5,0)</f>
        <v>0.516200554925987</v>
      </c>
      <c r="L62" s="79" t="e">
        <f aca="false">EURO(UnderlyingPrice,$D62,IntRate,Yield,$I62,$D$6,L$12,0)</f>
        <v>#NAME?</v>
      </c>
      <c r="M62" s="79" t="e">
        <f aca="false">EURO(UnderlyingPrice,$D62,IntRate,Yield,$I62,$D$6,M$12,0)</f>
        <v>#NAME?</v>
      </c>
      <c r="O62" s="79" t="e">
        <f aca="false">EURO(UnderlyingPrice,$D62*(1+$P$8),IntRate,Yield,$H62,Expiry-Today,O$12,0)</f>
        <v>#NAME?</v>
      </c>
      <c r="P62" s="79" t="e">
        <f aca="false">EURO(UnderlyingPrice,$D62*(1+$P$8),IntRate,Yield,$H62,Expiry-Today,P$12,0)</f>
        <v>#NAME?</v>
      </c>
      <c r="R62" s="79" t="e">
        <f aca="false">EURO(UnderlyingPrice,$D62*(1-$P$8),IntRate,Yield,$J62,Expiry-Today,R$12,0)</f>
        <v>#NAME?</v>
      </c>
      <c r="S62" s="79" t="e">
        <f aca="false">EURO(UnderlyingPrice,$D62*(1-$P$8),IntRate,Yield,$J62,Expiry-Today,S$12,0)</f>
        <v>#NAME?</v>
      </c>
      <c r="U62" s="80" t="e">
        <f aca="false">(O62+R62-2*L62)/($P$8*D62)^2</f>
        <v>#NAME?</v>
      </c>
      <c r="V62" s="80"/>
      <c r="W62" s="81" t="e">
        <f aca="false">U62/$D$9</f>
        <v>#NAME?</v>
      </c>
      <c r="Z62" s="80" t="n">
        <f aca="false">(1/(D62*SQRT(2*PI()*T/365.25*ATMImpVol^2)))</f>
        <v>0.257993918434248</v>
      </c>
      <c r="AA62" s="80" t="n">
        <f aca="false">LN(D62/UnderlyingPrice)+0.5*T/365.25*ATMImpVol^2</f>
        <v>0.0265800617551308</v>
      </c>
      <c r="AB62" s="80" t="n">
        <f aca="false">-(AA62^2)</f>
        <v>-0.000706499682906566</v>
      </c>
      <c r="AC62" s="80" t="n">
        <f aca="false">AB62/(2*T/365.25*ATMImpVol^2)</f>
        <v>-0.00328431024806583</v>
      </c>
      <c r="AD62" s="82" t="n">
        <f aca="false">EXP(AC62)</f>
        <v>0.996721077199207</v>
      </c>
      <c r="AE62" s="82" t="n">
        <f aca="false">AD62*Z62</f>
        <v>0.257147976292628</v>
      </c>
      <c r="AF62" s="82"/>
      <c r="AG62" s="83" t="n">
        <f aca="false">(LN($D62/UnderlyingPrice)+0.5*ATMImpVol^2*(T/365.25))/(ATMImpVol*SQRT(T/365.25))</f>
        <v>0.0810470264484248</v>
      </c>
      <c r="AH62" s="83" t="n">
        <f aca="false">(LN(($D62*(1+$P$8))/UnderlyingPrice)+0.5*ATMImpVol^2*(T/365.25))/(ATMImpVol*SQRT(T/365.25))</f>
        <v>0.0825712285400084</v>
      </c>
      <c r="AI62" s="83" t="n">
        <f aca="false">(LN($D62*(1-$P$8)/UnderlyingPrice)+0.5*ATMImpVol^2*(T/365.25))/(ATMImpVol*SQRT(T/365.25))</f>
        <v>0.0795220620651907</v>
      </c>
      <c r="AJ62" s="81"/>
      <c r="AK62" s="83" t="e">
        <f aca="false">W62/(AH62-AI62)*(D62*2*$P$8)</f>
        <v>#NAME?</v>
      </c>
      <c r="AL62" s="83"/>
      <c r="AM62" s="84" t="n">
        <v>1.8</v>
      </c>
      <c r="AN62" s="85" t="n">
        <f aca="false">NORMDIST(AM62,0,1,FALSE())</f>
        <v>0.0789501583008942</v>
      </c>
      <c r="AX62" s="87" t="n">
        <f aca="true">OFFSET(ENAVolCoef,0,impvol_order-2)+OFFSET(ENAVolCoef,1,impvol_order-2)*E62+OFFSET(ENAVolCoef,2,impvol_order-2)*E62^2+IF(impvol_order&gt;2,OFFSET(ENAVolCoef,3,impvol_order-2)*E62^3,0)+IF(impvol_order&gt;3,OFFSET(ENAVolCoef,4,impvol_order-2)*E62^4,0)+IF(impvol_order&gt;4,OFFSET(ENAVolCoef,5,impvol_order-2)*E62^5,0)</f>
        <v>0.490723642385435</v>
      </c>
      <c r="AY62" s="87" t="n">
        <f aca="true">OFFSET(ENAVolCoef,0,impvol_order-2)+OFFSET(ENAVolCoef,1,impvol_order-2)*F62+OFFSET(ENAVolCoef,2,impvol_order-2)*F62^2+IF(impvol_order&gt;2,OFFSET(ENAVolCoef,3,impvol_order-2)*F62^3,0)+IF(impvol_order&gt;3,OFFSET(ENAVolCoef,4,impvol_order-2)*F62^4,0)+IF(impvol_order&gt;4,OFFSET(ENAVolCoef,5,impvol_order-2)*F62^5,0)</f>
        <v>0.490737965933887</v>
      </c>
      <c r="AZ62" s="87" t="n">
        <f aca="true">OFFSET(ENAVolCoef,0,impvol_order-2)+OFFSET(ENAVolCoef,1,impvol_order-2)*G62+OFFSET(ENAVolCoef,2,impvol_order-2)*G62^2+IF(impvol_order&gt;2,OFFSET(ENAVolCoef,3,impvol_order-2)*G62^3,0)+IF(impvol_order&gt;3,OFFSET(ENAVolCoef,4,impvol_order-2)*G62^4,0)+IF(impvol_order&gt;4,OFFSET(ENAVolCoef,5,impvol_order-2)*G62^5,0)</f>
        <v>0.490709398217063</v>
      </c>
      <c r="BB62" s="48" t="e">
        <f aca="false">EURO(UnderlyingPrice,$D62,IntRate,Yield,AX62,$D$6,1,0)</f>
        <v>#NAME?</v>
      </c>
      <c r="BC62" s="48" t="e">
        <f aca="false">EURO(UnderlyingPrice,$D62*(1+$P$8),IntRate,Yield,AY62,$D$6,1,0)</f>
        <v>#NAME?</v>
      </c>
      <c r="BD62" s="48" t="e">
        <f aca="false">EURO(UnderlyingPrice,$D62*(1-$P$8),IntRate,Yield,AZ62,$D$6,1,0)</f>
        <v>#NAME?</v>
      </c>
      <c r="BF62" s="80" t="e">
        <f aca="false">(BC62+BD62-2*BB62)/($P$8*$D62)^2</f>
        <v>#NAME?</v>
      </c>
      <c r="BG62" s="48" t="e">
        <f aca="false">+BF62/$D$9</f>
        <v>#NAME?</v>
      </c>
      <c r="BI62" s="79" t="e">
        <f aca="false">+BB62-L62</f>
        <v>#NAME?</v>
      </c>
      <c r="BJ62" s="65" t="e">
        <f aca="false">+BI62/BB62</f>
        <v>#NAME?</v>
      </c>
    </row>
    <row r="63" customFormat="false" ht="11.25" hidden="false" customHeight="false" outlineLevel="0" collapsed="false">
      <c r="C63" s="77" t="n">
        <v>50</v>
      </c>
      <c r="D63" s="78" t="n">
        <f aca="true">D62+(ROUNDUP(MAX(StrikeRange),1)-ROUNDDOWN(MIN(StrikeRange),1))/100</f>
        <v>4.75000000000001</v>
      </c>
      <c r="E63" s="64" t="n">
        <f aca="false">+D63/UnderlyingPrice-1</f>
        <v>-0.0196078431372534</v>
      </c>
      <c r="F63" s="64" t="n">
        <f aca="false">+D63*(1+$P$8)/UnderlyingPrice-1</f>
        <v>-0.019117647058822</v>
      </c>
      <c r="G63" s="64" t="n">
        <f aca="false">+D63*(1-$P$8)/UnderlyingPrice-1</f>
        <v>-0.0200980392156848</v>
      </c>
      <c r="H63" s="64" t="n">
        <f aca="true">OFFSET(VolSkewCoef,0,impvol_order-2)+OFFSET(VolSkewCoef,1,impvol_order-2)*F63+OFFSET(VolSkewCoef,2,impvol_order-2)*F63^2+IF(impvol_order&gt;2,OFFSET(VolSkewCoef,3,impvol_order-2)*F63^3,0)+IF(impvol_order&gt;3,OFFSET(VolSkewCoef,4,impvol_order-2)*F63^4,0)+IF(impvol_order&gt;4,OFFSET(VolSkewCoef,5,impvol_order-2)*F63^5,0)</f>
        <v>0.51654412222983</v>
      </c>
      <c r="I63" s="64" t="n">
        <f aca="true">OFFSET(VolSkewCoef,0,impvol_order-2)+OFFSET(VolSkewCoef,1,impvol_order-2)*E63+OFFSET(VolSkewCoef,2,impvol_order-2)*E63^2+IF(impvol_order&gt;2,OFFSET(VolSkewCoef,3,impvol_order-2)*E63^3,0)+IF(impvol_order&gt;3,OFFSET(VolSkewCoef,4,impvol_order-2)*E63^4,0)+IF(impvol_order&gt;4,OFFSET(VolSkewCoef,5,impvol_order-2)*E63^5,0)</f>
        <v>0.516522813563411</v>
      </c>
      <c r="J63" s="64" t="n">
        <f aca="true">OFFSET(VolSkewCoef,0,impvol_order-2)+OFFSET(VolSkewCoef,1,impvol_order-2)*G63+OFFSET(VolSkewCoef,2,impvol_order-2)*G63^2+IF(impvol_order&gt;2,OFFSET(VolSkewCoef,3,impvol_order-2)*G63^3,0)+IF(impvol_order&gt;3,OFFSET(VolSkewCoef,4,impvol_order-2)*G63^4,0)+IF(impvol_order&gt;4,OFFSET(VolSkewCoef,5,impvol_order-2)*G63^5,0)</f>
        <v>0.516501602473998</v>
      </c>
      <c r="L63" s="79" t="e">
        <f aca="false">EURO(UnderlyingPrice,$D63,IntRate,Yield,$I63,$D$6,L$12,0)</f>
        <v>#NAME?</v>
      </c>
      <c r="M63" s="79" t="e">
        <f aca="false">EURO(UnderlyingPrice,$D63,IntRate,Yield,$I63,$D$6,M$12,0)</f>
        <v>#NAME?</v>
      </c>
      <c r="O63" s="79" t="e">
        <f aca="false">EURO(UnderlyingPrice,$D63*(1+$P$8),IntRate,Yield,$H63,Expiry-Today,O$12,0)</f>
        <v>#NAME?</v>
      </c>
      <c r="P63" s="79" t="e">
        <f aca="false">EURO(UnderlyingPrice,$D63*(1+$P$8),IntRate,Yield,$H63,Expiry-Today,P$12,0)</f>
        <v>#NAME?</v>
      </c>
      <c r="R63" s="79" t="e">
        <f aca="false">EURO(UnderlyingPrice,$D63*(1-$P$8),IntRate,Yield,$J63,Expiry-Today,R$12,0)</f>
        <v>#NAME?</v>
      </c>
      <c r="S63" s="79" t="e">
        <f aca="false">EURO(UnderlyingPrice,$D63*(1-$P$8),IntRate,Yield,$J63,Expiry-Today,S$12,0)</f>
        <v>#NAME?</v>
      </c>
      <c r="U63" s="80" t="e">
        <f aca="false">(O63+R63-2*L63)/($P$8*D63)^2</f>
        <v>#NAME?</v>
      </c>
      <c r="V63" s="80"/>
      <c r="W63" s="81" t="e">
        <f aca="false">U63/$D$9</f>
        <v>#NAME?</v>
      </c>
      <c r="Z63" s="80" t="n">
        <f aca="false">(1/(D63*SQRT(2*PI()*T/365.25*ATMImpVol^2)))</f>
        <v>0.256092910614206</v>
      </c>
      <c r="AA63" s="80" t="n">
        <f aca="false">LN(D63/UnderlyingPrice)+0.5*T/365.25*ATMImpVol^2</f>
        <v>0.0339757637162598</v>
      </c>
      <c r="AB63" s="80" t="n">
        <f aca="false">-(AA63^2)</f>
        <v>-0.00115435252010312</v>
      </c>
      <c r="AC63" s="80" t="n">
        <f aca="false">AB63/(2*T/365.25*ATMImpVol^2)</f>
        <v>-0.00536624701097945</v>
      </c>
      <c r="AD63" s="82" t="n">
        <f aca="false">EXP(AC63)</f>
        <v>0.994648125572076</v>
      </c>
      <c r="AE63" s="82" t="n">
        <f aca="false">AD63*Z63</f>
        <v>0.254722333514717</v>
      </c>
      <c r="AF63" s="82"/>
      <c r="AG63" s="83" t="n">
        <f aca="false">(LN($D63/UnderlyingPrice)+0.5*ATMImpVol^2*(T/365.25))/(ATMImpVol*SQRT(T/365.25))</f>
        <v>0.10359775104682</v>
      </c>
      <c r="AH63" s="83" t="n">
        <f aca="false">(LN(($D63*(1+$P$8))/UnderlyingPrice)+0.5*ATMImpVol^2*(T/365.25))/(ATMImpVol*SQRT(T/365.25))</f>
        <v>0.105121953138404</v>
      </c>
      <c r="AI63" s="83" t="n">
        <f aca="false">(LN($D63*(1-$P$8)/UnderlyingPrice)+0.5*ATMImpVol^2*(T/365.25))/(ATMImpVol*SQRT(T/365.25))</f>
        <v>0.102072786663586</v>
      </c>
      <c r="AJ63" s="81"/>
      <c r="AK63" s="83" t="e">
        <f aca="false">W63/(AH63-AI63)*(D63*2*$P$8)</f>
        <v>#NAME?</v>
      </c>
      <c r="AL63" s="83"/>
      <c r="AM63" s="84" t="n">
        <v>1.9</v>
      </c>
      <c r="AN63" s="85" t="n">
        <f aca="false">NORMDIST(AM63,0,1,FALSE())</f>
        <v>0.0656158147746766</v>
      </c>
      <c r="AX63" s="87" t="n">
        <f aca="true">OFFSET(ENAVolCoef,0,impvol_order-2)+OFFSET(ENAVolCoef,1,impvol_order-2)*E63+OFFSET(ENAVolCoef,2,impvol_order-2)*E63^2+IF(impvol_order&gt;2,OFFSET(ENAVolCoef,3,impvol_order-2)*E63^3,0)+IF(impvol_order&gt;3,OFFSET(ENAVolCoef,4,impvol_order-2)*E63^4,0)+IF(impvol_order&gt;4,OFFSET(ENAVolCoef,5,impvol_order-2)*E63^5,0)</f>
        <v>0.490944413393039</v>
      </c>
      <c r="AY63" s="87" t="n">
        <f aca="true">OFFSET(ENAVolCoef,0,impvol_order-2)+OFFSET(ENAVolCoef,1,impvol_order-2)*F63+OFFSET(ENAVolCoef,2,impvol_order-2)*F63^2+IF(impvol_order&gt;2,OFFSET(ENAVolCoef,3,impvol_order-2)*F63^3,0)+IF(impvol_order&gt;3,OFFSET(ENAVolCoef,4,impvol_order-2)*F63^4,0)+IF(impvol_order&gt;4,OFFSET(ENAVolCoef,5,impvol_order-2)*F63^5,0)</f>
        <v>0.490960022371801</v>
      </c>
      <c r="AZ63" s="87" t="n">
        <f aca="true">OFFSET(ENAVolCoef,0,impvol_order-2)+OFFSET(ENAVolCoef,1,impvol_order-2)*G63+OFFSET(ENAVolCoef,2,impvol_order-2)*G63^2+IF(impvol_order&gt;2,OFFSET(ENAVolCoef,3,impvol_order-2)*G63^3,0)+IF(impvol_order&gt;3,OFFSET(ENAVolCoef,4,impvol_order-2)*G63^4,0)+IF(impvol_order&gt;4,OFFSET(ENAVolCoef,5,impvol_order-2)*G63^5,0)</f>
        <v>0.490928883905197</v>
      </c>
      <c r="BB63" s="48" t="e">
        <f aca="false">EURO(UnderlyingPrice,$D63,IntRate,Yield,AX63,$D$6,1,0)</f>
        <v>#NAME?</v>
      </c>
      <c r="BC63" s="48" t="e">
        <f aca="false">EURO(UnderlyingPrice,$D63*(1+$P$8),IntRate,Yield,AY63,$D$6,1,0)</f>
        <v>#NAME?</v>
      </c>
      <c r="BD63" s="48" t="e">
        <f aca="false">EURO(UnderlyingPrice,$D63*(1-$P$8),IntRate,Yield,AZ63,$D$6,1,0)</f>
        <v>#NAME?</v>
      </c>
      <c r="BF63" s="80" t="e">
        <f aca="false">(BC63+BD63-2*BB63)/($P$8*$D63)^2</f>
        <v>#NAME?</v>
      </c>
      <c r="BG63" s="48" t="e">
        <f aca="false">+BF63/$D$9</f>
        <v>#NAME?</v>
      </c>
      <c r="BI63" s="79" t="e">
        <f aca="false">+BB63-L63</f>
        <v>#NAME?</v>
      </c>
      <c r="BJ63" s="65" t="e">
        <f aca="false">+BI63/BB63</f>
        <v>#NAME?</v>
      </c>
    </row>
    <row r="64" customFormat="false" ht="11.25" hidden="false" customHeight="false" outlineLevel="0" collapsed="false">
      <c r="C64" s="77" t="n">
        <v>51</v>
      </c>
      <c r="D64" s="78" t="n">
        <f aca="true">D63+(ROUNDUP(MAX(StrikeRange),1)-ROUNDDOWN(MIN(StrikeRange),1))/100</f>
        <v>4.78500000000001</v>
      </c>
      <c r="E64" s="64" t="n">
        <f aca="false">+D64/UnderlyingPrice-1</f>
        <v>-0.012383900928791</v>
      </c>
      <c r="F64" s="64" t="n">
        <f aca="false">+D64*(1+$P$8)/UnderlyingPrice-1</f>
        <v>-0.0118900928792555</v>
      </c>
      <c r="G64" s="64" t="n">
        <f aca="false">+D64*(1-$P$8)/UnderlyingPrice-1</f>
        <v>-0.0128777089783266</v>
      </c>
      <c r="H64" s="64" t="n">
        <f aca="true">OFFSET(VolSkewCoef,0,impvol_order-2)+OFFSET(VolSkewCoef,1,impvol_order-2)*F64+OFFSET(VolSkewCoef,2,impvol_order-2)*F64^2+IF(impvol_order&gt;2,OFFSET(VolSkewCoef,3,impvol_order-2)*F64^3,0)+IF(impvol_order&gt;3,OFFSET(VolSkewCoef,4,impvol_order-2)*F64^4,0)+IF(impvol_order&gt;4,OFFSET(VolSkewCoef,5,impvol_order-2)*F64^5,0)</f>
        <v>0.516869550062429</v>
      </c>
      <c r="I64" s="64" t="n">
        <f aca="true">OFFSET(VolSkewCoef,0,impvol_order-2)+OFFSET(VolSkewCoef,1,impvol_order-2)*E64+OFFSET(VolSkewCoef,2,impvol_order-2)*E64^2+IF(impvol_order&gt;2,OFFSET(VolSkewCoef,3,impvol_order-2)*E64^3,0)+IF(impvol_order&gt;3,OFFSET(VolSkewCoef,4,impvol_order-2)*E64^4,0)+IF(impvol_order&gt;4,OFFSET(VolSkewCoef,5,impvol_order-2)*E64^5,0)</f>
        <v>0.51684664937642</v>
      </c>
      <c r="J64" s="64" t="n">
        <f aca="true">OFFSET(VolSkewCoef,0,impvol_order-2)+OFFSET(VolSkewCoef,1,impvol_order-2)*G64+OFFSET(VolSkewCoef,2,impvol_order-2)*G64^2+IF(impvol_order&gt;2,OFFSET(VolSkewCoef,3,impvol_order-2)*G64^3,0)+IF(impvol_order&gt;3,OFFSET(VolSkewCoef,4,impvol_order-2)*G64^4,0)+IF(impvol_order&gt;4,OFFSET(VolSkewCoef,5,impvol_order-2)*G64^5,0)</f>
        <v>0.516823845928622</v>
      </c>
      <c r="L64" s="79" t="e">
        <f aca="false">EURO(UnderlyingPrice,$D64,IntRate,Yield,$I64,$D$6,L$12,0)</f>
        <v>#NAME?</v>
      </c>
      <c r="M64" s="79" t="e">
        <f aca="false">EURO(UnderlyingPrice,$D64,IntRate,Yield,$I64,$D$6,M$12,0)</f>
        <v>#NAME?</v>
      </c>
      <c r="O64" s="79" t="e">
        <f aca="false">EURO(UnderlyingPrice,$D64*(1+$P$8),IntRate,Yield,$H64,Expiry-Today,O$12,0)</f>
        <v>#NAME?</v>
      </c>
      <c r="P64" s="79" t="e">
        <f aca="false">EURO(UnderlyingPrice,$D64*(1+$P$8),IntRate,Yield,$H64,Expiry-Today,P$12,0)</f>
        <v>#NAME?</v>
      </c>
      <c r="R64" s="79" t="e">
        <f aca="false">EURO(UnderlyingPrice,$D64*(1-$P$8),IntRate,Yield,$J64,Expiry-Today,R$12,0)</f>
        <v>#NAME?</v>
      </c>
      <c r="S64" s="79" t="e">
        <f aca="false">EURO(UnderlyingPrice,$D64*(1-$P$8),IntRate,Yield,$J64,Expiry-Today,S$12,0)</f>
        <v>#NAME?</v>
      </c>
      <c r="U64" s="80" t="e">
        <f aca="false">(O64+R64-2*L64)/($P$8*D64)^2</f>
        <v>#NAME?</v>
      </c>
      <c r="V64" s="80"/>
      <c r="W64" s="81" t="e">
        <f aca="false">U64/$D$9</f>
        <v>#NAME?</v>
      </c>
      <c r="Z64" s="80" t="n">
        <f aca="false">(1/(D64*SQRT(2*PI()*T/365.25*ATMImpVol^2)))</f>
        <v>0.254219712730926</v>
      </c>
      <c r="AA64" s="80" t="n">
        <f aca="false">LN(D64/UnderlyingPrice)+0.5*T/365.25*ATMImpVol^2</f>
        <v>0.0413171705746276</v>
      </c>
      <c r="AB64" s="80" t="n">
        <f aca="false">-(AA64^2)</f>
        <v>-0.00170710858429287</v>
      </c>
      <c r="AC64" s="80" t="n">
        <f aca="false">AB64/(2*T/365.25*ATMImpVol^2)</f>
        <v>-0.00793584817319119</v>
      </c>
      <c r="AD64" s="82" t="n">
        <f aca="false">EXP(AC64)</f>
        <v>0.992095557538026</v>
      </c>
      <c r="AE64" s="82" t="n">
        <f aca="false">AD64*Z64</f>
        <v>0.252210247638945</v>
      </c>
      <c r="AF64" s="82"/>
      <c r="AG64" s="83" t="n">
        <f aca="false">(LN($D64/UnderlyingPrice)+0.5*ATMImpVol^2*(T/365.25))/(ATMImpVol*SQRT(T/365.25))</f>
        <v>0.125982920851925</v>
      </c>
      <c r="AH64" s="83" t="n">
        <f aca="false">(LN(($D64*(1+$P$8))/UnderlyingPrice)+0.5*ATMImpVol^2*(T/365.25))/(ATMImpVol*SQRT(T/365.25))</f>
        <v>0.127507122943509</v>
      </c>
      <c r="AI64" s="83" t="n">
        <f aca="false">(LN($D64*(1-$P$8)/UnderlyingPrice)+0.5*ATMImpVol^2*(T/365.25))/(ATMImpVol*SQRT(T/365.25))</f>
        <v>0.124457956468691</v>
      </c>
      <c r="AJ64" s="81"/>
      <c r="AK64" s="83" t="e">
        <f aca="false">W64/(AH64-AI64)*(D64*2*$P$8)</f>
        <v>#NAME?</v>
      </c>
      <c r="AL64" s="83"/>
      <c r="AM64" s="84" t="n">
        <v>2</v>
      </c>
      <c r="AN64" s="85" t="n">
        <f aca="false">NORMDIST(AM64,0,1,FALSE())</f>
        <v>0.0539909665131881</v>
      </c>
      <c r="AX64" s="87" t="n">
        <f aca="true">OFFSET(ENAVolCoef,0,impvol_order-2)+OFFSET(ENAVolCoef,1,impvol_order-2)*E64+OFFSET(ENAVolCoef,2,impvol_order-2)*E64^2+IF(impvol_order&gt;2,OFFSET(ENAVolCoef,3,impvol_order-2)*E64^3,0)+IF(impvol_order&gt;3,OFFSET(ENAVolCoef,4,impvol_order-2)*E64^4,0)+IF(impvol_order&gt;4,OFFSET(ENAVolCoef,5,impvol_order-2)*E64^5,0)</f>
        <v>0.491182447802613</v>
      </c>
      <c r="AY64" s="87" t="n">
        <f aca="true">OFFSET(ENAVolCoef,0,impvol_order-2)+OFFSET(ENAVolCoef,1,impvol_order-2)*F64+OFFSET(ENAVolCoef,2,impvol_order-2)*F64^2+IF(impvol_order&gt;2,OFFSET(ENAVolCoef,3,impvol_order-2)*F64^3,0)+IF(impvol_order&gt;3,OFFSET(ENAVolCoef,4,impvol_order-2)*F64^4,0)+IF(impvol_order&gt;4,OFFSET(ENAVolCoef,5,impvol_order-2)*F64^5,0)</f>
        <v>0.491199343665255</v>
      </c>
      <c r="AZ64" s="87" t="n">
        <f aca="true">OFFSET(ENAVolCoef,0,impvol_order-2)+OFFSET(ENAVolCoef,1,impvol_order-2)*G64+OFFSET(ENAVolCoef,2,impvol_order-2)*G64^2+IF(impvol_order&gt;2,OFFSET(ENAVolCoef,3,impvol_order-2)*G64^3,0)+IF(impvol_order&gt;3,OFFSET(ENAVolCoef,4,impvol_order-2)*G64^4,0)+IF(impvol_order&gt;4,OFFSET(ENAVolCoef,5,impvol_order-2)*G64^5,0)</f>
        <v>0.491165631518764</v>
      </c>
      <c r="BB64" s="48" t="e">
        <f aca="false">EURO(UnderlyingPrice,$D64,IntRate,Yield,AX64,$D$6,1,0)</f>
        <v>#NAME?</v>
      </c>
      <c r="BC64" s="48" t="e">
        <f aca="false">EURO(UnderlyingPrice,$D64*(1+$P$8),IntRate,Yield,AY64,$D$6,1,0)</f>
        <v>#NAME?</v>
      </c>
      <c r="BD64" s="48" t="e">
        <f aca="false">EURO(UnderlyingPrice,$D64*(1-$P$8),IntRate,Yield,AZ64,$D$6,1,0)</f>
        <v>#NAME?</v>
      </c>
      <c r="BF64" s="80" t="e">
        <f aca="false">(BC64+BD64-2*BB64)/($P$8*$D64)^2</f>
        <v>#NAME?</v>
      </c>
      <c r="BG64" s="48" t="e">
        <f aca="false">+BF64/$D$9</f>
        <v>#NAME?</v>
      </c>
      <c r="BI64" s="79" t="e">
        <f aca="false">+BB64-L64</f>
        <v>#NAME?</v>
      </c>
      <c r="BJ64" s="65" t="e">
        <f aca="false">+BI64/BB64</f>
        <v>#NAME?</v>
      </c>
    </row>
    <row r="65" customFormat="false" ht="11.25" hidden="false" customHeight="false" outlineLevel="0" collapsed="false">
      <c r="C65" s="77" t="n">
        <v>52</v>
      </c>
      <c r="D65" s="78" t="n">
        <f aca="true">D64+(ROUNDUP(MAX(StrikeRange),1)-ROUNDDOWN(MIN(StrikeRange),1))/100</f>
        <v>4.82000000000001</v>
      </c>
      <c r="E65" s="64" t="n">
        <f aca="false">+D65/UnderlyingPrice-1</f>
        <v>-0.00515995872032871</v>
      </c>
      <c r="F65" s="64" t="n">
        <f aca="false">+D65*(1+$P$8)/UnderlyingPrice-1</f>
        <v>-0.00466253869968891</v>
      </c>
      <c r="G65" s="64" t="n">
        <f aca="false">+D65*(1-$P$8)/UnderlyingPrice-1</f>
        <v>-0.00565737874096839</v>
      </c>
      <c r="H65" s="64" t="n">
        <f aca="true">OFFSET(VolSkewCoef,0,impvol_order-2)+OFFSET(VolSkewCoef,1,impvol_order-2)*F65+OFFSET(VolSkewCoef,2,impvol_order-2)*F65^2+IF(impvol_order&gt;2,OFFSET(VolSkewCoef,3,impvol_order-2)*F65^3,0)+IF(impvol_order&gt;3,OFFSET(VolSkewCoef,4,impvol_order-2)*F65^4,0)+IF(impvol_order&gt;4,OFFSET(VolSkewCoef,5,impvol_order-2)*F65^5,0)</f>
        <v>0.517215782473582</v>
      </c>
      <c r="I65" s="64" t="n">
        <f aca="true">OFFSET(VolSkewCoef,0,impvol_order-2)+OFFSET(VolSkewCoef,1,impvol_order-2)*E65+OFFSET(VolSkewCoef,2,impvol_order-2)*E65^2+IF(impvol_order&gt;2,OFFSET(VolSkewCoef,3,impvol_order-2)*E65^3,0)+IF(impvol_order&gt;3,OFFSET(VolSkewCoef,4,impvol_order-2)*E65^4,0)+IF(impvol_order&gt;4,OFFSET(VolSkewCoef,5,impvol_order-2)*E65^5,0)</f>
        <v>0.517191295049013</v>
      </c>
      <c r="J65" s="64" t="n">
        <f aca="true">OFFSET(VolSkewCoef,0,impvol_order-2)+OFFSET(VolSkewCoef,1,impvol_order-2)*G65+OFFSET(VolSkewCoef,2,impvol_order-2)*G65^2+IF(impvol_order&gt;2,OFFSET(VolSkewCoef,3,impvol_order-2)*G65^3,0)+IF(impvol_order&gt;3,OFFSET(VolSkewCoef,4,impvol_order-2)*G65^4,0)+IF(impvol_order&gt;4,OFFSET(VolSkewCoef,5,impvol_order-2)*G65^5,0)</f>
        <v>0.517166904482121</v>
      </c>
      <c r="L65" s="79" t="e">
        <f aca="false">EURO(UnderlyingPrice,$D65,IntRate,Yield,$I65,$D$6,L$12,0)</f>
        <v>#NAME?</v>
      </c>
      <c r="M65" s="79" t="e">
        <f aca="false">EURO(UnderlyingPrice,$D65,IntRate,Yield,$I65,$D$6,M$12,0)</f>
        <v>#NAME?</v>
      </c>
      <c r="O65" s="79" t="e">
        <f aca="false">EURO(UnderlyingPrice,$D65*(1+$P$8),IntRate,Yield,$H65,Expiry-Today,O$12,0)</f>
        <v>#NAME?</v>
      </c>
      <c r="P65" s="79" t="e">
        <f aca="false">EURO(UnderlyingPrice,$D65*(1+$P$8),IntRate,Yield,$H65,Expiry-Today,P$12,0)</f>
        <v>#NAME?</v>
      </c>
      <c r="R65" s="79" t="e">
        <f aca="false">EURO(UnderlyingPrice,$D65*(1-$P$8),IntRate,Yield,$J65,Expiry-Today,R$12,0)</f>
        <v>#NAME?</v>
      </c>
      <c r="S65" s="79" t="e">
        <f aca="false">EURO(UnderlyingPrice,$D65*(1-$P$8),IntRate,Yield,$J65,Expiry-Today,S$12,0)</f>
        <v>#NAME?</v>
      </c>
      <c r="U65" s="80" t="e">
        <f aca="false">(O65+R65-2*L65)/($P$8*D65)^2</f>
        <v>#NAME?</v>
      </c>
      <c r="V65" s="80"/>
      <c r="W65" s="81" t="e">
        <f aca="false">U65/$D$9</f>
        <v>#NAME?</v>
      </c>
      <c r="Z65" s="80" t="n">
        <f aca="false">(1/(D65*SQRT(2*PI()*T/365.25*ATMImpVol^2)))</f>
        <v>0.252373718966282</v>
      </c>
      <c r="AA65" s="80" t="n">
        <f aca="false">LN(D65/UnderlyingPrice)+0.5*T/365.25*ATMImpVol^2</f>
        <v>0.0486050737322189</v>
      </c>
      <c r="AB65" s="80" t="n">
        <f aca="false">-(AA65^2)</f>
        <v>-0.00236245319251444</v>
      </c>
      <c r="AC65" s="80" t="n">
        <f aca="false">AB65/(2*T/365.25*ATMImpVol^2)</f>
        <v>-0.0109823534510731</v>
      </c>
      <c r="AD65" s="82" t="n">
        <f aca="false">EXP(AC65)</f>
        <v>0.989077732429968</v>
      </c>
      <c r="AE65" s="82" t="n">
        <f aca="false">AD65*Z65</f>
        <v>0.249617225680088</v>
      </c>
      <c r="AF65" s="82"/>
      <c r="AG65" s="83" t="n">
        <f aca="false">(LN($D65/UnderlyingPrice)+0.5*ATMImpVol^2*(T/365.25))/(ATMImpVol*SQRT(T/365.25))</f>
        <v>0.148204948979939</v>
      </c>
      <c r="AH65" s="83" t="n">
        <f aca="false">(LN(($D65*(1+$P$8))/UnderlyingPrice)+0.5*ATMImpVol^2*(T/365.25))/(ATMImpVol*SQRT(T/365.25))</f>
        <v>0.149729151071523</v>
      </c>
      <c r="AI65" s="83" t="n">
        <f aca="false">(LN($D65*(1-$P$8)/UnderlyingPrice)+0.5*ATMImpVol^2*(T/365.25))/(ATMImpVol*SQRT(T/365.25))</f>
        <v>0.146679984596705</v>
      </c>
      <c r="AJ65" s="81"/>
      <c r="AK65" s="83" t="e">
        <f aca="false">W65/(AH65-AI65)*(D65*2*$P$8)</f>
        <v>#NAME?</v>
      </c>
      <c r="AL65" s="83"/>
      <c r="AM65" s="84" t="n">
        <v>2.1</v>
      </c>
      <c r="AN65" s="85" t="n">
        <f aca="false">NORMDIST(AM65,0,1,FALSE())</f>
        <v>0.0439835959804272</v>
      </c>
      <c r="AX65" s="87" t="n">
        <f aca="true">OFFSET(ENAVolCoef,0,impvol_order-2)+OFFSET(ENAVolCoef,1,impvol_order-2)*E65+OFFSET(ENAVolCoef,2,impvol_order-2)*E65^2+IF(impvol_order&gt;2,OFFSET(ENAVolCoef,3,impvol_order-2)*E65^3,0)+IF(impvol_order&gt;3,OFFSET(ENAVolCoef,4,impvol_order-2)*E65^4,0)+IF(impvol_order&gt;4,OFFSET(ENAVolCoef,5,impvol_order-2)*E65^5,0)</f>
        <v>0.491437512796446</v>
      </c>
      <c r="AY65" s="87" t="n">
        <f aca="true">OFFSET(ENAVolCoef,0,impvol_order-2)+OFFSET(ENAVolCoef,1,impvol_order-2)*F65+OFFSET(ENAVolCoef,2,impvol_order-2)*F65^2+IF(impvol_order&gt;2,OFFSET(ENAVolCoef,3,impvol_order-2)*F65^3,0)+IF(impvol_order&gt;3,OFFSET(ENAVolCoef,4,impvol_order-2)*F65^4,0)+IF(impvol_order&gt;4,OFFSET(ENAVolCoef,5,impvol_order-2)*F65^5,0)</f>
        <v>0.491455696647139</v>
      </c>
      <c r="AZ65" s="87" t="n">
        <f aca="true">OFFSET(ENAVolCoef,0,impvol_order-2)+OFFSET(ENAVolCoef,1,impvol_order-2)*G65+OFFSET(ENAVolCoef,2,impvol_order-2)*G65^2+IF(impvol_order&gt;2,OFFSET(ENAVolCoef,3,impvol_order-2)*G65^3,0)+IF(impvol_order&gt;3,OFFSET(ENAVolCoef,4,impvol_order-2)*G65^4,0)+IF(impvol_order&gt;4,OFFSET(ENAVolCoef,5,impvol_order-2)*G65^5,0)</f>
        <v>0.491419408589107</v>
      </c>
      <c r="BB65" s="48" t="e">
        <f aca="false">EURO(UnderlyingPrice,$D65,IntRate,Yield,AX65,$D$6,1,0)</f>
        <v>#NAME?</v>
      </c>
      <c r="BC65" s="48" t="e">
        <f aca="false">EURO(UnderlyingPrice,$D65*(1+$P$8),IntRate,Yield,AY65,$D$6,1,0)</f>
        <v>#NAME?</v>
      </c>
      <c r="BD65" s="48" t="e">
        <f aca="false">EURO(UnderlyingPrice,$D65*(1-$P$8),IntRate,Yield,AZ65,$D$6,1,0)</f>
        <v>#NAME?</v>
      </c>
      <c r="BF65" s="80" t="e">
        <f aca="false">(BC65+BD65-2*BB65)/($P$8*$D65)^2</f>
        <v>#NAME?</v>
      </c>
      <c r="BG65" s="48" t="e">
        <f aca="false">+BF65/$D$9</f>
        <v>#NAME?</v>
      </c>
      <c r="BI65" s="79" t="e">
        <f aca="false">+BB65-L65</f>
        <v>#NAME?</v>
      </c>
      <c r="BJ65" s="65" t="e">
        <f aca="false">+BI65/BB65</f>
        <v>#NAME?</v>
      </c>
    </row>
    <row r="66" customFormat="false" ht="11.25" hidden="false" customHeight="false" outlineLevel="0" collapsed="false">
      <c r="C66" s="77" t="n">
        <v>53</v>
      </c>
      <c r="D66" s="78" t="n">
        <f aca="true">D65+(ROUNDUP(MAX(StrikeRange),1)-ROUNDDOWN(MIN(StrikeRange),1))/100</f>
        <v>4.85500000000001</v>
      </c>
      <c r="E66" s="64" t="n">
        <f aca="false">+D66/UnderlyingPrice-1</f>
        <v>0.00206398348813375</v>
      </c>
      <c r="F66" s="64" t="n">
        <f aca="false">+D66*(1+$P$8)/UnderlyingPrice-1</f>
        <v>0.00256501547987775</v>
      </c>
      <c r="G66" s="64" t="n">
        <f aca="false">+D66*(1-$P$8)/UnderlyingPrice-1</f>
        <v>0.00156295149638974</v>
      </c>
      <c r="H66" s="64" t="n">
        <f aca="true">OFFSET(VolSkewCoef,0,impvol_order-2)+OFFSET(VolSkewCoef,1,impvol_order-2)*F66+OFFSET(VolSkewCoef,2,impvol_order-2)*F66^2+IF(impvol_order&gt;2,OFFSET(VolSkewCoef,3,impvol_order-2)*F66^3,0)+IF(impvol_order&gt;3,OFFSET(VolSkewCoef,4,impvol_order-2)*F66^4,0)+IF(impvol_order&gt;4,OFFSET(VolSkewCoef,5,impvol_order-2)*F66^5,0)</f>
        <v>0.517582437511413</v>
      </c>
      <c r="I66" s="64" t="n">
        <f aca="true">OFFSET(VolSkewCoef,0,impvol_order-2)+OFFSET(VolSkewCoef,1,impvol_order-2)*E66+OFFSET(VolSkewCoef,2,impvol_order-2)*E66^2+IF(impvol_order&gt;2,OFFSET(VolSkewCoef,3,impvol_order-2)*E66^3,0)+IF(impvol_order&gt;3,OFFSET(VolSkewCoef,4,impvol_order-2)*E66^4,0)+IF(impvol_order&gt;4,OFFSET(VolSkewCoef,5,impvol_order-2)*E66^5,0)</f>
        <v>0.517556369201668</v>
      </c>
      <c r="J66" s="64" t="n">
        <f aca="true">OFFSET(VolSkewCoef,0,impvol_order-2)+OFFSET(VolSkewCoef,1,impvol_order-2)*G66+OFFSET(VolSkewCoef,2,impvol_order-2)*G66^2+IF(impvol_order&gt;2,OFFSET(VolSkewCoef,3,impvol_order-2)*G66^3,0)+IF(impvol_order&gt;3,OFFSET(VolSkewCoef,4,impvol_order-2)*G66^4,0)+IF(impvol_order&gt;4,OFFSET(VolSkewCoef,5,impvol_order-2)*G66^5,0)</f>
        <v>0.517530397326761</v>
      </c>
      <c r="L66" s="79" t="e">
        <f aca="false">EURO(UnderlyingPrice,$D66,IntRate,Yield,$I66,$D$6,L$12,0)</f>
        <v>#NAME?</v>
      </c>
      <c r="M66" s="79" t="e">
        <f aca="false">EURO(UnderlyingPrice,$D66,IntRate,Yield,$I66,$D$6,M$12,0)</f>
        <v>#NAME?</v>
      </c>
      <c r="O66" s="79" t="e">
        <f aca="false">EURO(UnderlyingPrice,$D66*(1+$P$8),IntRate,Yield,$H66,Expiry-Today,O$12,0)</f>
        <v>#NAME?</v>
      </c>
      <c r="P66" s="79" t="e">
        <f aca="false">EURO(UnderlyingPrice,$D66*(1+$P$8),IntRate,Yield,$H66,Expiry-Today,P$12,0)</f>
        <v>#NAME?</v>
      </c>
      <c r="R66" s="79" t="e">
        <f aca="false">EURO(UnderlyingPrice,$D66*(1-$P$8),IntRate,Yield,$J66,Expiry-Today,R$12,0)</f>
        <v>#NAME?</v>
      </c>
      <c r="S66" s="79" t="e">
        <f aca="false">EURO(UnderlyingPrice,$D66*(1-$P$8),IntRate,Yield,$J66,Expiry-Today,S$12,0)</f>
        <v>#NAME?</v>
      </c>
      <c r="U66" s="80" t="e">
        <f aca="false">(O66+R66-2*L66)/($P$8*D66)^2</f>
        <v>#NAME?</v>
      </c>
      <c r="V66" s="80"/>
      <c r="W66" s="81" t="e">
        <f aca="false">U66/$D$9</f>
        <v>#NAME?</v>
      </c>
      <c r="Z66" s="80" t="n">
        <f aca="false">(1/(D66*SQRT(2*PI()*T/365.25*ATMImpVol^2)))</f>
        <v>0.250554340971675</v>
      </c>
      <c r="AA66" s="80" t="n">
        <f aca="false">LN(D66/UnderlyingPrice)+0.5*T/365.25*ATMImpVol^2</f>
        <v>0.0558402474129983</v>
      </c>
      <c r="AB66" s="80" t="n">
        <f aca="false">-(AA66^2)</f>
        <v>-0.00311813323114486</v>
      </c>
      <c r="AC66" s="80" t="n">
        <f aca="false">AB66/(2*T/365.25*ATMImpVol^2)</f>
        <v>-0.0144952887788317</v>
      </c>
      <c r="AD66" s="82" t="n">
        <f aca="false">EXP(AC66)</f>
        <v>0.985609262144664</v>
      </c>
      <c r="AE66" s="82" t="n">
        <f aca="false">AD66*Z66</f>
        <v>0.246948679132235</v>
      </c>
      <c r="AF66" s="82"/>
      <c r="AG66" s="83" t="n">
        <f aca="false">(LN($D66/UnderlyingPrice)+0.5*ATMImpVol^2*(T/365.25))/(ATMImpVol*SQRT(T/365.25))</f>
        <v>0.170266196168422</v>
      </c>
      <c r="AH66" s="83" t="n">
        <f aca="false">(LN(($D66*(1+$P$8))/UnderlyingPrice)+0.5*ATMImpVol^2*(T/365.25))/(ATMImpVol*SQRT(T/365.25))</f>
        <v>0.171790398260005</v>
      </c>
      <c r="AI66" s="83" t="n">
        <f aca="false">(LN($D66*(1-$P$8)/UnderlyingPrice)+0.5*ATMImpVol^2*(T/365.25))/(ATMImpVol*SQRT(T/365.25))</f>
        <v>0.168741231785187</v>
      </c>
      <c r="AJ66" s="81"/>
      <c r="AK66" s="83" t="e">
        <f aca="false">W66/(AH66-AI66)*(D66*2*$P$8)</f>
        <v>#NAME?</v>
      </c>
      <c r="AL66" s="83"/>
      <c r="AM66" s="84" t="n">
        <v>2.2</v>
      </c>
      <c r="AN66" s="85" t="n">
        <f aca="false">NORMDIST(AM66,0,1,FALSE())</f>
        <v>0.0354745928462314</v>
      </c>
      <c r="AX66" s="87" t="n">
        <f aca="true">OFFSET(ENAVolCoef,0,impvol_order-2)+OFFSET(ENAVolCoef,1,impvol_order-2)*E66+OFFSET(ENAVolCoef,2,impvol_order-2)*E66^2+IF(impvol_order&gt;2,OFFSET(ENAVolCoef,3,impvol_order-2)*E66^3,0)+IF(impvol_order&gt;3,OFFSET(ENAVolCoef,4,impvol_order-2)*E66^4,0)+IF(impvol_order&gt;4,OFFSET(ENAVolCoef,5,impvol_order-2)*E66^5,0)</f>
        <v>0.49170937555683</v>
      </c>
      <c r="AY66" s="87" t="n">
        <f aca="true">OFFSET(ENAVolCoef,0,impvol_order-2)+OFFSET(ENAVolCoef,1,impvol_order-2)*F66+OFFSET(ENAVolCoef,2,impvol_order-2)*F66^2+IF(impvol_order&gt;2,OFFSET(ENAVolCoef,3,impvol_order-2)*F66^3,0)+IF(impvol_order&gt;3,OFFSET(ENAVolCoef,4,impvol_order-2)*F66^4,0)+IF(impvol_order&gt;4,OFFSET(ENAVolCoef,5,impvol_order-2)*F66^5,0)</f>
        <v>0.491728848150342</v>
      </c>
      <c r="AZ66" s="87" t="n">
        <f aca="true">OFFSET(ENAVolCoef,0,impvol_order-2)+OFFSET(ENAVolCoef,1,impvol_order-2)*G66+OFFSET(ENAVolCoef,2,impvol_order-2)*G66^2+IF(impvol_order&gt;2,OFFSET(ENAVolCoef,3,impvol_order-2)*G66^3,0)+IF(impvol_order&gt;3,OFFSET(ENAVolCoef,4,impvol_order-2)*G66^4,0)+IF(impvol_order&gt;4,OFFSET(ENAVolCoef,5,impvol_order-2)*G66^5,0)</f>
        <v>0.491689982647568</v>
      </c>
      <c r="BB66" s="48" t="e">
        <f aca="false">EURO(UnderlyingPrice,$D66,IntRate,Yield,AX66,$D$6,1,0)</f>
        <v>#NAME?</v>
      </c>
      <c r="BC66" s="48" t="e">
        <f aca="false">EURO(UnderlyingPrice,$D66*(1+$P$8),IntRate,Yield,AY66,$D$6,1,0)</f>
        <v>#NAME?</v>
      </c>
      <c r="BD66" s="48" t="e">
        <f aca="false">EURO(UnderlyingPrice,$D66*(1-$P$8),IntRate,Yield,AZ66,$D$6,1,0)</f>
        <v>#NAME?</v>
      </c>
      <c r="BF66" s="80" t="e">
        <f aca="false">(BC66+BD66-2*BB66)/($P$8*$D66)^2</f>
        <v>#NAME?</v>
      </c>
      <c r="BG66" s="48" t="e">
        <f aca="false">+BF66/$D$9</f>
        <v>#NAME?</v>
      </c>
      <c r="BI66" s="79" t="e">
        <f aca="false">+BB66-L66</f>
        <v>#NAME?</v>
      </c>
      <c r="BJ66" s="65" t="e">
        <f aca="false">+BI66/BB66</f>
        <v>#NAME?</v>
      </c>
    </row>
    <row r="67" customFormat="false" ht="11.25" hidden="false" customHeight="false" outlineLevel="0" collapsed="false">
      <c r="C67" s="77" t="n">
        <v>54</v>
      </c>
      <c r="D67" s="78" t="n">
        <f aca="true">D66+(ROUNDUP(MAX(StrikeRange),1)-ROUNDDOWN(MIN(StrikeRange),1))/100</f>
        <v>4.89000000000001</v>
      </c>
      <c r="E67" s="64" t="n">
        <f aca="false">+D67/UnderlyingPrice-1</f>
        <v>0.00928792569659609</v>
      </c>
      <c r="F67" s="64" t="n">
        <f aca="false">+D67*(1+$P$8)/UnderlyingPrice-1</f>
        <v>0.00979256965944431</v>
      </c>
      <c r="G67" s="64" t="n">
        <f aca="false">+D67*(1-$P$8)/UnderlyingPrice-1</f>
        <v>0.00878328173374787</v>
      </c>
      <c r="H67" s="64" t="n">
        <f aca="true">OFFSET(VolSkewCoef,0,impvol_order-2)+OFFSET(VolSkewCoef,1,impvol_order-2)*F67+OFFSET(VolSkewCoef,2,impvol_order-2)*F67^2+IF(impvol_order&gt;2,OFFSET(VolSkewCoef,3,impvol_order-2)*F67^3,0)+IF(impvol_order&gt;3,OFFSET(VolSkewCoef,4,impvol_order-2)*F67^4,0)+IF(impvol_order&gt;4,OFFSET(VolSkewCoef,5,impvol_order-2)*F67^5,0)</f>
        <v>0.517969133224047</v>
      </c>
      <c r="I67" s="64" t="n">
        <f aca="true">OFFSET(VolSkewCoef,0,impvol_order-2)+OFFSET(VolSkewCoef,1,impvol_order-2)*E67+OFFSET(VolSkewCoef,2,impvol_order-2)*E67^2+IF(impvol_order&gt;2,OFFSET(VolSkewCoef,3,impvol_order-2)*E67^3,0)+IF(impvol_order&gt;3,OFFSET(VolSkewCoef,4,impvol_order-2)*E67^4,0)+IF(impvol_order&gt;4,OFFSET(VolSkewCoef,5,impvol_order-2)*E67^5,0)</f>
        <v>0.517941490454865</v>
      </c>
      <c r="J67" s="64" t="n">
        <f aca="true">OFFSET(VolSkewCoef,0,impvol_order-2)+OFFSET(VolSkewCoef,1,impvol_order-2)*G67+OFFSET(VolSkewCoef,2,impvol_order-2)*G67^2+IF(impvol_order&gt;2,OFFSET(VolSkewCoef,3,impvol_order-2)*G67^3,0)+IF(impvol_order&gt;3,OFFSET(VolSkewCoef,4,impvol_order-2)*G67^4,0)+IF(impvol_order&gt;4,OFFSET(VolSkewCoef,5,impvol_order-2)*G67^5,0)</f>
        <v>0.517913943654804</v>
      </c>
      <c r="L67" s="79" t="e">
        <f aca="false">EURO(UnderlyingPrice,$D67,IntRate,Yield,$I67,$D$6,L$12,0)</f>
        <v>#NAME?</v>
      </c>
      <c r="M67" s="79" t="e">
        <f aca="false">EURO(UnderlyingPrice,$D67,IntRate,Yield,$I67,$D$6,M$12,0)</f>
        <v>#NAME?</v>
      </c>
      <c r="O67" s="79" t="e">
        <f aca="false">EURO(UnderlyingPrice,$D67*(1+$P$8),IntRate,Yield,$H67,Expiry-Today,O$12,0)</f>
        <v>#NAME?</v>
      </c>
      <c r="P67" s="79" t="e">
        <f aca="false">EURO(UnderlyingPrice,$D67*(1+$P$8),IntRate,Yield,$H67,Expiry-Today,P$12,0)</f>
        <v>#NAME?</v>
      </c>
      <c r="R67" s="79" t="e">
        <f aca="false">EURO(UnderlyingPrice,$D67*(1-$P$8),IntRate,Yield,$J67,Expiry-Today,R$12,0)</f>
        <v>#NAME?</v>
      </c>
      <c r="S67" s="79" t="e">
        <f aca="false">EURO(UnderlyingPrice,$D67*(1-$P$8),IntRate,Yield,$J67,Expiry-Today,S$12,0)</f>
        <v>#NAME?</v>
      </c>
      <c r="U67" s="80" t="e">
        <f aca="false">(O67+R67-2*L67)/($P$8*D67)^2</f>
        <v>#NAME?</v>
      </c>
      <c r="V67" s="80"/>
      <c r="W67" s="81" t="e">
        <f aca="false">U67/$D$9</f>
        <v>#NAME?</v>
      </c>
      <c r="Z67" s="80" t="n">
        <f aca="false">(1/(D67*SQRT(2*PI()*T/365.25*ATMImpVol^2)))</f>
        <v>0.248761007242838</v>
      </c>
      <c r="AA67" s="80" t="n">
        <f aca="false">LN(D67/UnderlyingPrice)+0.5*T/365.25*ATMImpVol^2</f>
        <v>0.0630234491564907</v>
      </c>
      <c r="AB67" s="80" t="n">
        <f aca="false">-(AA67^2)</f>
        <v>-0.00397195514358077</v>
      </c>
      <c r="AC67" s="80" t="n">
        <f aca="false">AB67/(2*T/365.25*ATMImpVol^2)</f>
        <v>-0.0184644569538262</v>
      </c>
      <c r="AD67" s="82" t="n">
        <f aca="false">EXP(AC67)</f>
        <v>0.981704966756663</v>
      </c>
      <c r="AE67" s="82" t="n">
        <f aca="false">AD67*Z67</f>
        <v>0.244209916345685</v>
      </c>
      <c r="AF67" s="82"/>
      <c r="AG67" s="83" t="n">
        <f aca="false">(LN($D67/UnderlyingPrice)+0.5*ATMImpVol^2*(T/365.25))/(ATMImpVol*SQRT(T/365.25))</f>
        <v>0.192168972281303</v>
      </c>
      <c r="AH67" s="83" t="n">
        <f aca="false">(LN(($D67*(1+$P$8))/UnderlyingPrice)+0.5*ATMImpVol^2*(T/365.25))/(ATMImpVol*SQRT(T/365.25))</f>
        <v>0.193693174372887</v>
      </c>
      <c r="AI67" s="83" t="n">
        <f aca="false">(LN($D67*(1-$P$8)/UnderlyingPrice)+0.5*ATMImpVol^2*(T/365.25))/(ATMImpVol*SQRT(T/365.25))</f>
        <v>0.190644007898069</v>
      </c>
      <c r="AJ67" s="81"/>
      <c r="AK67" s="83" t="e">
        <f aca="false">W67/(AH67-AI67)*(D67*2*$P$8)</f>
        <v>#NAME?</v>
      </c>
      <c r="AL67" s="83"/>
      <c r="AM67" s="84" t="n">
        <v>2.3</v>
      </c>
      <c r="AN67" s="85" t="n">
        <f aca="false">NORMDIST(AM67,0,1,FALSE())</f>
        <v>0.0283270377416012</v>
      </c>
      <c r="AX67" s="87" t="n">
        <f aca="true">OFFSET(ENAVolCoef,0,impvol_order-2)+OFFSET(ENAVolCoef,1,impvol_order-2)*E67+OFFSET(ENAVolCoef,2,impvol_order-2)*E67^2+IF(impvol_order&gt;2,OFFSET(ENAVolCoef,3,impvol_order-2)*E67^3,0)+IF(impvol_order&gt;3,OFFSET(ENAVolCoef,4,impvol_order-2)*E67^4,0)+IF(impvol_order&gt;4,OFFSET(ENAVolCoef,5,impvol_order-2)*E67^5,0)</f>
        <v>0.491997803266055</v>
      </c>
      <c r="AY67" s="87" t="n">
        <f aca="true">OFFSET(ENAVolCoef,0,impvol_order-2)+OFFSET(ENAVolCoef,1,impvol_order-2)*F67+OFFSET(ENAVolCoef,2,impvol_order-2)*F67^2+IF(impvol_order&gt;2,OFFSET(ENAVolCoef,3,impvol_order-2)*F67^3,0)+IF(impvol_order&gt;3,OFFSET(ENAVolCoef,4,impvol_order-2)*F67^4,0)+IF(impvol_order&gt;4,OFFSET(ENAVolCoef,5,impvol_order-2)*F67^5,0)</f>
        <v>0.492018565007753</v>
      </c>
      <c r="AZ67" s="87" t="n">
        <f aca="true">OFFSET(ENAVolCoef,0,impvol_order-2)+OFFSET(ENAVolCoef,1,impvol_order-2)*G67+OFFSET(ENAVolCoef,2,impvol_order-2)*G67^2+IF(impvol_order&gt;2,OFFSET(ENAVolCoef,3,impvol_order-2)*G67^3,0)+IF(impvol_order&gt;3,OFFSET(ENAVolCoef,4,impvol_order-2)*G67^4,0)+IF(impvol_order&gt;4,OFFSET(ENAVolCoef,5,impvol_order-2)*G67^5,0)</f>
        <v>0.491977121225491</v>
      </c>
      <c r="BB67" s="48" t="e">
        <f aca="false">EURO(UnderlyingPrice,$D67,IntRate,Yield,AX67,$D$6,1,0)</f>
        <v>#NAME?</v>
      </c>
      <c r="BC67" s="48" t="e">
        <f aca="false">EURO(UnderlyingPrice,$D67*(1+$P$8),IntRate,Yield,AY67,$D$6,1,0)</f>
        <v>#NAME?</v>
      </c>
      <c r="BD67" s="48" t="e">
        <f aca="false">EURO(UnderlyingPrice,$D67*(1-$P$8),IntRate,Yield,AZ67,$D$6,1,0)</f>
        <v>#NAME?</v>
      </c>
      <c r="BF67" s="80" t="e">
        <f aca="false">(BC67+BD67-2*BB67)/($P$8*$D67)^2</f>
        <v>#NAME?</v>
      </c>
      <c r="BG67" s="48" t="e">
        <f aca="false">+BF67/$D$9</f>
        <v>#NAME?</v>
      </c>
      <c r="BI67" s="79" t="e">
        <f aca="false">+BB67-L67</f>
        <v>#NAME?</v>
      </c>
      <c r="BJ67" s="65" t="e">
        <f aca="false">+BI67/BB67</f>
        <v>#NAME?</v>
      </c>
    </row>
    <row r="68" customFormat="false" ht="11.25" hidden="false" customHeight="false" outlineLevel="0" collapsed="false">
      <c r="C68" s="77" t="n">
        <v>55</v>
      </c>
      <c r="D68" s="78" t="n">
        <f aca="true">D67+(ROUNDUP(MAX(StrikeRange),1)-ROUNDDOWN(MIN(StrikeRange),1))/100</f>
        <v>4.92500000000001</v>
      </c>
      <c r="E68" s="64" t="n">
        <f aca="false">+D68/UnderlyingPrice-1</f>
        <v>0.0165118679050584</v>
      </c>
      <c r="F68" s="64" t="n">
        <f aca="false">+D68*(1+$P$8)/UnderlyingPrice-1</f>
        <v>0.0170201238390109</v>
      </c>
      <c r="G68" s="64" t="n">
        <f aca="false">+D68*(1-$P$8)/UnderlyingPrice-1</f>
        <v>0.0160036119711058</v>
      </c>
      <c r="H68" s="64" t="n">
        <f aca="true">OFFSET(VolSkewCoef,0,impvol_order-2)+OFFSET(VolSkewCoef,1,impvol_order-2)*F68+OFFSET(VolSkewCoef,2,impvol_order-2)*F68^2+IF(impvol_order&gt;2,OFFSET(VolSkewCoef,3,impvol_order-2)*F68^3,0)+IF(impvol_order&gt;3,OFFSET(VolSkewCoef,4,impvol_order-2)*F68^4,0)+IF(impvol_order&gt;4,OFFSET(VolSkewCoef,5,impvol_order-2)*F68^5,0)</f>
        <v>0.518375487659609</v>
      </c>
      <c r="I68" s="64" t="n">
        <f aca="true">OFFSET(VolSkewCoef,0,impvol_order-2)+OFFSET(VolSkewCoef,1,impvol_order-2)*E68+OFFSET(VolSkewCoef,2,impvol_order-2)*E68^2+IF(impvol_order&gt;2,OFFSET(VolSkewCoef,3,impvol_order-2)*E68^3,0)+IF(impvol_order&gt;3,OFFSET(VolSkewCoef,4,impvol_order-2)*E68^4,0)+IF(impvol_order&gt;4,OFFSET(VolSkewCoef,5,impvol_order-2)*E68^5,0)</f>
        <v>0.518346277429086</v>
      </c>
      <c r="J68" s="64" t="n">
        <f aca="true">OFFSET(VolSkewCoef,0,impvol_order-2)+OFFSET(VolSkewCoef,1,impvol_order-2)*G68+OFFSET(VolSkewCoef,2,impvol_order-2)*G68^2+IF(impvol_order&gt;2,OFFSET(VolSkewCoef,3,impvol_order-2)*G68^3,0)+IF(impvol_order&gt;3,OFFSET(VolSkewCoef,4,impvol_order-2)*G68^4,0)+IF(impvol_order&gt;4,OFFSET(VolSkewCoef,5,impvol_order-2)*G68^5,0)</f>
        <v>0.518317162658513</v>
      </c>
      <c r="L68" s="79" t="e">
        <f aca="false">EURO(UnderlyingPrice,$D68,IntRate,Yield,$I68,$D$6,L$12,0)</f>
        <v>#NAME?</v>
      </c>
      <c r="M68" s="79" t="e">
        <f aca="false">EURO(UnderlyingPrice,$D68,IntRate,Yield,$I68,$D$6,M$12,0)</f>
        <v>#NAME?</v>
      </c>
      <c r="O68" s="79" t="e">
        <f aca="false">EURO(UnderlyingPrice,$D68*(1+$P$8),IntRate,Yield,$H68,Expiry-Today,O$12,0)</f>
        <v>#NAME?</v>
      </c>
      <c r="P68" s="79" t="e">
        <f aca="false">EURO(UnderlyingPrice,$D68*(1+$P$8),IntRate,Yield,$H68,Expiry-Today,P$12,0)</f>
        <v>#NAME?</v>
      </c>
      <c r="R68" s="79" t="e">
        <f aca="false">EURO(UnderlyingPrice,$D68*(1-$P$8),IntRate,Yield,$J68,Expiry-Today,R$12,0)</f>
        <v>#NAME?</v>
      </c>
      <c r="S68" s="79" t="e">
        <f aca="false">EURO(UnderlyingPrice,$D68*(1-$P$8),IntRate,Yield,$J68,Expiry-Today,S$12,0)</f>
        <v>#NAME?</v>
      </c>
      <c r="U68" s="80" t="e">
        <f aca="false">(O68+R68-2*L68)/($P$8*D68)^2</f>
        <v>#NAME?</v>
      </c>
      <c r="V68" s="80"/>
      <c r="W68" s="81" t="e">
        <f aca="false">U68/$D$9</f>
        <v>#NAME?</v>
      </c>
      <c r="Z68" s="80" t="n">
        <f aca="false">(1/(D68*SQRT(2*PI()*T/365.25*ATMImpVol^2)))</f>
        <v>0.246993162521316</v>
      </c>
      <c r="AA68" s="80" t="n">
        <f aca="false">LN(D68/UnderlyingPrice)+0.5*T/365.25*ATMImpVol^2</f>
        <v>0.0701554202937623</v>
      </c>
      <c r="AB68" s="80" t="n">
        <f aca="false">-(AA68^2)</f>
        <v>-0.00492178299659443</v>
      </c>
      <c r="AC68" s="80" t="n">
        <f aca="false">AB68/(2*T/365.25*ATMImpVol^2)</f>
        <v>-0.0228799286476241</v>
      </c>
      <c r="AD68" s="82" t="n">
        <f aca="false">EXP(AC68)</f>
        <v>0.977379832046272</v>
      </c>
      <c r="AE68" s="82" t="n">
        <f aca="false">AD68*Z68</f>
        <v>0.241406135701661</v>
      </c>
      <c r="AF68" s="82"/>
      <c r="AG68" s="83" t="n">
        <f aca="false">(LN($D68/UnderlyingPrice)+0.5*ATMImpVol^2*(T/365.25))/(ATMImpVol*SQRT(T/365.25))</f>
        <v>0.213915537760229</v>
      </c>
      <c r="AH68" s="83" t="n">
        <f aca="false">(LN(($D68*(1+$P$8))/UnderlyingPrice)+0.5*ATMImpVol^2*(T/365.25))/(ATMImpVol*SQRT(T/365.25))</f>
        <v>0.215439739851813</v>
      </c>
      <c r="AI68" s="83" t="n">
        <f aca="false">(LN($D68*(1-$P$8)/UnderlyingPrice)+0.5*ATMImpVol^2*(T/365.25))/(ATMImpVol*SQRT(T/365.25))</f>
        <v>0.212390573376995</v>
      </c>
      <c r="AJ68" s="81"/>
      <c r="AK68" s="83" t="e">
        <f aca="false">W68/(AH68-AI68)*(D68*2*$P$8)</f>
        <v>#NAME?</v>
      </c>
      <c r="AL68" s="83"/>
      <c r="AM68" s="84" t="n">
        <v>2.40000000000001</v>
      </c>
      <c r="AN68" s="85" t="n">
        <f aca="false">NORMDIST(AM68,0,1,FALSE())</f>
        <v>0.0223945302948424</v>
      </c>
      <c r="AX68" s="87" t="n">
        <f aca="true">OFFSET(ENAVolCoef,0,impvol_order-2)+OFFSET(ENAVolCoef,1,impvol_order-2)*E68+OFFSET(ENAVolCoef,2,impvol_order-2)*E68^2+IF(impvol_order&gt;2,OFFSET(ENAVolCoef,3,impvol_order-2)*E68^3,0)+IF(impvol_order&gt;3,OFFSET(ENAVolCoef,4,impvol_order-2)*E68^4,0)+IF(impvol_order&gt;4,OFFSET(ENAVolCoef,5,impvol_order-2)*E68^5,0)</f>
        <v>0.492302563106412</v>
      </c>
      <c r="AY68" s="87" t="n">
        <f aca="true">OFFSET(ENAVolCoef,0,impvol_order-2)+OFFSET(ENAVolCoef,1,impvol_order-2)*F68+OFFSET(ENAVolCoef,2,impvol_order-2)*F68^2+IF(impvol_order&gt;2,OFFSET(ENAVolCoef,3,impvol_order-2)*F68^3,0)+IF(impvol_order&gt;3,OFFSET(ENAVolCoef,4,impvol_order-2)*F68^4,0)+IF(impvol_order&gt;4,OFFSET(ENAVolCoef,5,impvol_order-2)*F68^5,0)</f>
        <v>0.492324614052262</v>
      </c>
      <c r="AZ68" s="87" t="n">
        <f aca="true">OFFSET(ENAVolCoef,0,impvol_order-2)+OFFSET(ENAVolCoef,1,impvol_order-2)*G68+OFFSET(ENAVolCoef,2,impvol_order-2)*G68^2+IF(impvol_order&gt;2,OFFSET(ENAVolCoef,3,impvol_order-2)*G68^3,0)+IF(impvol_order&gt;3,OFFSET(ENAVolCoef,4,impvol_order-2)*G68^4,0)+IF(impvol_order&gt;4,OFFSET(ENAVolCoef,5,impvol_order-2)*G68^5,0)</f>
        <v>0.492280591854217</v>
      </c>
      <c r="BB68" s="48" t="e">
        <f aca="false">EURO(UnderlyingPrice,$D68,IntRate,Yield,AX68,$D$6,1,0)</f>
        <v>#NAME?</v>
      </c>
      <c r="BC68" s="48" t="e">
        <f aca="false">EURO(UnderlyingPrice,$D68*(1+$P$8),IntRate,Yield,AY68,$D$6,1,0)</f>
        <v>#NAME?</v>
      </c>
      <c r="BD68" s="48" t="e">
        <f aca="false">EURO(UnderlyingPrice,$D68*(1-$P$8),IntRate,Yield,AZ68,$D$6,1,0)</f>
        <v>#NAME?</v>
      </c>
      <c r="BF68" s="80" t="e">
        <f aca="false">(BC68+BD68-2*BB68)/($P$8*$D68)^2</f>
        <v>#NAME?</v>
      </c>
      <c r="BG68" s="48" t="e">
        <f aca="false">+BF68/$D$9</f>
        <v>#NAME?</v>
      </c>
      <c r="BI68" s="79" t="e">
        <f aca="false">+BB68-L68</f>
        <v>#NAME?</v>
      </c>
      <c r="BJ68" s="65" t="e">
        <f aca="false">+BI68/BB68</f>
        <v>#NAME?</v>
      </c>
    </row>
    <row r="69" customFormat="false" ht="11.25" hidden="false" customHeight="false" outlineLevel="0" collapsed="false">
      <c r="C69" s="77" t="n">
        <v>56</v>
      </c>
      <c r="D69" s="78" t="n">
        <f aca="true">D68+(ROUNDUP(MAX(StrikeRange),1)-ROUNDDOWN(MIN(StrikeRange),1))/100</f>
        <v>4.96000000000001</v>
      </c>
      <c r="E69" s="64" t="n">
        <f aca="false">+D69/UnderlyingPrice-1</f>
        <v>0.0237358101135208</v>
      </c>
      <c r="F69" s="64" t="n">
        <f aca="false">+D69*(1+$P$8)/UnderlyingPrice-1</f>
        <v>0.0242476780185774</v>
      </c>
      <c r="G69" s="64" t="n">
        <f aca="false">+D69*(1-$P$8)/UnderlyingPrice-1</f>
        <v>0.0232239422084641</v>
      </c>
      <c r="H69" s="64" t="n">
        <f aca="true">OFFSET(VolSkewCoef,0,impvol_order-2)+OFFSET(VolSkewCoef,1,impvol_order-2)*F69+OFFSET(VolSkewCoef,2,impvol_order-2)*F69^2+IF(impvol_order&gt;2,OFFSET(VolSkewCoef,3,impvol_order-2)*F69^3,0)+IF(impvol_order&gt;3,OFFSET(VolSkewCoef,4,impvol_order-2)*F69^4,0)+IF(impvol_order&gt;4,OFFSET(VolSkewCoef,5,impvol_order-2)*F69^5,0)</f>
        <v>0.518801118866224</v>
      </c>
      <c r="I69" s="64" t="n">
        <f aca="true">OFFSET(VolSkewCoef,0,impvol_order-2)+OFFSET(VolSkewCoef,1,impvol_order-2)*E69+OFFSET(VolSkewCoef,2,impvol_order-2)*E69^2+IF(impvol_order&gt;2,OFFSET(VolSkewCoef,3,impvol_order-2)*E69^3,0)+IF(impvol_order&gt;3,OFFSET(VolSkewCoef,4,impvol_order-2)*E69^4,0)+IF(impvol_order&gt;4,OFFSET(VolSkewCoef,5,impvol_order-2)*E69^5,0)</f>
        <v>0.51877034874481</v>
      </c>
      <c r="J69" s="64" t="n">
        <f aca="true">OFFSET(VolSkewCoef,0,impvol_order-2)+OFFSET(VolSkewCoef,1,impvol_order-2)*G69+OFFSET(VolSkewCoef,2,impvol_order-2)*G69^2+IF(impvol_order&gt;2,OFFSET(VolSkewCoef,3,impvol_order-2)*G69^3,0)+IF(impvol_order&gt;3,OFFSET(VolSkewCoef,4,impvol_order-2)*G69^4,0)+IF(impvol_order&gt;4,OFFSET(VolSkewCoef,5,impvol_order-2)*G69^5,0)</f>
        <v>0.518739673530152</v>
      </c>
      <c r="L69" s="79" t="e">
        <f aca="false">EURO(UnderlyingPrice,$D69,IntRate,Yield,$I69,$D$6,L$12,0)</f>
        <v>#NAME?</v>
      </c>
      <c r="M69" s="79" t="e">
        <f aca="false">EURO(UnderlyingPrice,$D69,IntRate,Yield,$I69,$D$6,M$12,0)</f>
        <v>#NAME?</v>
      </c>
      <c r="O69" s="79" t="e">
        <f aca="false">EURO(UnderlyingPrice,$D69*(1+$P$8),IntRate,Yield,$H69,Expiry-Today,O$12,0)</f>
        <v>#NAME?</v>
      </c>
      <c r="P69" s="79" t="e">
        <f aca="false">EURO(UnderlyingPrice,$D69*(1+$P$8),IntRate,Yield,$H69,Expiry-Today,P$12,0)</f>
        <v>#NAME?</v>
      </c>
      <c r="R69" s="79" t="e">
        <f aca="false">EURO(UnderlyingPrice,$D69*(1-$P$8),IntRate,Yield,$J69,Expiry-Today,R$12,0)</f>
        <v>#NAME?</v>
      </c>
      <c r="S69" s="79" t="e">
        <f aca="false">EURO(UnderlyingPrice,$D69*(1-$P$8),IntRate,Yield,$J69,Expiry-Today,S$12,0)</f>
        <v>#NAME?</v>
      </c>
      <c r="U69" s="80" t="e">
        <f aca="false">(O69+R69-2*L69)/($P$8*D69)^2</f>
        <v>#NAME?</v>
      </c>
      <c r="V69" s="80"/>
      <c r="W69" s="81" t="e">
        <f aca="false">U69/$D$9</f>
        <v>#NAME?</v>
      </c>
      <c r="Z69" s="80" t="n">
        <f aca="false">(1/(D69*SQRT(2*PI()*T/365.25*ATMImpVol^2)))</f>
        <v>0.245250267221266</v>
      </c>
      <c r="AA69" s="80" t="n">
        <f aca="false">LN(D69/UnderlyingPrice)+0.5*T/365.25*ATMImpVol^2</f>
        <v>0.0772368864065462</v>
      </c>
      <c r="AB69" s="80" t="n">
        <f aca="false">-(AA69^2)</f>
        <v>-0.00596553662177772</v>
      </c>
      <c r="AC69" s="80" t="n">
        <f aca="false">AB69/(2*T/365.25*ATMImpVol^2)</f>
        <v>-0.0277320337661181</v>
      </c>
      <c r="AD69" s="82" t="n">
        <f aca="false">EXP(AC69)</f>
        <v>0.9726489689645</v>
      </c>
      <c r="AE69" s="82" t="n">
        <f aca="false">AD69*Z69</f>
        <v>0.238542419551033</v>
      </c>
      <c r="AF69" s="82"/>
      <c r="AG69" s="83" t="n">
        <f aca="false">(LN($D69/UnderlyingPrice)+0.5*ATMImpVol^2*(T/365.25))/(ATMImpVol*SQRT(T/365.25))</f>
        <v>0.235508105024511</v>
      </c>
      <c r="AH69" s="83" t="n">
        <f aca="false">(LN(($D69*(1+$P$8))/UnderlyingPrice)+0.5*ATMImpVol^2*(T/365.25))/(ATMImpVol*SQRT(T/365.25))</f>
        <v>0.237032307116095</v>
      </c>
      <c r="AI69" s="83" t="n">
        <f aca="false">(LN($D69*(1-$P$8)/UnderlyingPrice)+0.5*ATMImpVol^2*(T/365.25))/(ATMImpVol*SQRT(T/365.25))</f>
        <v>0.233983140641277</v>
      </c>
      <c r="AJ69" s="81"/>
      <c r="AK69" s="83" t="e">
        <f aca="false">W69/(AH69-AI69)*(D69*2*$P$8)</f>
        <v>#NAME?</v>
      </c>
      <c r="AL69" s="83"/>
      <c r="AM69" s="84" t="n">
        <v>2.5</v>
      </c>
      <c r="AN69" s="85" t="n">
        <f aca="false">NORMDIST(AM69,0,1,FALSE())</f>
        <v>0.0175283004935685</v>
      </c>
      <c r="AX69" s="87" t="n">
        <f aca="true">OFFSET(ENAVolCoef,0,impvol_order-2)+OFFSET(ENAVolCoef,1,impvol_order-2)*E69+OFFSET(ENAVolCoef,2,impvol_order-2)*E69^2+IF(impvol_order&gt;2,OFFSET(ENAVolCoef,3,impvol_order-2)*E69^3,0)+IF(impvol_order&gt;3,OFFSET(ENAVolCoef,4,impvol_order-2)*E69^4,0)+IF(impvol_order&gt;4,OFFSET(ENAVolCoef,5,impvol_order-2)*E69^5,0)</f>
        <v>0.492623422260191</v>
      </c>
      <c r="AY69" s="87" t="n">
        <f aca="true">OFFSET(ENAVolCoef,0,impvol_order-2)+OFFSET(ENAVolCoef,1,impvol_order-2)*F69+OFFSET(ENAVolCoef,2,impvol_order-2)*F69^2+IF(impvol_order&gt;2,OFFSET(ENAVolCoef,3,impvol_order-2)*F69^3,0)+IF(impvol_order&gt;3,OFFSET(ENAVolCoef,4,impvol_order-2)*F69^4,0)+IF(impvol_order&gt;4,OFFSET(ENAVolCoef,5,impvol_order-2)*F69^5,0)</f>
        <v>0.492646762116759</v>
      </c>
      <c r="AZ69" s="87" t="n">
        <f aca="true">OFFSET(ENAVolCoef,0,impvol_order-2)+OFFSET(ENAVolCoef,1,impvol_order-2)*G69+OFFSET(ENAVolCoef,2,impvol_order-2)*G69^2+IF(impvol_order&gt;2,OFFSET(ENAVolCoef,3,impvol_order-2)*G69^3,0)+IF(impvol_order&gt;3,OFFSET(ENAVolCoef,4,impvol_order-2)*G69^4,0)+IF(impvol_order&gt;4,OFFSET(ENAVolCoef,5,impvol_order-2)*G69^5,0)</f>
        <v>0.492600162065089</v>
      </c>
      <c r="BB69" s="48" t="e">
        <f aca="false">EURO(UnderlyingPrice,$D69,IntRate,Yield,AX69,$D$6,1,0)</f>
        <v>#NAME?</v>
      </c>
      <c r="BC69" s="48" t="e">
        <f aca="false">EURO(UnderlyingPrice,$D69*(1+$P$8),IntRate,Yield,AY69,$D$6,1,0)</f>
        <v>#NAME?</v>
      </c>
      <c r="BD69" s="48" t="e">
        <f aca="false">EURO(UnderlyingPrice,$D69*(1-$P$8),IntRate,Yield,AZ69,$D$6,1,0)</f>
        <v>#NAME?</v>
      </c>
      <c r="BF69" s="80" t="e">
        <f aca="false">(BC69+BD69-2*BB69)/($P$8*$D69)^2</f>
        <v>#NAME?</v>
      </c>
      <c r="BG69" s="48" t="e">
        <f aca="false">+BF69/$D$9</f>
        <v>#NAME?</v>
      </c>
      <c r="BI69" s="79" t="e">
        <f aca="false">+BB69-L69</f>
        <v>#NAME?</v>
      </c>
      <c r="BJ69" s="65" t="e">
        <f aca="false">+BI69/BB69</f>
        <v>#NAME?</v>
      </c>
    </row>
    <row r="70" customFormat="false" ht="11.25" hidden="false" customHeight="false" outlineLevel="0" collapsed="false">
      <c r="C70" s="77" t="n">
        <v>57</v>
      </c>
      <c r="D70" s="78" t="n">
        <f aca="true">D69+(ROUNDUP(MAX(StrikeRange),1)-ROUNDDOWN(MIN(StrikeRange),1))/100</f>
        <v>4.99500000000001</v>
      </c>
      <c r="E70" s="64" t="n">
        <f aca="false">+D70/UnderlyingPrice-1</f>
        <v>0.0309597523219831</v>
      </c>
      <c r="F70" s="64" t="n">
        <f aca="false">+D70*(1+$P$8)/UnderlyingPrice-1</f>
        <v>0.031475232198144</v>
      </c>
      <c r="G70" s="64" t="n">
        <f aca="false">+D70*(1-$P$8)/UnderlyingPrice-1</f>
        <v>0.0304442724458223</v>
      </c>
      <c r="H70" s="64" t="n">
        <f aca="true">OFFSET(VolSkewCoef,0,impvol_order-2)+OFFSET(VolSkewCoef,1,impvol_order-2)*F70+OFFSET(VolSkewCoef,2,impvol_order-2)*F70^2+IF(impvol_order&gt;2,OFFSET(VolSkewCoef,3,impvol_order-2)*F70^3,0)+IF(impvol_order&gt;3,OFFSET(VolSkewCoef,4,impvol_order-2)*F70^4,0)+IF(impvol_order&gt;4,OFFSET(VolSkewCoef,5,impvol_order-2)*F70^5,0)</f>
        <v>0.519245644892017</v>
      </c>
      <c r="I70" s="64" t="n">
        <f aca="true">OFFSET(VolSkewCoef,0,impvol_order-2)+OFFSET(VolSkewCoef,1,impvol_order-2)*E70+OFFSET(VolSkewCoef,2,impvol_order-2)*E70^2+IF(impvol_order&gt;2,OFFSET(VolSkewCoef,3,impvol_order-2)*E70^3,0)+IF(impvol_order&gt;3,OFFSET(VolSkewCoef,4,impvol_order-2)*E70^4,0)+IF(impvol_order&gt;4,OFFSET(VolSkewCoef,5,impvol_order-2)*E70^5,0)</f>
        <v>0.519213323022516</v>
      </c>
      <c r="J70" s="64" t="n">
        <f aca="true">OFFSET(VolSkewCoef,0,impvol_order-2)+OFFSET(VolSkewCoef,1,impvol_order-2)*G70+OFFSET(VolSkewCoef,2,impvol_order-2)*G70^2+IF(impvol_order&gt;2,OFFSET(VolSkewCoef,3,impvol_order-2)*G70^3,0)+IF(impvol_order&gt;3,OFFSET(VolSkewCoef,4,impvol_order-2)*G70^4,0)+IF(impvol_order&gt;4,OFFSET(VolSkewCoef,5,impvol_order-2)*G70^5,0)</f>
        <v>0.519181095461984</v>
      </c>
      <c r="L70" s="79" t="e">
        <f aca="false">EURO(UnderlyingPrice,$D70,IntRate,Yield,$I70,$D$6,L$12,0)</f>
        <v>#NAME?</v>
      </c>
      <c r="M70" s="79" t="e">
        <f aca="false">EURO(UnderlyingPrice,$D70,IntRate,Yield,$I70,$D$6,M$12,0)</f>
        <v>#NAME?</v>
      </c>
      <c r="O70" s="79" t="e">
        <f aca="false">EURO(UnderlyingPrice,$D70*(1+$P$8),IntRate,Yield,$H70,Expiry-Today,O$12,0)</f>
        <v>#NAME?</v>
      </c>
      <c r="P70" s="79" t="e">
        <f aca="false">EURO(UnderlyingPrice,$D70*(1+$P$8),IntRate,Yield,$H70,Expiry-Today,P$12,0)</f>
        <v>#NAME?</v>
      </c>
      <c r="R70" s="79" t="e">
        <f aca="false">EURO(UnderlyingPrice,$D70*(1-$P$8),IntRate,Yield,$J70,Expiry-Today,R$12,0)</f>
        <v>#NAME?</v>
      </c>
      <c r="S70" s="79" t="e">
        <f aca="false">EURO(UnderlyingPrice,$D70*(1-$P$8),IntRate,Yield,$J70,Expiry-Today,S$12,0)</f>
        <v>#NAME?</v>
      </c>
      <c r="U70" s="80" t="e">
        <f aca="false">(O70+R70-2*L70)/($P$8*D70)^2</f>
        <v>#NAME?</v>
      </c>
      <c r="V70" s="80"/>
      <c r="W70" s="81" t="e">
        <f aca="false">U70/$D$9</f>
        <v>#NAME?</v>
      </c>
      <c r="Z70" s="80" t="n">
        <f aca="false">(1/(D70*SQRT(2*PI()*T/365.25*ATMImpVol^2)))</f>
        <v>0.243531796880376</v>
      </c>
      <c r="AA70" s="80" t="n">
        <f aca="false">LN(D70/UnderlyingPrice)+0.5*T/365.25*ATMImpVol^2</f>
        <v>0.0842685577702269</v>
      </c>
      <c r="AB70" s="80" t="n">
        <f aca="false">-(AA70^2)</f>
        <v>-0.00710118982867407</v>
      </c>
      <c r="AC70" s="80" t="n">
        <f aca="false">AB70/(2*T/365.25*ATMImpVol^2)</f>
        <v>-0.0330113531428994</v>
      </c>
      <c r="AD70" s="82" t="n">
        <f aca="false">EXP(AC70)</f>
        <v>0.967527575047859</v>
      </c>
      <c r="AE70" s="82" t="n">
        <f aca="false">AD70*Z70</f>
        <v>0.235623728882718</v>
      </c>
      <c r="AF70" s="82"/>
      <c r="AG70" s="83" t="n">
        <f aca="false">(LN($D70/UnderlyingPrice)+0.5*ATMImpVol^2*(T/365.25))/(ATMImpVol*SQRT(T/365.25))</f>
        <v>0.256948839821858</v>
      </c>
      <c r="AH70" s="83" t="n">
        <f aca="false">(LN(($D70*(1+$P$8))/UnderlyingPrice)+0.5*ATMImpVol^2*(T/365.25))/(ATMImpVol*SQRT(T/365.25))</f>
        <v>0.258473041913441</v>
      </c>
      <c r="AI70" s="83" t="n">
        <f aca="false">(LN($D70*(1-$P$8)/UnderlyingPrice)+0.5*ATMImpVol^2*(T/365.25))/(ATMImpVol*SQRT(T/365.25))</f>
        <v>0.255423875438624</v>
      </c>
      <c r="AJ70" s="81"/>
      <c r="AK70" s="83" t="e">
        <f aca="false">W70/(AH70-AI70)*(D70*2*$P$8)</f>
        <v>#NAME?</v>
      </c>
      <c r="AL70" s="83"/>
      <c r="AM70" s="84" t="n">
        <v>2.6</v>
      </c>
      <c r="AN70" s="85" t="n">
        <f aca="false">NORMDIST(AM70,0,1,FALSE())</f>
        <v>0.0135829692336856</v>
      </c>
      <c r="AX70" s="87" t="n">
        <f aca="true">OFFSET(ENAVolCoef,0,impvol_order-2)+OFFSET(ENAVolCoef,1,impvol_order-2)*E70+OFFSET(ENAVolCoef,2,impvol_order-2)*E70^2+IF(impvol_order&gt;2,OFFSET(ENAVolCoef,3,impvol_order-2)*E70^3,0)+IF(impvol_order&gt;3,OFFSET(ENAVolCoef,4,impvol_order-2)*E70^4,0)+IF(impvol_order&gt;4,OFFSET(ENAVolCoef,5,impvol_order-2)*E70^5,0)</f>
        <v>0.492960147909683</v>
      </c>
      <c r="AY70" s="87" t="n">
        <f aca="true">OFFSET(ENAVolCoef,0,impvol_order-2)+OFFSET(ENAVolCoef,1,impvol_order-2)*F70+OFFSET(ENAVolCoef,2,impvol_order-2)*F70^2+IF(impvol_order&gt;2,OFFSET(ENAVolCoef,3,impvol_order-2)*F70^3,0)+IF(impvol_order&gt;3,OFFSET(ENAVolCoef,4,impvol_order-2)*F70^4,0)+IF(impvol_order&gt;4,OFFSET(ENAVolCoef,5,impvol_order-2)*F70^5,0)</f>
        <v>0.492984776034132</v>
      </c>
      <c r="AZ70" s="87" t="n">
        <f aca="true">OFFSET(ENAVolCoef,0,impvol_order-2)+OFFSET(ENAVolCoef,1,impvol_order-2)*G70+OFFSET(ENAVolCoef,2,impvol_order-2)*G70^2+IF(impvol_order&gt;2,OFFSET(ENAVolCoef,3,impvol_order-2)*G70^3,0)+IF(impvol_order&gt;3,OFFSET(ENAVolCoef,4,impvol_order-2)*G70^4,0)+IF(impvol_order&gt;4,OFFSET(ENAVolCoef,5,impvol_order-2)*G70^5,0)</f>
        <v>0.49293559938945</v>
      </c>
      <c r="BB70" s="48" t="e">
        <f aca="false">EURO(UnderlyingPrice,$D70,IntRate,Yield,AX70,$D$6,1,0)</f>
        <v>#NAME?</v>
      </c>
      <c r="BC70" s="48" t="e">
        <f aca="false">EURO(UnderlyingPrice,$D70*(1+$P$8),IntRate,Yield,AY70,$D$6,1,0)</f>
        <v>#NAME?</v>
      </c>
      <c r="BD70" s="48" t="e">
        <f aca="false">EURO(UnderlyingPrice,$D70*(1-$P$8),IntRate,Yield,AZ70,$D$6,1,0)</f>
        <v>#NAME?</v>
      </c>
      <c r="BF70" s="80" t="e">
        <f aca="false">(BC70+BD70-2*BB70)/($P$8*$D70)^2</f>
        <v>#NAME?</v>
      </c>
      <c r="BG70" s="48" t="e">
        <f aca="false">+BF70/$D$9</f>
        <v>#NAME?</v>
      </c>
      <c r="BI70" s="79" t="e">
        <f aca="false">+BB70-L70</f>
        <v>#NAME?</v>
      </c>
      <c r="BJ70" s="65" t="e">
        <f aca="false">+BI70/BB70</f>
        <v>#NAME?</v>
      </c>
    </row>
    <row r="71" customFormat="false" ht="11.25" hidden="false" customHeight="false" outlineLevel="0" collapsed="false">
      <c r="C71" s="77" t="n">
        <v>58</v>
      </c>
      <c r="D71" s="78" t="n">
        <f aca="true">D70+(ROUNDUP(MAX(StrikeRange),1)-ROUNDDOWN(MIN(StrikeRange),1))/100</f>
        <v>5.03000000000001</v>
      </c>
      <c r="E71" s="64" t="n">
        <f aca="false">+D71/UnderlyingPrice-1</f>
        <v>0.0381836945304455</v>
      </c>
      <c r="F71" s="64" t="n">
        <f aca="false">+D71*(1+$P$8)/UnderlyingPrice-1</f>
        <v>0.0387027863777107</v>
      </c>
      <c r="G71" s="64" t="n">
        <f aca="false">+D71*(1-$P$8)/UnderlyingPrice-1</f>
        <v>0.0376646026831804</v>
      </c>
      <c r="H71" s="64" t="n">
        <f aca="true">OFFSET(VolSkewCoef,0,impvol_order-2)+OFFSET(VolSkewCoef,1,impvol_order-2)*F71+OFFSET(VolSkewCoef,2,impvol_order-2)*F71^2+IF(impvol_order&gt;2,OFFSET(VolSkewCoef,3,impvol_order-2)*F71^3,0)+IF(impvol_order&gt;3,OFFSET(VolSkewCoef,4,impvol_order-2)*F71^4,0)+IF(impvol_order&gt;4,OFFSET(VolSkewCoef,5,impvol_order-2)*F71^5,0)</f>
        <v>0.519708683785112</v>
      </c>
      <c r="I71" s="64" t="n">
        <f aca="true">OFFSET(VolSkewCoef,0,impvol_order-2)+OFFSET(VolSkewCoef,1,impvol_order-2)*E71+OFFSET(VolSkewCoef,2,impvol_order-2)*E71^2+IF(impvol_order&gt;2,OFFSET(VolSkewCoef,3,impvol_order-2)*E71^3,0)+IF(impvol_order&gt;3,OFFSET(VolSkewCoef,4,impvol_order-2)*E71^4,0)+IF(impvol_order&gt;4,OFFSET(VolSkewCoef,5,impvol_order-2)*E71^5,0)</f>
        <v>0.519674818882687</v>
      </c>
      <c r="J71" s="64" t="n">
        <f aca="true">OFFSET(VolSkewCoef,0,impvol_order-2)+OFFSET(VolSkewCoef,1,impvol_order-2)*G71+OFFSET(VolSkewCoef,2,impvol_order-2)*G71^2+IF(impvol_order&gt;2,OFFSET(VolSkewCoef,3,impvol_order-2)*G71^3,0)+IF(impvol_order&gt;3,OFFSET(VolSkewCoef,4,impvol_order-2)*G71^4,0)+IF(impvol_order&gt;4,OFFSET(VolSkewCoef,5,impvol_order-2)*G71^5,0)</f>
        <v>0.519641047646273</v>
      </c>
      <c r="L71" s="79" t="e">
        <f aca="false">EURO(UnderlyingPrice,$D71,IntRate,Yield,$I71,$D$6,L$12,0)</f>
        <v>#NAME?</v>
      </c>
      <c r="M71" s="79" t="e">
        <f aca="false">EURO(UnderlyingPrice,$D71,IntRate,Yield,$I71,$D$6,M$12,0)</f>
        <v>#NAME?</v>
      </c>
      <c r="O71" s="79" t="e">
        <f aca="false">EURO(UnderlyingPrice,$D71*(1+$P$8),IntRate,Yield,$H71,Expiry-Today,O$12,0)</f>
        <v>#NAME?</v>
      </c>
      <c r="P71" s="79" t="e">
        <f aca="false">EURO(UnderlyingPrice,$D71*(1+$P$8),IntRate,Yield,$H71,Expiry-Today,P$12,0)</f>
        <v>#NAME?</v>
      </c>
      <c r="R71" s="79" t="e">
        <f aca="false">EURO(UnderlyingPrice,$D71*(1-$P$8),IntRate,Yield,$J71,Expiry-Today,R$12,0)</f>
        <v>#NAME?</v>
      </c>
      <c r="S71" s="79" t="e">
        <f aca="false">EURO(UnderlyingPrice,$D71*(1-$P$8),IntRate,Yield,$J71,Expiry-Today,S$12,0)</f>
        <v>#NAME?</v>
      </c>
      <c r="U71" s="80" t="e">
        <f aca="false">(O71+R71-2*L71)/($P$8*D71)^2</f>
        <v>#NAME?</v>
      </c>
      <c r="V71" s="80"/>
      <c r="W71" s="81" t="e">
        <f aca="false">U71/$D$9</f>
        <v>#NAME?</v>
      </c>
      <c r="Z71" s="80" t="n">
        <f aca="false">(1/(D71*SQRT(2*PI()*T/365.25*ATMImpVol^2)))</f>
        <v>0.241837241633694</v>
      </c>
      <c r="AA71" s="80" t="n">
        <f aca="false">LN(D71/UnderlyingPrice)+0.5*T/365.25*ATMImpVol^2</f>
        <v>0.0912511297813579</v>
      </c>
      <c r="AB71" s="80" t="n">
        <f aca="false">-(AA71^2)</f>
        <v>-0.00832676868637423</v>
      </c>
      <c r="AC71" s="80" t="n">
        <f aca="false">AB71/(2*T/365.25*ATMImpVol^2)</f>
        <v>-0.0387087105508995</v>
      </c>
      <c r="AD71" s="82" t="n">
        <f aca="false">EXP(AC71)</f>
        <v>0.962030897786622</v>
      </c>
      <c r="AE71" s="82" t="n">
        <f aca="false">AD71*Z71</f>
        <v>0.232654898687103</v>
      </c>
      <c r="AF71" s="82"/>
      <c r="AG71" s="83" t="n">
        <f aca="false">(LN($D71/UnderlyingPrice)+0.5*ATMImpVol^2*(T/365.25))/(ATMImpVol*SQRT(T/365.25))</f>
        <v>0.278239862531951</v>
      </c>
      <c r="AH71" s="83" t="n">
        <f aca="false">(LN(($D71*(1+$P$8))/UnderlyingPrice)+0.5*ATMImpVol^2*(T/365.25))/(ATMImpVol*SQRT(T/365.25))</f>
        <v>0.279764064623535</v>
      </c>
      <c r="AI71" s="83" t="n">
        <f aca="false">(LN($D71*(1-$P$8)/UnderlyingPrice)+0.5*ATMImpVol^2*(T/365.25))/(ATMImpVol*SQRT(T/365.25))</f>
        <v>0.276714898148717</v>
      </c>
      <c r="AJ71" s="81"/>
      <c r="AK71" s="83" t="e">
        <f aca="false">W71/(AH71-AI71)*(D71*2*$P$8)</f>
        <v>#NAME?</v>
      </c>
      <c r="AL71" s="83"/>
      <c r="AM71" s="84" t="n">
        <v>2.70000000000001</v>
      </c>
      <c r="AN71" s="85" t="n">
        <f aca="false">NORMDIST(AM71,0,1,FALSE())</f>
        <v>0.0104209348144223</v>
      </c>
      <c r="AX71" s="87" t="n">
        <f aca="true">OFFSET(ENAVolCoef,0,impvol_order-2)+OFFSET(ENAVolCoef,1,impvol_order-2)*E71+OFFSET(ENAVolCoef,2,impvol_order-2)*E71^2+IF(impvol_order&gt;2,OFFSET(ENAVolCoef,3,impvol_order-2)*E71^3,0)+IF(impvol_order&gt;3,OFFSET(ENAVolCoef,4,impvol_order-2)*E71^4,0)+IF(impvol_order&gt;4,OFFSET(ENAVolCoef,5,impvol_order-2)*E71^5,0)</f>
        <v>0.493312507237179</v>
      </c>
      <c r="AY71" s="87" t="n">
        <f aca="true">OFFSET(ENAVolCoef,0,impvol_order-2)+OFFSET(ENAVolCoef,1,impvol_order-2)*F71+OFFSET(ENAVolCoef,2,impvol_order-2)*F71^2+IF(impvol_order&gt;2,OFFSET(ENAVolCoef,3,impvol_order-2)*F71^3,0)+IF(impvol_order&gt;3,OFFSET(ENAVolCoef,4,impvol_order-2)*F71^4,0)+IF(impvol_order&gt;4,OFFSET(ENAVolCoef,5,impvol_order-2)*F71^5,0)</f>
        <v>0.493338422637271</v>
      </c>
      <c r="AZ71" s="87" t="n">
        <f aca="true">OFFSET(ENAVolCoef,0,impvol_order-2)+OFFSET(ENAVolCoef,1,impvol_order-2)*G71+OFFSET(ENAVolCoef,2,impvol_order-2)*G71^2+IF(impvol_order&gt;2,OFFSET(ENAVolCoef,3,impvol_order-2)*G71^3,0)+IF(impvol_order&gt;3,OFFSET(ENAVolCoef,4,impvol_order-2)*G71^4,0)+IF(impvol_order&gt;4,OFFSET(ENAVolCoef,5,impvol_order-2)*G71^5,0)</f>
        <v>0.493286671358643</v>
      </c>
      <c r="BB71" s="48" t="e">
        <f aca="false">EURO(UnderlyingPrice,$D71,IntRate,Yield,AX71,$D$6,1,0)</f>
        <v>#NAME?</v>
      </c>
      <c r="BC71" s="48" t="e">
        <f aca="false">EURO(UnderlyingPrice,$D71*(1+$P$8),IntRate,Yield,AY71,$D$6,1,0)</f>
        <v>#NAME?</v>
      </c>
      <c r="BD71" s="48" t="e">
        <f aca="false">EURO(UnderlyingPrice,$D71*(1-$P$8),IntRate,Yield,AZ71,$D$6,1,0)</f>
        <v>#NAME?</v>
      </c>
      <c r="BF71" s="80" t="e">
        <f aca="false">(BC71+BD71-2*BB71)/($P$8*$D71)^2</f>
        <v>#NAME?</v>
      </c>
      <c r="BG71" s="48" t="e">
        <f aca="false">+BF71/$D$9</f>
        <v>#NAME?</v>
      </c>
      <c r="BI71" s="79" t="e">
        <f aca="false">+BB71-L71</f>
        <v>#NAME?</v>
      </c>
      <c r="BJ71" s="65" t="e">
        <f aca="false">+BI71/BB71</f>
        <v>#NAME?</v>
      </c>
    </row>
    <row r="72" customFormat="false" ht="11.25" hidden="false" customHeight="false" outlineLevel="0" collapsed="false">
      <c r="C72" s="77" t="n">
        <v>59</v>
      </c>
      <c r="D72" s="78" t="n">
        <f aca="true">D71+(ROUNDUP(MAX(StrikeRange),1)-ROUNDDOWN(MIN(StrikeRange),1))/100</f>
        <v>5.06500000000001</v>
      </c>
      <c r="E72" s="64" t="n">
        <f aca="false">+D72/UnderlyingPrice-1</f>
        <v>0.0454076367389078</v>
      </c>
      <c r="F72" s="64" t="n">
        <f aca="false">+D72*(1+$P$8)/UnderlyingPrice-1</f>
        <v>0.0459303405572773</v>
      </c>
      <c r="G72" s="64" t="n">
        <f aca="false">+D72*(1-$P$8)/UnderlyingPrice-1</f>
        <v>0.0448849329205383</v>
      </c>
      <c r="H72" s="64" t="n">
        <f aca="true">OFFSET(VolSkewCoef,0,impvol_order-2)+OFFSET(VolSkewCoef,1,impvol_order-2)*F72+OFFSET(VolSkewCoef,2,impvol_order-2)*F72^2+IF(impvol_order&gt;2,OFFSET(VolSkewCoef,3,impvol_order-2)*F72^3,0)+IF(impvol_order&gt;3,OFFSET(VolSkewCoef,4,impvol_order-2)*F72^4,0)+IF(impvol_order&gt;4,OFFSET(VolSkewCoef,5,impvol_order-2)*F72^5,0)</f>
        <v>0.520189853593634</v>
      </c>
      <c r="I72" s="64" t="n">
        <f aca="true">OFFSET(VolSkewCoef,0,impvol_order-2)+OFFSET(VolSkewCoef,1,impvol_order-2)*E72+OFFSET(VolSkewCoef,2,impvol_order-2)*E72^2+IF(impvol_order&gt;2,OFFSET(VolSkewCoef,3,impvol_order-2)*E72^3,0)+IF(impvol_order&gt;3,OFFSET(VolSkewCoef,4,impvol_order-2)*E72^4,0)+IF(impvol_order&gt;4,OFFSET(VolSkewCoef,5,impvol_order-2)*E72^5,0)</f>
        <v>0.5201544549458</v>
      </c>
      <c r="J72" s="64" t="n">
        <f aca="true">OFFSET(VolSkewCoef,0,impvol_order-2)+OFFSET(VolSkewCoef,1,impvol_order-2)*G72+OFFSET(VolSkewCoef,2,impvol_order-2)*G72^2+IF(impvol_order&gt;2,OFFSET(VolSkewCoef,3,impvol_order-2)*G72^3,0)+IF(impvol_order&gt;3,OFFSET(VolSkewCoef,4,impvol_order-2)*G72^4,0)+IF(impvol_order&gt;4,OFFSET(VolSkewCoef,5,impvol_order-2)*G72^5,0)</f>
        <v>0.520119149275283</v>
      </c>
      <c r="L72" s="79" t="e">
        <f aca="false">EURO(UnderlyingPrice,$D72,IntRate,Yield,$I72,$D$6,L$12,0)</f>
        <v>#NAME?</v>
      </c>
      <c r="M72" s="79" t="e">
        <f aca="false">EURO(UnderlyingPrice,$D72,IntRate,Yield,$I72,$D$6,M$12,0)</f>
        <v>#NAME?</v>
      </c>
      <c r="O72" s="79" t="e">
        <f aca="false">EURO(UnderlyingPrice,$D72*(1+$P$8),IntRate,Yield,$H72,Expiry-Today,O$12,0)</f>
        <v>#NAME?</v>
      </c>
      <c r="P72" s="79" t="e">
        <f aca="false">EURO(UnderlyingPrice,$D72*(1+$P$8),IntRate,Yield,$H72,Expiry-Today,P$12,0)</f>
        <v>#NAME?</v>
      </c>
      <c r="R72" s="79" t="e">
        <f aca="false">EURO(UnderlyingPrice,$D72*(1-$P$8),IntRate,Yield,$J72,Expiry-Today,R$12,0)</f>
        <v>#NAME?</v>
      </c>
      <c r="S72" s="79" t="e">
        <f aca="false">EURO(UnderlyingPrice,$D72*(1-$P$8),IntRate,Yield,$J72,Expiry-Today,S$12,0)</f>
        <v>#NAME?</v>
      </c>
      <c r="U72" s="80" t="e">
        <f aca="false">(O72+R72-2*L72)/($P$8*D72)^2</f>
        <v>#NAME?</v>
      </c>
      <c r="V72" s="80"/>
      <c r="W72" s="81" t="e">
        <f aca="false">U72/$D$9</f>
        <v>#NAME?</v>
      </c>
      <c r="Z72" s="80" t="n">
        <f aca="false">(1/(D72*SQRT(2*PI()*T/365.25*ATMImpVol^2)))</f>
        <v>0.240166105709275</v>
      </c>
      <c r="AA72" s="80" t="n">
        <f aca="false">LN(D72/UnderlyingPrice)+0.5*T/365.25*ATMImpVol^2</f>
        <v>0.0981852833703568</v>
      </c>
      <c r="AB72" s="80" t="n">
        <f aca="false">-(AA72^2)</f>
        <v>-0.00964034987051726</v>
      </c>
      <c r="AC72" s="80" t="n">
        <f aca="false">AB72/(2*T/365.25*ATMImpVol^2)</f>
        <v>-0.0448151650180814</v>
      </c>
      <c r="AD72" s="82" t="n">
        <f aca="false">EXP(AC72)</f>
        <v>0.95617419994171</v>
      </c>
      <c r="AE72" s="82" t="n">
        <f aca="false">AD72*Z72</f>
        <v>0.229640633979682</v>
      </c>
      <c r="AF72" s="82"/>
      <c r="AG72" s="83" t="n">
        <f aca="false">(LN($D72/UnderlyingPrice)+0.5*ATMImpVol^2*(T/365.25))/(ATMImpVol*SQRT(T/365.25))</f>
        <v>0.299383249424818</v>
      </c>
      <c r="AH72" s="83" t="n">
        <f aca="false">(LN(($D72*(1+$P$8))/UnderlyingPrice)+0.5*ATMImpVol^2*(T/365.25))/(ATMImpVol*SQRT(T/365.25))</f>
        <v>0.300907451516402</v>
      </c>
      <c r="AI72" s="83" t="n">
        <f aca="false">(LN($D72*(1-$P$8)/UnderlyingPrice)+0.5*ATMImpVol^2*(T/365.25))/(ATMImpVol*SQRT(T/365.25))</f>
        <v>0.297858285041584</v>
      </c>
      <c r="AJ72" s="81"/>
      <c r="AK72" s="83" t="e">
        <f aca="false">W72/(AH72-AI72)*(D72*2*$P$8)</f>
        <v>#NAME?</v>
      </c>
      <c r="AL72" s="83"/>
      <c r="AM72" s="84" t="n">
        <v>2.80000000000001</v>
      </c>
      <c r="AN72" s="85" t="n">
        <f aca="false">NORMDIST(AM72,0,1,FALSE())</f>
        <v>0.00791545158297974</v>
      </c>
      <c r="AX72" s="87" t="n">
        <f aca="true">OFFSET(ENAVolCoef,0,impvol_order-2)+OFFSET(ENAVolCoef,1,impvol_order-2)*E72+OFFSET(ENAVolCoef,2,impvol_order-2)*E72^2+IF(impvol_order&gt;2,OFFSET(ENAVolCoef,3,impvol_order-2)*E72^3,0)+IF(impvol_order&gt;3,OFFSET(ENAVolCoef,4,impvol_order-2)*E72^4,0)+IF(impvol_order&gt;4,OFFSET(ENAVolCoef,5,impvol_order-2)*E72^5,0)</f>
        <v>0.493680267424969</v>
      </c>
      <c r="AY72" s="87" t="n">
        <f aca="true">OFFSET(ENAVolCoef,0,impvol_order-2)+OFFSET(ENAVolCoef,1,impvol_order-2)*F72+OFFSET(ENAVolCoef,2,impvol_order-2)*F72^2+IF(impvol_order&gt;2,OFFSET(ENAVolCoef,3,impvol_order-2)*F72^3,0)+IF(impvol_order&gt;3,OFFSET(ENAVolCoef,4,impvol_order-2)*F72^4,0)+IF(impvol_order&gt;4,OFFSET(ENAVolCoef,5,impvol_order-2)*F72^5,0)</f>
        <v>0.493707468759066</v>
      </c>
      <c r="AZ72" s="87" t="n">
        <f aca="true">OFFSET(ENAVolCoef,0,impvol_order-2)+OFFSET(ENAVolCoef,1,impvol_order-2)*G72+OFFSET(ENAVolCoef,2,impvol_order-2)*G72^2+IF(impvol_order&gt;2,OFFSET(ENAVolCoef,3,impvol_order-2)*G72^3,0)+IF(impvol_order&gt;3,OFFSET(ENAVolCoef,4,impvol_order-2)*G72^4,0)+IF(impvol_order&gt;4,OFFSET(ENAVolCoef,5,impvol_order-2)*G72^5,0)</f>
        <v>0.49365314550401</v>
      </c>
      <c r="BB72" s="48" t="e">
        <f aca="false">EURO(UnderlyingPrice,$D72,IntRate,Yield,AX72,$D$6,1,0)</f>
        <v>#NAME?</v>
      </c>
      <c r="BC72" s="48" t="e">
        <f aca="false">EURO(UnderlyingPrice,$D72*(1+$P$8),IntRate,Yield,AY72,$D$6,1,0)</f>
        <v>#NAME?</v>
      </c>
      <c r="BD72" s="48" t="e">
        <f aca="false">EURO(UnderlyingPrice,$D72*(1-$P$8),IntRate,Yield,AZ72,$D$6,1,0)</f>
        <v>#NAME?</v>
      </c>
      <c r="BF72" s="80" t="e">
        <f aca="false">(BC72+BD72-2*BB72)/($P$8*$D72)^2</f>
        <v>#NAME?</v>
      </c>
      <c r="BG72" s="48" t="e">
        <f aca="false">+BF72/$D$9</f>
        <v>#NAME?</v>
      </c>
      <c r="BI72" s="79" t="e">
        <f aca="false">+BB72-L72</f>
        <v>#NAME?</v>
      </c>
      <c r="BJ72" s="65" t="e">
        <f aca="false">+BI72/BB72</f>
        <v>#NAME?</v>
      </c>
    </row>
    <row r="73" customFormat="false" ht="11.25" hidden="false" customHeight="false" outlineLevel="0" collapsed="false">
      <c r="C73" s="77" t="n">
        <v>60</v>
      </c>
      <c r="D73" s="78" t="n">
        <f aca="true">D72+(ROUNDUP(MAX(StrikeRange),1)-ROUNDDOWN(MIN(StrikeRange),1))/100</f>
        <v>5.10000000000001</v>
      </c>
      <c r="E73" s="64" t="n">
        <f aca="false">+D73/UnderlyingPrice-1</f>
        <v>0.0526315789473701</v>
      </c>
      <c r="F73" s="64" t="n">
        <f aca="false">+D73*(1+$P$8)/UnderlyingPrice-1</f>
        <v>0.0531578947368439</v>
      </c>
      <c r="G73" s="64" t="n">
        <f aca="false">+D73*(1-$P$8)/UnderlyingPrice-1</f>
        <v>0.0521052631578967</v>
      </c>
      <c r="H73" s="64" t="n">
        <f aca="true">OFFSET(VolSkewCoef,0,impvol_order-2)+OFFSET(VolSkewCoef,1,impvol_order-2)*F73+OFFSET(VolSkewCoef,2,impvol_order-2)*F73^2+IF(impvol_order&gt;2,OFFSET(VolSkewCoef,3,impvol_order-2)*F73^3,0)+IF(impvol_order&gt;3,OFFSET(VolSkewCoef,4,impvol_order-2)*F73^4,0)+IF(impvol_order&gt;4,OFFSET(VolSkewCoef,5,impvol_order-2)*F73^5,0)</f>
        <v>0.520688772365708</v>
      </c>
      <c r="I73" s="64" t="n">
        <f aca="true">OFFSET(VolSkewCoef,0,impvol_order-2)+OFFSET(VolSkewCoef,1,impvol_order-2)*E73+OFFSET(VolSkewCoef,2,impvol_order-2)*E73^2+IF(impvol_order&gt;2,OFFSET(VolSkewCoef,3,impvol_order-2)*E73^3,0)+IF(impvol_order&gt;3,OFFSET(VolSkewCoef,4,impvol_order-2)*E73^4,0)+IF(impvol_order&gt;4,OFFSET(VolSkewCoef,5,impvol_order-2)*E73^5,0)</f>
        <v>0.520651849832337</v>
      </c>
      <c r="J73" s="64" t="n">
        <f aca="true">OFFSET(VolSkewCoef,0,impvol_order-2)+OFFSET(VolSkewCoef,1,impvol_order-2)*G73+OFFSET(VolSkewCoef,2,impvol_order-2)*G73^2+IF(impvol_order&gt;2,OFFSET(VolSkewCoef,3,impvol_order-2)*G73^3,0)+IF(impvol_order&gt;3,OFFSET(VolSkewCoef,4,impvol_order-2)*G73^4,0)+IF(impvol_order&gt;4,OFFSET(VolSkewCoef,5,impvol_order-2)*G73^5,0)</f>
        <v>0.520615019541276</v>
      </c>
      <c r="L73" s="79" t="e">
        <f aca="false">EURO(UnderlyingPrice,$D73,IntRate,Yield,$I73,$D$6,L$12,0)</f>
        <v>#NAME?</v>
      </c>
      <c r="M73" s="79" t="e">
        <f aca="false">EURO(UnderlyingPrice,$D73,IntRate,Yield,$I73,$D$6,M$12,0)</f>
        <v>#NAME?</v>
      </c>
      <c r="O73" s="79" t="e">
        <f aca="false">EURO(UnderlyingPrice,$D73*(1+$P$8),IntRate,Yield,$H73,Expiry-Today,O$12,0)</f>
        <v>#NAME?</v>
      </c>
      <c r="P73" s="79" t="e">
        <f aca="false">EURO(UnderlyingPrice,$D73*(1+$P$8),IntRate,Yield,$H73,Expiry-Today,P$12,0)</f>
        <v>#NAME?</v>
      </c>
      <c r="R73" s="79" t="e">
        <f aca="false">EURO(UnderlyingPrice,$D73*(1-$P$8),IntRate,Yield,$J73,Expiry-Today,R$12,0)</f>
        <v>#NAME?</v>
      </c>
      <c r="S73" s="79" t="e">
        <f aca="false">EURO(UnderlyingPrice,$D73*(1-$P$8),IntRate,Yield,$J73,Expiry-Today,S$12,0)</f>
        <v>#NAME?</v>
      </c>
      <c r="U73" s="80" t="e">
        <f aca="false">(O73+R73-2*L73)/($P$8*D73)^2</f>
        <v>#NAME?</v>
      </c>
      <c r="V73" s="80"/>
      <c r="W73" s="81" t="e">
        <f aca="false">U73/$D$9</f>
        <v>#NAME?</v>
      </c>
      <c r="Z73" s="80" t="n">
        <f aca="false">(1/(D73*SQRT(2*PI()*T/365.25*ATMImpVol^2)))</f>
        <v>0.238517906944604</v>
      </c>
      <c r="AA73" s="80" t="n">
        <f aca="false">LN(D73/UnderlyingPrice)+0.5*T/365.25*ATMImpVol^2</f>
        <v>0.10507168539999</v>
      </c>
      <c r="AB73" s="80" t="n">
        <f aca="false">-(AA73^2)</f>
        <v>-0.0110400590727945</v>
      </c>
      <c r="AC73" s="80" t="n">
        <f aca="false">AB73/(2*T/365.25*ATMImpVol^2)</f>
        <v>-0.0513220034336893</v>
      </c>
      <c r="AD73" s="82" t="n">
        <f aca="false">EXP(AC73)</f>
        <v>0.949972726797664</v>
      </c>
      <c r="AE73" s="82" t="n">
        <f aca="false">AD73*Z73</f>
        <v>0.226585506450237</v>
      </c>
      <c r="AF73" s="82"/>
      <c r="AG73" s="83" t="n">
        <f aca="false">(LN($D73/UnderlyingPrice)+0.5*ATMImpVol^2*(T/365.25))/(ATMImpVol*SQRT(T/365.25))</f>
        <v>0.320381033875881</v>
      </c>
      <c r="AH73" s="83" t="n">
        <f aca="false">(LN(($D73*(1+$P$8))/UnderlyingPrice)+0.5*ATMImpVol^2*(T/365.25))/(ATMImpVol*SQRT(T/365.25))</f>
        <v>0.321905235967465</v>
      </c>
      <c r="AI73" s="83" t="n">
        <f aca="false">(LN($D73*(1-$P$8)/UnderlyingPrice)+0.5*ATMImpVol^2*(T/365.25))/(ATMImpVol*SQRT(T/365.25))</f>
        <v>0.318856069492647</v>
      </c>
      <c r="AJ73" s="81"/>
      <c r="AK73" s="83" t="e">
        <f aca="false">W73/(AH73-AI73)*(D73*2*$P$8)</f>
        <v>#NAME?</v>
      </c>
      <c r="AL73" s="83"/>
      <c r="AM73" s="84" t="n">
        <v>2.90000000000001</v>
      </c>
      <c r="AN73" s="85" t="n">
        <f aca="false">NORMDIST(AM73,0,1,FALSE())</f>
        <v>0.00595253241977568</v>
      </c>
      <c r="AX73" s="87" t="n">
        <f aca="true">OFFSET(ENAVolCoef,0,impvol_order-2)+OFFSET(ENAVolCoef,1,impvol_order-2)*E73+OFFSET(ENAVolCoef,2,impvol_order-2)*E73^2+IF(impvol_order&gt;2,OFFSET(ENAVolCoef,3,impvol_order-2)*E73^3,0)+IF(impvol_order&gt;3,OFFSET(ENAVolCoef,4,impvol_order-2)*E73^4,0)+IF(impvol_order&gt;4,OFFSET(ENAVolCoef,5,impvol_order-2)*E73^5,0)</f>
        <v>0.494063195655343</v>
      </c>
      <c r="AY73" s="87" t="n">
        <f aca="true">OFFSET(ENAVolCoef,0,impvol_order-2)+OFFSET(ENAVolCoef,1,impvol_order-2)*F73+OFFSET(ENAVolCoef,2,impvol_order-2)*F73^2+IF(impvol_order&gt;2,OFFSET(ENAVolCoef,3,impvol_order-2)*F73^3,0)+IF(impvol_order&gt;3,OFFSET(ENAVolCoef,4,impvol_order-2)*F73^4,0)+IF(impvol_order&gt;4,OFFSET(ENAVolCoef,5,impvol_order-2)*F73^5,0)</f>
        <v>0.494091681232406</v>
      </c>
      <c r="AZ73" s="87" t="n">
        <f aca="true">OFFSET(ENAVolCoef,0,impvol_order-2)+OFFSET(ENAVolCoef,1,impvol_order-2)*G73+OFFSET(ENAVolCoef,2,impvol_order-2)*G73^2+IF(impvol_order&gt;2,OFFSET(ENAVolCoef,3,impvol_order-2)*G73^3,0)+IF(impvol_order&gt;3,OFFSET(ENAVolCoef,4,impvol_order-2)*G73^4,0)+IF(impvol_order&gt;4,OFFSET(ENAVolCoef,5,impvol_order-2)*G73^5,0)</f>
        <v>0.494034789356893</v>
      </c>
      <c r="BB73" s="48" t="e">
        <f aca="false">EURO(UnderlyingPrice,$D73,IntRate,Yield,AX73,$D$6,1,0)</f>
        <v>#NAME?</v>
      </c>
      <c r="BC73" s="48" t="e">
        <f aca="false">EURO(UnderlyingPrice,$D73*(1+$P$8),IntRate,Yield,AY73,$D$6,1,0)</f>
        <v>#NAME?</v>
      </c>
      <c r="BD73" s="48" t="e">
        <f aca="false">EURO(UnderlyingPrice,$D73*(1-$P$8),IntRate,Yield,AZ73,$D$6,1,0)</f>
        <v>#NAME?</v>
      </c>
      <c r="BF73" s="80" t="e">
        <f aca="false">(BC73+BD73-2*BB73)/($P$8*$D73)^2</f>
        <v>#NAME?</v>
      </c>
      <c r="BG73" s="48" t="e">
        <f aca="false">+BF73/$D$9</f>
        <v>#NAME?</v>
      </c>
      <c r="BI73" s="79" t="e">
        <f aca="false">+BB73-L73</f>
        <v>#NAME?</v>
      </c>
      <c r="BJ73" s="65" t="e">
        <f aca="false">+BI73/BB73</f>
        <v>#NAME?</v>
      </c>
    </row>
    <row r="74" customFormat="false" ht="11.25" hidden="false" customHeight="false" outlineLevel="0" collapsed="false">
      <c r="C74" s="77" t="n">
        <v>61</v>
      </c>
      <c r="D74" s="78" t="n">
        <f aca="true">D73+(ROUNDUP(MAX(StrikeRange),1)-ROUNDDOWN(MIN(StrikeRange),1))/100</f>
        <v>5.13500000000001</v>
      </c>
      <c r="E74" s="64" t="n">
        <f aca="false">+D74/UnderlyingPrice-1</f>
        <v>0.0598555211558327</v>
      </c>
      <c r="F74" s="64" t="n">
        <f aca="false">+D74*(1+$P$8)/UnderlyingPrice-1</f>
        <v>0.0603854489164104</v>
      </c>
      <c r="G74" s="64" t="n">
        <f aca="false">+D74*(1-$P$8)/UnderlyingPrice-1</f>
        <v>0.0593255933952548</v>
      </c>
      <c r="H74" s="64" t="n">
        <f aca="true">OFFSET(VolSkewCoef,0,impvol_order-2)+OFFSET(VolSkewCoef,1,impvol_order-2)*F74+OFFSET(VolSkewCoef,2,impvol_order-2)*F74^2+IF(impvol_order&gt;2,OFFSET(VolSkewCoef,3,impvol_order-2)*F74^3,0)+IF(impvol_order&gt;3,OFFSET(VolSkewCoef,4,impvol_order-2)*F74^4,0)+IF(impvol_order&gt;4,OFFSET(VolSkewCoef,5,impvol_order-2)*F74^5,0)</f>
        <v>0.521205058149459</v>
      </c>
      <c r="I74" s="64" t="n">
        <f aca="true">OFFSET(VolSkewCoef,0,impvol_order-2)+OFFSET(VolSkewCoef,1,impvol_order-2)*E74+OFFSET(VolSkewCoef,2,impvol_order-2)*E74^2+IF(impvol_order&gt;2,OFFSET(VolSkewCoef,3,impvol_order-2)*E74^3,0)+IF(impvol_order&gt;3,OFFSET(VolSkewCoef,4,impvol_order-2)*E74^4,0)+IF(impvol_order&gt;4,OFFSET(VolSkewCoef,5,impvol_order-2)*E74^5,0)</f>
        <v>0.521166622162778</v>
      </c>
      <c r="J74" s="64" t="n">
        <f aca="true">OFFSET(VolSkewCoef,0,impvol_order-2)+OFFSET(VolSkewCoef,1,impvol_order-2)*G74+OFFSET(VolSkewCoef,2,impvol_order-2)*G74^2+IF(impvol_order&gt;2,OFFSET(VolSkewCoef,3,impvol_order-2)*G74^3,0)+IF(impvol_order&gt;3,OFFSET(VolSkewCoef,4,impvol_order-2)*G74^4,0)+IF(impvol_order&gt;4,OFFSET(VolSkewCoef,5,impvol_order-2)*G74^5,0)</f>
        <v>0.521128277636516</v>
      </c>
      <c r="L74" s="79" t="e">
        <f aca="false">EURO(UnderlyingPrice,$D74,IntRate,Yield,$I74,$D$6,L$12,0)</f>
        <v>#NAME?</v>
      </c>
      <c r="M74" s="79" t="e">
        <f aca="false">EURO(UnderlyingPrice,$D74,IntRate,Yield,$I74,$D$6,M$12,0)</f>
        <v>#NAME?</v>
      </c>
      <c r="O74" s="79" t="e">
        <f aca="false">EURO(UnderlyingPrice,$D74*(1+$P$8),IntRate,Yield,$H74,Expiry-Today,O$12,0)</f>
        <v>#NAME?</v>
      </c>
      <c r="P74" s="79" t="e">
        <f aca="false">EURO(UnderlyingPrice,$D74*(1+$P$8),IntRate,Yield,$H74,Expiry-Today,P$12,0)</f>
        <v>#NAME?</v>
      </c>
      <c r="R74" s="79" t="e">
        <f aca="false">EURO(UnderlyingPrice,$D74*(1-$P$8),IntRate,Yield,$J74,Expiry-Today,R$12,0)</f>
        <v>#NAME?</v>
      </c>
      <c r="S74" s="79" t="e">
        <f aca="false">EURO(UnderlyingPrice,$D74*(1-$P$8),IntRate,Yield,$J74,Expiry-Today,S$12,0)</f>
        <v>#NAME?</v>
      </c>
      <c r="U74" s="80" t="e">
        <f aca="false">(O74+R74-2*L74)/($P$8*D74)^2</f>
        <v>#NAME?</v>
      </c>
      <c r="V74" s="80"/>
      <c r="W74" s="81" t="e">
        <f aca="false">U74/$D$9</f>
        <v>#NAME?</v>
      </c>
      <c r="Z74" s="80" t="n">
        <f aca="false">(1/(D74*SQRT(2*PI()*T/365.25*ATMImpVol^2)))</f>
        <v>0.236892176322781</v>
      </c>
      <c r="AA74" s="80" t="n">
        <f aca="false">LN(D74/UnderlyingPrice)+0.5*T/365.25*ATMImpVol^2</f>
        <v>0.111910989050232</v>
      </c>
      <c r="AB74" s="80" t="n">
        <f aca="false">-(AA74^2)</f>
        <v>-0.0125240694702011</v>
      </c>
      <c r="AC74" s="80" t="n">
        <f aca="false">AB74/(2*T/365.25*ATMImpVol^2)</f>
        <v>-0.0582207334322466</v>
      </c>
      <c r="AD74" s="82" t="n">
        <f aca="false">EXP(AC74)</f>
        <v>0.943441675332215</v>
      </c>
      <c r="AE74" s="82" t="n">
        <f aca="false">AD74*Z74</f>
        <v>0.223493951703059</v>
      </c>
      <c r="AF74" s="82"/>
      <c r="AG74" s="83" t="n">
        <f aca="false">(LN($D74/UnderlyingPrice)+0.5*ATMImpVol^2*(T/365.25))/(ATMImpVol*SQRT(T/365.25))</f>
        <v>0.341235207539452</v>
      </c>
      <c r="AH74" s="83" t="n">
        <f aca="false">(LN(($D74*(1+$P$8))/UnderlyingPrice)+0.5*ATMImpVol^2*(T/365.25))/(ATMImpVol*SQRT(T/365.25))</f>
        <v>0.342759409631036</v>
      </c>
      <c r="AI74" s="83" t="n">
        <f aca="false">(LN($D74*(1-$P$8)/UnderlyingPrice)+0.5*ATMImpVol^2*(T/365.25))/(ATMImpVol*SQRT(T/365.25))</f>
        <v>0.339710243156218</v>
      </c>
      <c r="AJ74" s="81"/>
      <c r="AK74" s="83" t="e">
        <f aca="false">W74/(AH74-AI74)*(D74*2*$P$8)</f>
        <v>#NAME?</v>
      </c>
      <c r="AL74" s="83"/>
      <c r="AM74" s="84" t="n">
        <v>3</v>
      </c>
      <c r="AN74" s="85" t="n">
        <f aca="false">NORMDIST(AM74,0,1,FALSE())</f>
        <v>0.00443184841193801</v>
      </c>
      <c r="AX74" s="87" t="n">
        <f aca="true">OFFSET(ENAVolCoef,0,impvol_order-2)+OFFSET(ENAVolCoef,1,impvol_order-2)*E74+OFFSET(ENAVolCoef,2,impvol_order-2)*E74^2+IF(impvol_order&gt;2,OFFSET(ENAVolCoef,3,impvol_order-2)*E74^3,0)+IF(impvol_order&gt;3,OFFSET(ENAVolCoef,4,impvol_order-2)*E74^4,0)+IF(impvol_order&gt;4,OFFSET(ENAVolCoef,5,impvol_order-2)*E74^5,0)</f>
        <v>0.494461059110593</v>
      </c>
      <c r="AY74" s="87" t="n">
        <f aca="true">OFFSET(ENAVolCoef,0,impvol_order-2)+OFFSET(ENAVolCoef,1,impvol_order-2)*F74+OFFSET(ENAVolCoef,2,impvol_order-2)*F74^2+IF(impvol_order&gt;2,OFFSET(ENAVolCoef,3,impvol_order-2)*F74^3,0)+IF(impvol_order&gt;3,OFFSET(ENAVolCoef,4,impvol_order-2)*F74^4,0)+IF(impvol_order&gt;4,OFFSET(ENAVolCoef,5,impvol_order-2)*F74^5,0)</f>
        <v>0.49449082689018</v>
      </c>
      <c r="AZ74" s="87" t="n">
        <f aca="true">OFFSET(ENAVolCoef,0,impvol_order-2)+OFFSET(ENAVolCoef,1,impvol_order-2)*G74+OFFSET(ENAVolCoef,2,impvol_order-2)*G74^2+IF(impvol_order&gt;2,OFFSET(ENAVolCoef,3,impvol_order-2)*G74^3,0)+IF(impvol_order&gt;3,OFFSET(ENAVolCoef,4,impvol_order-2)*G74^4,0)+IF(impvol_order&gt;4,OFFSET(ENAVolCoef,5,impvol_order-2)*G74^5,0)</f>
        <v>0.494431370448636</v>
      </c>
      <c r="BB74" s="48" t="e">
        <f aca="false">EURO(UnderlyingPrice,$D74,IntRate,Yield,AX74,$D$6,1,0)</f>
        <v>#NAME?</v>
      </c>
      <c r="BC74" s="48" t="e">
        <f aca="false">EURO(UnderlyingPrice,$D74*(1+$P$8),IntRate,Yield,AY74,$D$6,1,0)</f>
        <v>#NAME?</v>
      </c>
      <c r="BD74" s="48" t="e">
        <f aca="false">EURO(UnderlyingPrice,$D74*(1-$P$8),IntRate,Yield,AZ74,$D$6,1,0)</f>
        <v>#NAME?</v>
      </c>
      <c r="BF74" s="80" t="e">
        <f aca="false">(BC74+BD74-2*BB74)/($P$8*$D74)^2</f>
        <v>#NAME?</v>
      </c>
      <c r="BG74" s="48" t="e">
        <f aca="false">+BF74/$D$9</f>
        <v>#NAME?</v>
      </c>
      <c r="BI74" s="79" t="e">
        <f aca="false">+BB74-L74</f>
        <v>#NAME?</v>
      </c>
      <c r="BJ74" s="65" t="e">
        <f aca="false">+BI74/BB74</f>
        <v>#NAME?</v>
      </c>
    </row>
    <row r="75" customFormat="false" ht="11.25" hidden="false" customHeight="false" outlineLevel="0" collapsed="false">
      <c r="C75" s="77" t="n">
        <v>62</v>
      </c>
      <c r="D75" s="78" t="n">
        <f aca="true">D74+(ROUNDUP(MAX(StrikeRange),1)-ROUNDDOWN(MIN(StrikeRange),1))/100</f>
        <v>5.17000000000001</v>
      </c>
      <c r="E75" s="64" t="n">
        <f aca="false">+D75/UnderlyingPrice-1</f>
        <v>0.067079463364295</v>
      </c>
      <c r="F75" s="64" t="n">
        <f aca="false">+D75*(1+$P$8)/UnderlyingPrice-1</f>
        <v>0.0676130030959772</v>
      </c>
      <c r="G75" s="64" t="n">
        <f aca="false">+D75*(1-$P$8)/UnderlyingPrice-1</f>
        <v>0.0665459236326129</v>
      </c>
      <c r="H75" s="64" t="n">
        <f aca="true">OFFSET(VolSkewCoef,0,impvol_order-2)+OFFSET(VolSkewCoef,1,impvol_order-2)*F75+OFFSET(VolSkewCoef,2,impvol_order-2)*F75^2+IF(impvol_order&gt;2,OFFSET(VolSkewCoef,3,impvol_order-2)*F75^3,0)+IF(impvol_order&gt;3,OFFSET(VolSkewCoef,4,impvol_order-2)*F75^4,0)+IF(impvol_order&gt;4,OFFSET(VolSkewCoef,5,impvol_order-2)*F75^5,0)</f>
        <v>0.521738328993011</v>
      </c>
      <c r="I75" s="64" t="n">
        <f aca="true">OFFSET(VolSkewCoef,0,impvol_order-2)+OFFSET(VolSkewCoef,1,impvol_order-2)*E75+OFFSET(VolSkewCoef,2,impvol_order-2)*E75^2+IF(impvol_order&gt;2,OFFSET(VolSkewCoef,3,impvol_order-2)*E75^3,0)+IF(impvol_order&gt;3,OFFSET(VolSkewCoef,4,impvol_order-2)*E75^4,0)+IF(impvol_order&gt;4,OFFSET(VolSkewCoef,5,impvol_order-2)*E75^5,0)</f>
        <v>0.521698390557603</v>
      </c>
      <c r="J75" s="64" t="n">
        <f aca="true">OFFSET(VolSkewCoef,0,impvol_order-2)+OFFSET(VolSkewCoef,1,impvol_order-2)*G75+OFFSET(VolSkewCoef,2,impvol_order-2)*G75^2+IF(impvol_order&gt;2,OFFSET(VolSkewCoef,3,impvol_order-2)*G75^3,0)+IF(impvol_order&gt;3,OFFSET(VolSkewCoef,4,impvol_order-2)*G75^4,0)+IF(impvol_order&gt;4,OFFSET(VolSkewCoef,5,impvol_order-2)*G75^5,0)</f>
        <v>0.521658542753266</v>
      </c>
      <c r="L75" s="79" t="e">
        <f aca="false">EURO(UnderlyingPrice,$D75,IntRate,Yield,$I75,$D$6,L$12,0)</f>
        <v>#NAME?</v>
      </c>
      <c r="M75" s="79" t="e">
        <f aca="false">EURO(UnderlyingPrice,$D75,IntRate,Yield,$I75,$D$6,M$12,0)</f>
        <v>#NAME?</v>
      </c>
      <c r="O75" s="79" t="e">
        <f aca="false">EURO(UnderlyingPrice,$D75*(1+$P$8),IntRate,Yield,$H75,Expiry-Today,O$12,0)</f>
        <v>#NAME?</v>
      </c>
      <c r="P75" s="79" t="e">
        <f aca="false">EURO(UnderlyingPrice,$D75*(1+$P$8),IntRate,Yield,$H75,Expiry-Today,P$12,0)</f>
        <v>#NAME?</v>
      </c>
      <c r="R75" s="79" t="e">
        <f aca="false">EURO(UnderlyingPrice,$D75*(1-$P$8),IntRate,Yield,$J75,Expiry-Today,R$12,0)</f>
        <v>#NAME?</v>
      </c>
      <c r="S75" s="79" t="e">
        <f aca="false">EURO(UnderlyingPrice,$D75*(1-$P$8),IntRate,Yield,$J75,Expiry-Today,S$12,0)</f>
        <v>#NAME?</v>
      </c>
      <c r="U75" s="80" t="e">
        <f aca="false">(O75+R75-2*L75)/($P$8*D75)^2</f>
        <v>#NAME?</v>
      </c>
      <c r="V75" s="80"/>
      <c r="W75" s="81" t="e">
        <f aca="false">U75/$D$9</f>
        <v>#NAME?</v>
      </c>
      <c r="Z75" s="80" t="n">
        <f aca="false">(1/(D75*SQRT(2*PI()*T/365.25*ATMImpVol^2)))</f>
        <v>0.235288457527559</v>
      </c>
      <c r="AA75" s="80" t="n">
        <f aca="false">LN(D75/UnderlyingPrice)+0.5*T/365.25*ATMImpVol^2</f>
        <v>0.118703834190048</v>
      </c>
      <c r="AB75" s="80" t="n">
        <f aca="false">-(AA75^2)</f>
        <v>-0.0140906002514184</v>
      </c>
      <c r="AC75" s="80" t="n">
        <f aca="false">AB75/(2*T/365.25*ATMImpVol^2)</f>
        <v>-0.0655030765431394</v>
      </c>
      <c r="AD75" s="82" t="n">
        <f aca="false">EXP(AC75)</f>
        <v>0.936596165276689</v>
      </c>
      <c r="AE75" s="82" t="n">
        <f aca="false">AD75*Z75</f>
        <v>0.220370267054179</v>
      </c>
      <c r="AF75" s="82"/>
      <c r="AG75" s="83" t="n">
        <f aca="false">(LN($D75/UnderlyingPrice)+0.5*ATMImpVol^2*(T/365.25))/(ATMImpVol*SQRT(T/365.25))</f>
        <v>0.361947721482369</v>
      </c>
      <c r="AH75" s="83" t="n">
        <f aca="false">(LN(($D75*(1+$P$8))/UnderlyingPrice)+0.5*ATMImpVol^2*(T/365.25))/(ATMImpVol*SQRT(T/365.25))</f>
        <v>0.363471923573953</v>
      </c>
      <c r="AI75" s="83" t="n">
        <f aca="false">(LN($D75*(1-$P$8)/UnderlyingPrice)+0.5*ATMImpVol^2*(T/365.25))/(ATMImpVol*SQRT(T/365.25))</f>
        <v>0.360422757099135</v>
      </c>
      <c r="AJ75" s="81"/>
      <c r="AK75" s="83" t="e">
        <f aca="false">W75/(AH75-AI75)*(D75*2*$P$8)</f>
        <v>#NAME?</v>
      </c>
      <c r="AL75" s="83"/>
      <c r="AM75" s="84" t="n">
        <v>3.10000000000001</v>
      </c>
      <c r="AN75" s="85" t="n">
        <f aca="false">NORMDIST(AM75,0,1,FALSE())</f>
        <v>0.00326681905619982</v>
      </c>
      <c r="AX75" s="87" t="n">
        <f aca="true">OFFSET(ENAVolCoef,0,impvol_order-2)+OFFSET(ENAVolCoef,1,impvol_order-2)*E75+OFFSET(ENAVolCoef,2,impvol_order-2)*E75^2+IF(impvol_order&gt;2,OFFSET(ENAVolCoef,3,impvol_order-2)*E75^3,0)+IF(impvol_order&gt;3,OFFSET(ENAVolCoef,4,impvol_order-2)*E75^4,0)+IF(impvol_order&gt;4,OFFSET(ENAVolCoef,5,impvol_order-2)*E75^5,0)</f>
        <v>0.494873624973009</v>
      </c>
      <c r="AY75" s="87" t="n">
        <f aca="true">OFFSET(ENAVolCoef,0,impvol_order-2)+OFFSET(ENAVolCoef,1,impvol_order-2)*F75+OFFSET(ENAVolCoef,2,impvol_order-2)*F75^2+IF(impvol_order&gt;2,OFFSET(ENAVolCoef,3,impvol_order-2)*F75^3,0)+IF(impvol_order&gt;3,OFFSET(ENAVolCoef,4,impvol_order-2)*F75^4,0)+IF(impvol_order&gt;4,OFFSET(ENAVolCoef,5,impvol_order-2)*F75^5,0)</f>
        <v>0.494904672565277</v>
      </c>
      <c r="AZ75" s="87" t="n">
        <f aca="true">OFFSET(ENAVolCoef,0,impvol_order-2)+OFFSET(ENAVolCoef,1,impvol_order-2)*G75+OFFSET(ENAVolCoef,2,impvol_order-2)*G75^2+IF(impvol_order&gt;2,OFFSET(ENAVolCoef,3,impvol_order-2)*G75^3,0)+IF(impvol_order&gt;3,OFFSET(ENAVolCoef,4,impvol_order-2)*G75^4,0)+IF(impvol_order&gt;4,OFFSET(ENAVolCoef,5,impvol_order-2)*G75^5,0)</f>
        <v>0.49484265631058</v>
      </c>
      <c r="BB75" s="48" t="e">
        <f aca="false">EURO(UnderlyingPrice,$D75,IntRate,Yield,AX75,$D$6,1,0)</f>
        <v>#NAME?</v>
      </c>
      <c r="BC75" s="48" t="e">
        <f aca="false">EURO(UnderlyingPrice,$D75*(1+$P$8),IntRate,Yield,AY75,$D$6,1,0)</f>
        <v>#NAME?</v>
      </c>
      <c r="BD75" s="48" t="e">
        <f aca="false">EURO(UnderlyingPrice,$D75*(1-$P$8),IntRate,Yield,AZ75,$D$6,1,0)</f>
        <v>#NAME?</v>
      </c>
      <c r="BF75" s="80" t="e">
        <f aca="false">(BC75+BD75-2*BB75)/($P$8*$D75)^2</f>
        <v>#NAME?</v>
      </c>
      <c r="BG75" s="48" t="e">
        <f aca="false">+BF75/$D$9</f>
        <v>#NAME?</v>
      </c>
      <c r="BI75" s="79" t="e">
        <f aca="false">+BB75-L75</f>
        <v>#NAME?</v>
      </c>
      <c r="BJ75" s="65" t="e">
        <f aca="false">+BI75/BB75</f>
        <v>#NAME?</v>
      </c>
    </row>
    <row r="76" customFormat="false" ht="11.25" hidden="false" customHeight="false" outlineLevel="0" collapsed="false">
      <c r="C76" s="77" t="n">
        <v>63</v>
      </c>
      <c r="D76" s="78" t="n">
        <f aca="true">D75+(ROUNDUP(MAX(StrikeRange),1)-ROUNDDOWN(MIN(StrikeRange),1))/100</f>
        <v>5.20500000000001</v>
      </c>
      <c r="E76" s="64" t="n">
        <f aca="false">+D76/UnderlyingPrice-1</f>
        <v>0.0743034055727574</v>
      </c>
      <c r="F76" s="64" t="n">
        <f aca="false">+D76*(1+$P$8)/UnderlyingPrice-1</f>
        <v>0.0748405572755437</v>
      </c>
      <c r="G76" s="64" t="n">
        <f aca="false">+D76*(1-$P$8)/UnderlyingPrice-1</f>
        <v>0.0737662538699708</v>
      </c>
      <c r="H76" s="64" t="n">
        <f aca="true">OFFSET(VolSkewCoef,0,impvol_order-2)+OFFSET(VolSkewCoef,1,impvol_order-2)*F76+OFFSET(VolSkewCoef,2,impvol_order-2)*F76^2+IF(impvol_order&gt;2,OFFSET(VolSkewCoef,3,impvol_order-2)*F76^3,0)+IF(impvol_order&gt;3,OFFSET(VolSkewCoef,4,impvol_order-2)*F76^4,0)+IF(impvol_order&gt;4,OFFSET(VolSkewCoef,5,impvol_order-2)*F76^5,0)</f>
        <v>0.522288202944489</v>
      </c>
      <c r="I76" s="64" t="n">
        <f aca="true">OFFSET(VolSkewCoef,0,impvol_order-2)+OFFSET(VolSkewCoef,1,impvol_order-2)*E76+OFFSET(VolSkewCoef,2,impvol_order-2)*E76^2+IF(impvol_order&gt;2,OFFSET(VolSkewCoef,3,impvol_order-2)*E76^3,0)+IF(impvol_order&gt;3,OFFSET(VolSkewCoef,4,impvol_order-2)*E76^4,0)+IF(impvol_order&gt;4,OFFSET(VolSkewCoef,5,impvol_order-2)*E76^5,0)</f>
        <v>0.522246773637291</v>
      </c>
      <c r="J76" s="64" t="n">
        <f aca="true">OFFSET(VolSkewCoef,0,impvol_order-2)+OFFSET(VolSkewCoef,1,impvol_order-2)*G76+OFFSET(VolSkewCoef,2,impvol_order-2)*G76^2+IF(impvol_order&gt;2,OFFSET(VolSkewCoef,3,impvol_order-2)*G76^3,0)+IF(impvol_order&gt;3,OFFSET(VolSkewCoef,4,impvol_order-2)*G76^4,0)+IF(impvol_order&gt;4,OFFSET(VolSkewCoef,5,impvol_order-2)*G76^5,0)</f>
        <v>0.522205434083791</v>
      </c>
      <c r="L76" s="79" t="e">
        <f aca="false">EURO(UnderlyingPrice,$D76,IntRate,Yield,$I76,$D$6,L$12,0)</f>
        <v>#NAME?</v>
      </c>
      <c r="M76" s="79" t="e">
        <f aca="false">EURO(UnderlyingPrice,$D76,IntRate,Yield,$I76,$D$6,M$12,0)</f>
        <v>#NAME?</v>
      </c>
      <c r="O76" s="79" t="e">
        <f aca="false">EURO(UnderlyingPrice,$D76*(1+$P$8),IntRate,Yield,$H76,Expiry-Today,O$12,0)</f>
        <v>#NAME?</v>
      </c>
      <c r="P76" s="79" t="e">
        <f aca="false">EURO(UnderlyingPrice,$D76*(1+$P$8),IntRate,Yield,$H76,Expiry-Today,P$12,0)</f>
        <v>#NAME?</v>
      </c>
      <c r="R76" s="79" t="e">
        <f aca="false">EURO(UnderlyingPrice,$D76*(1-$P$8),IntRate,Yield,$J76,Expiry-Today,R$12,0)</f>
        <v>#NAME?</v>
      </c>
      <c r="S76" s="79" t="e">
        <f aca="false">EURO(UnderlyingPrice,$D76*(1-$P$8),IntRate,Yield,$J76,Expiry-Today,S$12,0)</f>
        <v>#NAME?</v>
      </c>
      <c r="U76" s="80" t="e">
        <f aca="false">(O76+R76-2*L76)/($P$8*D76)^2</f>
        <v>#NAME?</v>
      </c>
      <c r="V76" s="80"/>
      <c r="W76" s="81" t="e">
        <f aca="false">U76/$D$9</f>
        <v>#NAME?</v>
      </c>
      <c r="Z76" s="80" t="n">
        <f aca="false">(1/(D76*SQRT(2*PI()*T/365.25*ATMImpVol^2)))</f>
        <v>0.233706306516327</v>
      </c>
      <c r="AA76" s="80" t="n">
        <f aca="false">LN(D76/UnderlyingPrice)+0.5*T/365.25*ATMImpVol^2</f>
        <v>0.125450847736642</v>
      </c>
      <c r="AB76" s="80" t="n">
        <f aca="false">-(AA76^2)</f>
        <v>-0.0157379151978423</v>
      </c>
      <c r="AC76" s="80" t="n">
        <f aca="false">AB76/(2*T/365.25*ATMImpVol^2)</f>
        <v>-0.0731609615942319</v>
      </c>
      <c r="AD76" s="82" t="n">
        <f aca="false">EXP(AC76)</f>
        <v>0.929451212035891</v>
      </c>
      <c r="AE76" s="82" t="n">
        <f aca="false">AD76*Z76</f>
        <v>0.217218609852031</v>
      </c>
      <c r="AF76" s="82"/>
      <c r="AG76" s="83" t="n">
        <f aca="false">(LN($D76/UnderlyingPrice)+0.5*ATMImpVol^2*(T/365.25))/(ATMImpVol*SQRT(T/365.25))</f>
        <v>0.382520487279393</v>
      </c>
      <c r="AH76" s="83" t="n">
        <f aca="false">(LN(($D76*(1+$P$8))/UnderlyingPrice)+0.5*ATMImpVol^2*(T/365.25))/(ATMImpVol*SQRT(T/365.25))</f>
        <v>0.384044689370976</v>
      </c>
      <c r="AI76" s="83" t="n">
        <f aca="false">(LN($D76*(1-$P$8)/UnderlyingPrice)+0.5*ATMImpVol^2*(T/365.25))/(ATMImpVol*SQRT(T/365.25))</f>
        <v>0.380995522896158</v>
      </c>
      <c r="AJ76" s="81"/>
      <c r="AK76" s="83" t="e">
        <f aca="false">W76/(AH76-AI76)*(D76*2*$P$8)</f>
        <v>#NAME?</v>
      </c>
      <c r="AL76" s="83"/>
      <c r="AM76" s="84"/>
      <c r="AN76" s="85"/>
      <c r="AX76" s="87" t="n">
        <f aca="true">OFFSET(ENAVolCoef,0,impvol_order-2)+OFFSET(ENAVolCoef,1,impvol_order-2)*E76+OFFSET(ENAVolCoef,2,impvol_order-2)*E76^2+IF(impvol_order&gt;2,OFFSET(ENAVolCoef,3,impvol_order-2)*E76^3,0)+IF(impvol_order&gt;3,OFFSET(ENAVolCoef,4,impvol_order-2)*E76^4,0)+IF(impvol_order&gt;4,OFFSET(ENAVolCoef,5,impvol_order-2)*E76^5,0)</f>
        <v>0.495300660424882</v>
      </c>
      <c r="AY76" s="87" t="n">
        <f aca="true">OFFSET(ENAVolCoef,0,impvol_order-2)+OFFSET(ENAVolCoef,1,impvol_order-2)*F76+OFFSET(ENAVolCoef,2,impvol_order-2)*F76^2+IF(impvol_order&gt;2,OFFSET(ENAVolCoef,3,impvol_order-2)*F76^3,0)+IF(impvol_order&gt;3,OFFSET(ENAVolCoef,4,impvol_order-2)*F76^4,0)+IF(impvol_order&gt;4,OFFSET(ENAVolCoef,5,impvol_order-2)*F76^5,0)</f>
        <v>0.495332985090588</v>
      </c>
      <c r="AZ76" s="87" t="n">
        <f aca="true">OFFSET(ENAVolCoef,0,impvol_order-2)+OFFSET(ENAVolCoef,1,impvol_order-2)*G76+OFFSET(ENAVolCoef,2,impvol_order-2)*G76^2+IF(impvol_order&gt;2,OFFSET(ENAVolCoef,3,impvol_order-2)*G76^3,0)+IF(impvol_order&gt;3,OFFSET(ENAVolCoef,4,impvol_order-2)*G76^4,0)+IF(impvol_order&gt;4,OFFSET(ENAVolCoef,5,impvol_order-2)*G76^5,0)</f>
        <v>0.495268414474069</v>
      </c>
      <c r="BB76" s="48" t="e">
        <f aca="false">EURO(UnderlyingPrice,$D76,IntRate,Yield,AX76,$D$6,1,0)</f>
        <v>#NAME?</v>
      </c>
      <c r="BC76" s="48" t="e">
        <f aca="false">EURO(UnderlyingPrice,$D76*(1+$P$8),IntRate,Yield,AY76,$D$6,1,0)</f>
        <v>#NAME?</v>
      </c>
      <c r="BD76" s="48" t="e">
        <f aca="false">EURO(UnderlyingPrice,$D76*(1-$P$8),IntRate,Yield,AZ76,$D$6,1,0)</f>
        <v>#NAME?</v>
      </c>
      <c r="BF76" s="80" t="e">
        <f aca="false">(BC76+BD76-2*BB76)/($P$8*$D76)^2</f>
        <v>#NAME?</v>
      </c>
      <c r="BG76" s="48" t="e">
        <f aca="false">+BF76/$D$9</f>
        <v>#NAME?</v>
      </c>
      <c r="BI76" s="79" t="e">
        <f aca="false">+BB76-L76</f>
        <v>#NAME?</v>
      </c>
      <c r="BJ76" s="65" t="e">
        <f aca="false">+BI76/BB76</f>
        <v>#NAME?</v>
      </c>
    </row>
    <row r="77" customFormat="false" ht="11.25" hidden="false" customHeight="false" outlineLevel="0" collapsed="false">
      <c r="C77" s="77" t="n">
        <v>64</v>
      </c>
      <c r="D77" s="78" t="n">
        <f aca="true">D76+(ROUNDUP(MAX(StrikeRange),1)-ROUNDDOWN(MIN(StrikeRange),1))/100</f>
        <v>5.24000000000001</v>
      </c>
      <c r="E77" s="64" t="n">
        <f aca="false">+D77/UnderlyingPrice-1</f>
        <v>0.0815273477812197</v>
      </c>
      <c r="F77" s="64" t="n">
        <f aca="false">+D77*(1+$P$8)/UnderlyingPrice-1</f>
        <v>0.0820681114551101</v>
      </c>
      <c r="G77" s="64" t="n">
        <f aca="false">+D77*(1-$P$8)/UnderlyingPrice-1</f>
        <v>0.0809865841073292</v>
      </c>
      <c r="H77" s="64" t="n">
        <f aca="true">OFFSET(VolSkewCoef,0,impvol_order-2)+OFFSET(VolSkewCoef,1,impvol_order-2)*F77+OFFSET(VolSkewCoef,2,impvol_order-2)*F77^2+IF(impvol_order&gt;2,OFFSET(VolSkewCoef,3,impvol_order-2)*F77^3,0)+IF(impvol_order&gt;3,OFFSET(VolSkewCoef,4,impvol_order-2)*F77^4,0)+IF(impvol_order&gt;4,OFFSET(VolSkewCoef,5,impvol_order-2)*F77^5,0)</f>
        <v>0.522854298052018</v>
      </c>
      <c r="I77" s="64" t="n">
        <f aca="true">OFFSET(VolSkewCoef,0,impvol_order-2)+OFFSET(VolSkewCoef,1,impvol_order-2)*E77+OFFSET(VolSkewCoef,2,impvol_order-2)*E77^2+IF(impvol_order&gt;2,OFFSET(VolSkewCoef,3,impvol_order-2)*E77^3,0)+IF(impvol_order&gt;3,OFFSET(VolSkewCoef,4,impvol_order-2)*E77^4,0)+IF(impvol_order&gt;4,OFFSET(VolSkewCoef,5,impvol_order-2)*E77^5,0)</f>
        <v>0.522811390022324</v>
      </c>
      <c r="J77" s="64" t="n">
        <f aca="true">OFFSET(VolSkewCoef,0,impvol_order-2)+OFFSET(VolSkewCoef,1,impvol_order-2)*G77+OFFSET(VolSkewCoef,2,impvol_order-2)*G77^2+IF(impvol_order&gt;2,OFFSET(VolSkewCoef,3,impvol_order-2)*G77^3,0)+IF(impvol_order&gt;3,OFFSET(VolSkewCoef,4,impvol_order-2)*G77^4,0)+IF(impvol_order&gt;4,OFFSET(VolSkewCoef,5,impvol_order-2)*G77^5,0)</f>
        <v>0.522768570820352</v>
      </c>
      <c r="L77" s="79" t="e">
        <f aca="false">EURO(UnderlyingPrice,$D77,IntRate,Yield,$I77,$D$6,L$12,0)</f>
        <v>#NAME?</v>
      </c>
      <c r="M77" s="79" t="e">
        <f aca="false">EURO(UnderlyingPrice,$D77,IntRate,Yield,$I77,$D$6,M$12,0)</f>
        <v>#NAME?</v>
      </c>
      <c r="O77" s="79" t="e">
        <f aca="false">EURO(UnderlyingPrice,$D77*(1+$P$8),IntRate,Yield,$H77,Expiry-Today,O$12,0)</f>
        <v>#NAME?</v>
      </c>
      <c r="P77" s="79" t="e">
        <f aca="false">EURO(UnderlyingPrice,$D77*(1+$P$8),IntRate,Yield,$H77,Expiry-Today,P$12,0)</f>
        <v>#NAME?</v>
      </c>
      <c r="R77" s="79" t="e">
        <f aca="false">EURO(UnderlyingPrice,$D77*(1-$P$8),IntRate,Yield,$J77,Expiry-Today,R$12,0)</f>
        <v>#NAME?</v>
      </c>
      <c r="S77" s="79" t="e">
        <f aca="false">EURO(UnderlyingPrice,$D77*(1-$P$8),IntRate,Yield,$J77,Expiry-Today,S$12,0)</f>
        <v>#NAME?</v>
      </c>
      <c r="U77" s="80" t="e">
        <f aca="false">(O77+R77-2*L77)/($P$8*D77)^2</f>
        <v>#NAME?</v>
      </c>
      <c r="V77" s="80"/>
      <c r="W77" s="81" t="e">
        <f aca="false">U77/$D$9</f>
        <v>#NAME?</v>
      </c>
      <c r="Z77" s="80" t="n">
        <f aca="false">(1/(D77*SQRT(2*PI()*T/365.25*ATMImpVol^2)))</f>
        <v>0.232145291110206</v>
      </c>
      <c r="AA77" s="80" t="n">
        <f aca="false">LN(D77/UnderlyingPrice)+0.5*T/365.25*ATMImpVol^2</f>
        <v>0.132152644002661</v>
      </c>
      <c r="AB77" s="80" t="n">
        <f aca="false">-(AA77^2)</f>
        <v>-0.0174643213168941</v>
      </c>
      <c r="AC77" s="80" t="n">
        <f aca="false">AB77/(2*T/365.25*ATMImpVol^2)</f>
        <v>-0.0811865183585303</v>
      </c>
      <c r="AD77" s="82" t="n">
        <f aca="false">EXP(AC77)</f>
        <v>0.922021701431179</v>
      </c>
      <c r="AE77" s="82" t="n">
        <f aca="false">AD77*Z77</f>
        <v>0.214042996288669</v>
      </c>
      <c r="AF77" s="82"/>
      <c r="AG77" s="83" t="n">
        <f aca="false">(LN($D77/UnderlyingPrice)+0.5*ATMImpVol^2*(T/365.25))/(ATMImpVol*SQRT(T/365.25))</f>
        <v>0.402955378071891</v>
      </c>
      <c r="AH77" s="83" t="n">
        <f aca="false">(LN(($D77*(1+$P$8))/UnderlyingPrice)+0.5*ATMImpVol^2*(T/365.25))/(ATMImpVol*SQRT(T/365.25))</f>
        <v>0.404479580163474</v>
      </c>
      <c r="AI77" s="83" t="n">
        <f aca="false">(LN($D77*(1-$P$8)/UnderlyingPrice)+0.5*ATMImpVol^2*(T/365.25))/(ATMImpVol*SQRT(T/365.25))</f>
        <v>0.401430413688657</v>
      </c>
      <c r="AJ77" s="81"/>
      <c r="AK77" s="83" t="e">
        <f aca="false">W77/(AH77-AI77)*(D77*2*$P$8)</f>
        <v>#NAME?</v>
      </c>
      <c r="AL77" s="83"/>
      <c r="AM77" s="84"/>
      <c r="AN77" s="85"/>
      <c r="AX77" s="87" t="n">
        <f aca="true">OFFSET(ENAVolCoef,0,impvol_order-2)+OFFSET(ENAVolCoef,1,impvol_order-2)*E77+OFFSET(ENAVolCoef,2,impvol_order-2)*E77^2+IF(impvol_order&gt;2,OFFSET(ENAVolCoef,3,impvol_order-2)*E77^3,0)+IF(impvol_order&gt;3,OFFSET(ENAVolCoef,4,impvol_order-2)*E77^4,0)+IF(impvol_order&gt;4,OFFSET(ENAVolCoef,5,impvol_order-2)*E77^5,0)</f>
        <v>0.495741932648502</v>
      </c>
      <c r="AY77" s="87" t="n">
        <f aca="true">OFFSET(ENAVolCoef,0,impvol_order-2)+OFFSET(ENAVolCoef,1,impvol_order-2)*F77+OFFSET(ENAVolCoef,2,impvol_order-2)*F77^2+IF(impvol_order&gt;2,OFFSET(ENAVolCoef,3,impvol_order-2)*F77^3,0)+IF(impvol_order&gt;3,OFFSET(ENAVolCoef,4,impvol_order-2)*F77^4,0)+IF(impvol_order&gt;4,OFFSET(ENAVolCoef,5,impvol_order-2)*F77^5,0)</f>
        <v>0.495775531299001</v>
      </c>
      <c r="AZ77" s="87" t="n">
        <f aca="true">OFFSET(ENAVolCoef,0,impvol_order-2)+OFFSET(ENAVolCoef,1,impvol_order-2)*G77+OFFSET(ENAVolCoef,2,impvol_order-2)*G77^2+IF(impvol_order&gt;2,OFFSET(ENAVolCoef,3,impvol_order-2)*G77^3,0)+IF(impvol_order&gt;3,OFFSET(ENAVolCoef,4,impvol_order-2)*G77^4,0)+IF(impvol_order&gt;4,OFFSET(ENAVolCoef,5,impvol_order-2)*G77^5,0)</f>
        <v>0.495708412470445</v>
      </c>
      <c r="BB77" s="48" t="e">
        <f aca="false">EURO(UnderlyingPrice,$D77,IntRate,Yield,AX77,$D$6,1,0)</f>
        <v>#NAME?</v>
      </c>
      <c r="BC77" s="48" t="e">
        <f aca="false">EURO(UnderlyingPrice,$D77*(1+$P$8),IntRate,Yield,AY77,$D$6,1,0)</f>
        <v>#NAME?</v>
      </c>
      <c r="BD77" s="48" t="e">
        <f aca="false">EURO(UnderlyingPrice,$D77*(1-$P$8),IntRate,Yield,AZ77,$D$6,1,0)</f>
        <v>#NAME?</v>
      </c>
      <c r="BF77" s="80" t="e">
        <f aca="false">(BC77+BD77-2*BB77)/($P$8*$D77)^2</f>
        <v>#NAME?</v>
      </c>
      <c r="BG77" s="48" t="e">
        <f aca="false">+BF77/$D$9</f>
        <v>#NAME?</v>
      </c>
      <c r="BI77" s="79" t="e">
        <f aca="false">+BB77-L77</f>
        <v>#NAME?</v>
      </c>
      <c r="BJ77" s="65" t="e">
        <f aca="false">+BI77/BB77</f>
        <v>#NAME?</v>
      </c>
    </row>
    <row r="78" customFormat="false" ht="11.25" hidden="false" customHeight="false" outlineLevel="0" collapsed="false">
      <c r="C78" s="77" t="n">
        <v>65</v>
      </c>
      <c r="D78" s="78" t="n">
        <f aca="true">D77+(ROUNDUP(MAX(StrikeRange),1)-ROUNDDOWN(MIN(StrikeRange),1))/100</f>
        <v>5.27500000000001</v>
      </c>
      <c r="E78" s="64" t="n">
        <f aca="false">+D78/UnderlyingPrice-1</f>
        <v>0.0887512899896821</v>
      </c>
      <c r="F78" s="64" t="n">
        <f aca="false">+D78*(1+$P$8)/UnderlyingPrice-1</f>
        <v>0.0892956656346768</v>
      </c>
      <c r="G78" s="64" t="n">
        <f aca="false">+D78*(1-$P$8)/UnderlyingPrice-1</f>
        <v>0.0882069143446873</v>
      </c>
      <c r="H78" s="64" t="n">
        <f aca="true">OFFSET(VolSkewCoef,0,impvol_order-2)+OFFSET(VolSkewCoef,1,impvol_order-2)*F78+OFFSET(VolSkewCoef,2,impvol_order-2)*F78^2+IF(impvol_order&gt;2,OFFSET(VolSkewCoef,3,impvol_order-2)*F78^3,0)+IF(impvol_order&gt;3,OFFSET(VolSkewCoef,4,impvol_order-2)*F78^4,0)+IF(impvol_order&gt;4,OFFSET(VolSkewCoef,5,impvol_order-2)*F78^5,0)</f>
        <v>0.523436232363723</v>
      </c>
      <c r="I78" s="64" t="n">
        <f aca="true">OFFSET(VolSkewCoef,0,impvol_order-2)+OFFSET(VolSkewCoef,1,impvol_order-2)*E78+OFFSET(VolSkewCoef,2,impvol_order-2)*E78^2+IF(impvol_order&gt;2,OFFSET(VolSkewCoef,3,impvol_order-2)*E78^3,0)+IF(impvol_order&gt;3,OFFSET(VolSkewCoef,4,impvol_order-2)*E78^4,0)+IF(impvol_order&gt;4,OFFSET(VolSkewCoef,5,impvol_order-2)*E78^5,0)</f>
        <v>0.523391858333181</v>
      </c>
      <c r="J78" s="64" t="n">
        <f aca="true">OFFSET(VolSkewCoef,0,impvol_order-2)+OFFSET(VolSkewCoef,1,impvol_order-2)*G78+OFFSET(VolSkewCoef,2,impvol_order-2)*G78^2+IF(impvol_order&gt;2,OFFSET(VolSkewCoef,3,impvol_order-2)*G78^3,0)+IF(impvol_order&gt;3,OFFSET(VolSkewCoef,4,impvol_order-2)*G78^4,0)+IF(impvol_order&gt;4,OFFSET(VolSkewCoef,5,impvol_order-2)*G78^5,0)</f>
        <v>0.523347572155215</v>
      </c>
      <c r="L78" s="79" t="e">
        <f aca="false">EURO(UnderlyingPrice,$D78,IntRate,Yield,$I78,$D$6,L$12,0)</f>
        <v>#NAME?</v>
      </c>
      <c r="M78" s="79" t="e">
        <f aca="false">EURO(UnderlyingPrice,$D78,IntRate,Yield,$I78,$D$6,M$12,0)</f>
        <v>#NAME?</v>
      </c>
      <c r="O78" s="79" t="e">
        <f aca="false">EURO(UnderlyingPrice,$D78*(1+$P$8),IntRate,Yield,$H78,Expiry-Today,O$12,0)</f>
        <v>#NAME?</v>
      </c>
      <c r="P78" s="79" t="e">
        <f aca="false">EURO(UnderlyingPrice,$D78*(1+$P$8),IntRate,Yield,$H78,Expiry-Today,P$12,0)</f>
        <v>#NAME?</v>
      </c>
      <c r="R78" s="79" t="e">
        <f aca="false">EURO(UnderlyingPrice,$D78*(1-$P$8),IntRate,Yield,$J78,Expiry-Today,R$12,0)</f>
        <v>#NAME?</v>
      </c>
      <c r="S78" s="79" t="e">
        <f aca="false">EURO(UnderlyingPrice,$D78*(1-$P$8),IntRate,Yield,$J78,Expiry-Today,S$12,0)</f>
        <v>#NAME?</v>
      </c>
      <c r="U78" s="80" t="e">
        <f aca="false">(O78+R78-2*L78)/($P$8*D78)^2</f>
        <v>#NAME?</v>
      </c>
      <c r="V78" s="80"/>
      <c r="W78" s="81" t="e">
        <f aca="false">U78/$D$9</f>
        <v>#NAME?</v>
      </c>
      <c r="Z78" s="80" t="n">
        <f aca="false">(1/(D78*SQRT(2*PI()*T/365.25*ATMImpVol^2)))</f>
        <v>0.23060499060047</v>
      </c>
      <c r="AA78" s="80" t="n">
        <f aca="false">LN(D78/UnderlyingPrice)+0.5*T/365.25*ATMImpVol^2</f>
        <v>0.13880982503184</v>
      </c>
      <c r="AB78" s="80" t="n">
        <f aca="false">-(AA78^2)</f>
        <v>-0.0192681675253702</v>
      </c>
      <c r="AC78" s="80" t="n">
        <f aca="false">AB78/(2*T/365.25*ATMImpVol^2)</f>
        <v>-0.0895720714334582</v>
      </c>
      <c r="AD78" s="82" t="n">
        <f aca="false">EXP(AC78)</f>
        <v>0.914322366226042</v>
      </c>
      <c r="AE78" s="82" t="n">
        <f aca="false">AD78*Z78</f>
        <v>0.210847300669356</v>
      </c>
      <c r="AF78" s="82"/>
      <c r="AG78" s="83" t="n">
        <f aca="false">(LN($D78/UnderlyingPrice)+0.5*ATMImpVol^2*(T/365.25))/(ATMImpVol*SQRT(T/365.25))</f>
        <v>0.42325422959129</v>
      </c>
      <c r="AH78" s="83" t="n">
        <f aca="false">(LN(($D78*(1+$P$8))/UnderlyingPrice)+0.5*ATMImpVol^2*(T/365.25))/(ATMImpVol*SQRT(T/365.25))</f>
        <v>0.424778431682874</v>
      </c>
      <c r="AI78" s="83" t="n">
        <f aca="false">(LN($D78*(1-$P$8)/UnderlyingPrice)+0.5*ATMImpVol^2*(T/365.25))/(ATMImpVol*SQRT(T/365.25))</f>
        <v>0.421729265208056</v>
      </c>
      <c r="AJ78" s="81"/>
      <c r="AK78" s="83" t="e">
        <f aca="false">W78/(AH78-AI78)*(D78*2*$P$8)</f>
        <v>#NAME?</v>
      </c>
      <c r="AL78" s="83"/>
      <c r="AM78" s="84"/>
      <c r="AN78" s="85"/>
      <c r="AX78" s="87" t="n">
        <f aca="true">OFFSET(ENAVolCoef,0,impvol_order-2)+OFFSET(ENAVolCoef,1,impvol_order-2)*E78+OFFSET(ENAVolCoef,2,impvol_order-2)*E78^2+IF(impvol_order&gt;2,OFFSET(ENAVolCoef,3,impvol_order-2)*E78^3,0)+IF(impvol_order&gt;3,OFFSET(ENAVolCoef,4,impvol_order-2)*E78^4,0)+IF(impvol_order&gt;4,OFFSET(ENAVolCoef,5,impvol_order-2)*E78^5,0)</f>
        <v>0.496197208826159</v>
      </c>
      <c r="AY78" s="87" t="n">
        <f aca="true">OFFSET(ENAVolCoef,0,impvol_order-2)+OFFSET(ENAVolCoef,1,impvol_order-2)*F78+OFFSET(ENAVolCoef,2,impvol_order-2)*F78^2+IF(impvol_order&gt;2,OFFSET(ENAVolCoef,3,impvol_order-2)*F78^3,0)+IF(impvol_order&gt;3,OFFSET(ENAVolCoef,4,impvol_order-2)*F78^4,0)+IF(impvol_order&gt;4,OFFSET(ENAVolCoef,5,impvol_order-2)*F78^5,0)</f>
        <v>0.496232078023406</v>
      </c>
      <c r="AZ78" s="87" t="n">
        <f aca="true">OFFSET(ENAVolCoef,0,impvol_order-2)+OFFSET(ENAVolCoef,1,impvol_order-2)*G78+OFFSET(ENAVolCoef,2,impvol_order-2)*G78^2+IF(impvol_order&gt;2,OFFSET(ENAVolCoef,3,impvol_order-2)*G78^3,0)+IF(impvol_order&gt;3,OFFSET(ENAVolCoef,4,impvol_order-2)*G78^4,0)+IF(impvol_order&gt;4,OFFSET(ENAVolCoef,5,impvol_order-2)*G78^5,0)</f>
        <v>0.496162417831051</v>
      </c>
      <c r="BB78" s="48" t="e">
        <f aca="false">EURO(UnderlyingPrice,$D78,IntRate,Yield,AX78,$D$6,1,0)</f>
        <v>#NAME?</v>
      </c>
      <c r="BC78" s="48" t="e">
        <f aca="false">EURO(UnderlyingPrice,$D78*(1+$P$8),IntRate,Yield,AY78,$D$6,1,0)</f>
        <v>#NAME?</v>
      </c>
      <c r="BD78" s="48" t="e">
        <f aca="false">EURO(UnderlyingPrice,$D78*(1-$P$8),IntRate,Yield,AZ78,$D$6,1,0)</f>
        <v>#NAME?</v>
      </c>
      <c r="BF78" s="80" t="e">
        <f aca="false">(BC78+BD78-2*BB78)/($P$8*$D78)^2</f>
        <v>#NAME?</v>
      </c>
      <c r="BG78" s="48" t="e">
        <f aca="false">+BF78/$D$9</f>
        <v>#NAME?</v>
      </c>
      <c r="BI78" s="79" t="e">
        <f aca="false">+BB78-L78</f>
        <v>#NAME?</v>
      </c>
      <c r="BJ78" s="65" t="e">
        <f aca="false">+BI78/BB78</f>
        <v>#NAME?</v>
      </c>
    </row>
    <row r="79" customFormat="false" ht="11.25" hidden="false" customHeight="false" outlineLevel="0" collapsed="false">
      <c r="C79" s="77" t="n">
        <v>66</v>
      </c>
      <c r="D79" s="78" t="n">
        <f aca="true">D78+(ROUNDUP(MAX(StrikeRange),1)-ROUNDDOWN(MIN(StrikeRange),1))/100</f>
        <v>5.31000000000001</v>
      </c>
      <c r="E79" s="64" t="n">
        <f aca="false">+D79/UnderlyingPrice-1</f>
        <v>0.0959752321981444</v>
      </c>
      <c r="F79" s="64" t="n">
        <f aca="false">+D79*(1+$P$8)/UnderlyingPrice-1</f>
        <v>0.0965232198142434</v>
      </c>
      <c r="G79" s="64" t="n">
        <f aca="false">+D79*(1-$P$8)/UnderlyingPrice-1</f>
        <v>0.0954272445820454</v>
      </c>
      <c r="H79" s="64" t="n">
        <f aca="true">OFFSET(VolSkewCoef,0,impvol_order-2)+OFFSET(VolSkewCoef,1,impvol_order-2)*F79+OFFSET(VolSkewCoef,2,impvol_order-2)*F79^2+IF(impvol_order&gt;2,OFFSET(VolSkewCoef,3,impvol_order-2)*F79^3,0)+IF(impvol_order&gt;3,OFFSET(VolSkewCoef,4,impvol_order-2)*F79^4,0)+IF(impvol_order&gt;4,OFFSET(VolSkewCoef,5,impvol_order-2)*F79^5,0)</f>
        <v>0.524033623927728</v>
      </c>
      <c r="I79" s="64" t="n">
        <f aca="true">OFFSET(VolSkewCoef,0,impvol_order-2)+OFFSET(VolSkewCoef,1,impvol_order-2)*E79+OFFSET(VolSkewCoef,2,impvol_order-2)*E79^2+IF(impvol_order&gt;2,OFFSET(VolSkewCoef,3,impvol_order-2)*E79^3,0)+IF(impvol_order&gt;3,OFFSET(VolSkewCoef,4,impvol_order-2)*E79^4,0)+IF(impvol_order&gt;4,OFFSET(VolSkewCoef,5,impvol_order-2)*E79^5,0)</f>
        <v>0.523987797190342</v>
      </c>
      <c r="J79" s="64" t="n">
        <f aca="true">OFFSET(VolSkewCoef,0,impvol_order-2)+OFFSET(VolSkewCoef,1,impvol_order-2)*G79+OFFSET(VolSkewCoef,2,impvol_order-2)*G79^2+IF(impvol_order&gt;2,OFFSET(VolSkewCoef,3,impvol_order-2)*G79^3,0)+IF(impvol_order&gt;3,OFFSET(VolSkewCoef,4,impvol_order-2)*G79^4,0)+IF(impvol_order&gt;4,OFFSET(VolSkewCoef,5,impvol_order-2)*G79^5,0)</f>
        <v>0.523942057280642</v>
      </c>
      <c r="L79" s="79" t="e">
        <f aca="false">EURO(UnderlyingPrice,$D79,IntRate,Yield,$I79,$D$6,L$12,0)</f>
        <v>#NAME?</v>
      </c>
      <c r="M79" s="79" t="e">
        <f aca="false">EURO(UnderlyingPrice,$D79,IntRate,Yield,$I79,$D$6,M$12,0)</f>
        <v>#NAME?</v>
      </c>
      <c r="O79" s="79" t="e">
        <f aca="false">EURO(UnderlyingPrice,$D79*(1+$P$8),IntRate,Yield,$H79,Expiry-Today,O$12,0)</f>
        <v>#NAME?</v>
      </c>
      <c r="P79" s="79" t="e">
        <f aca="false">EURO(UnderlyingPrice,$D79*(1+$P$8),IntRate,Yield,$H79,Expiry-Today,P$12,0)</f>
        <v>#NAME?</v>
      </c>
      <c r="R79" s="79" t="e">
        <f aca="false">EURO(UnderlyingPrice,$D79*(1-$P$8),IntRate,Yield,$J79,Expiry-Today,R$12,0)</f>
        <v>#NAME?</v>
      </c>
      <c r="S79" s="79" t="e">
        <f aca="false">EURO(UnderlyingPrice,$D79*(1-$P$8),IntRate,Yield,$J79,Expiry-Today,S$12,0)</f>
        <v>#NAME?</v>
      </c>
      <c r="U79" s="80" t="e">
        <f aca="false">(O79+R79-2*L79)/($P$8*D79)^2</f>
        <v>#NAME?</v>
      </c>
      <c r="V79" s="80"/>
      <c r="W79" s="81" t="e">
        <f aca="false">U79/$D$9</f>
        <v>#NAME?</v>
      </c>
      <c r="Z79" s="80" t="n">
        <f aca="false">(1/(D79*SQRT(2*PI()*T/365.25*ATMImpVol^2)))</f>
        <v>0.229084995370524</v>
      </c>
      <c r="AA79" s="80" t="n">
        <f aca="false">LN(D79/UnderlyingPrice)+0.5*T/365.25*ATMImpVol^2</f>
        <v>0.145422980923558</v>
      </c>
      <c r="AB79" s="80" t="n">
        <f aca="false">-(AA79^2)</f>
        <v>-0.0211478433806934</v>
      </c>
      <c r="AC79" s="80" t="n">
        <f aca="false">AB79/(2*T/365.25*ATMImpVol^2)</f>
        <v>-0.0983101343428177</v>
      </c>
      <c r="AD79" s="82" t="n">
        <f aca="false">EXP(AC79)</f>
        <v>0.906367764389728</v>
      </c>
      <c r="AE79" s="82" t="n">
        <f aca="false">AD79*Z79</f>
        <v>0.207635255109213</v>
      </c>
      <c r="AF79" s="82"/>
      <c r="AG79" s="83" t="n">
        <f aca="false">(LN($D79/UnderlyingPrice)+0.5*ATMImpVol^2*(T/365.25))/(ATMImpVol*SQRT(T/365.25))</f>
        <v>0.443418841148677</v>
      </c>
      <c r="AH79" s="83" t="n">
        <f aca="false">(LN(($D79*(1+$P$8))/UnderlyingPrice)+0.5*ATMImpVol^2*(T/365.25))/(ATMImpVol*SQRT(T/365.25))</f>
        <v>0.44494304324026</v>
      </c>
      <c r="AI79" s="83" t="n">
        <f aca="false">(LN($D79*(1-$P$8)/UnderlyingPrice)+0.5*ATMImpVol^2*(T/365.25))/(ATMImpVol*SQRT(T/365.25))</f>
        <v>0.441893876765443</v>
      </c>
      <c r="AJ79" s="81"/>
      <c r="AK79" s="83" t="e">
        <f aca="false">W79/(AH79-AI79)*(D79*2*$P$8)</f>
        <v>#NAME?</v>
      </c>
      <c r="AL79" s="83"/>
      <c r="AM79" s="84"/>
      <c r="AN79" s="85"/>
      <c r="AX79" s="87" t="n">
        <f aca="true">OFFSET(ENAVolCoef,0,impvol_order-2)+OFFSET(ENAVolCoef,1,impvol_order-2)*E79+OFFSET(ENAVolCoef,2,impvol_order-2)*E79^2+IF(impvol_order&gt;2,OFFSET(ENAVolCoef,3,impvol_order-2)*E79^3,0)+IF(impvol_order&gt;3,OFFSET(ENAVolCoef,4,impvol_order-2)*E79^4,0)+IF(impvol_order&gt;4,OFFSET(ENAVolCoef,5,impvol_order-2)*E79^5,0)</f>
        <v>0.496666256140145</v>
      </c>
      <c r="AY79" s="87" t="n">
        <f aca="true">OFFSET(ENAVolCoef,0,impvol_order-2)+OFFSET(ENAVolCoef,1,impvol_order-2)*F79+OFFSET(ENAVolCoef,2,impvol_order-2)*F79^2+IF(impvol_order&gt;2,OFFSET(ENAVolCoef,3,impvol_order-2)*F79^3,0)+IF(impvol_order&gt;3,OFFSET(ENAVolCoef,4,impvol_order-2)*F79^4,0)+IF(impvol_order&gt;4,OFFSET(ENAVolCoef,5,impvol_order-2)*F79^5,0)</f>
        <v>0.496702392096692</v>
      </c>
      <c r="AZ79" s="87" t="n">
        <f aca="true">OFFSET(ENAVolCoef,0,impvol_order-2)+OFFSET(ENAVolCoef,1,impvol_order-2)*G79+OFFSET(ENAVolCoef,2,impvol_order-2)*G79^2+IF(impvol_order&gt;2,OFFSET(ENAVolCoef,3,impvol_order-2)*G79^3,0)+IF(impvol_order&gt;3,OFFSET(ENAVolCoef,4,impvol_order-2)*G79^4,0)+IF(impvol_order&gt;4,OFFSET(ENAVolCoef,5,impvol_order-2)*G79^5,0)</f>
        <v>0.496630198087228</v>
      </c>
      <c r="BB79" s="48" t="e">
        <f aca="false">EURO(UnderlyingPrice,$D79,IntRate,Yield,AX79,$D$6,1,0)</f>
        <v>#NAME?</v>
      </c>
      <c r="BC79" s="48" t="e">
        <f aca="false">EURO(UnderlyingPrice,$D79*(1+$P$8),IntRate,Yield,AY79,$D$6,1,0)</f>
        <v>#NAME?</v>
      </c>
      <c r="BD79" s="48" t="e">
        <f aca="false">EURO(UnderlyingPrice,$D79*(1-$P$8),IntRate,Yield,AZ79,$D$6,1,0)</f>
        <v>#NAME?</v>
      </c>
      <c r="BF79" s="80" t="e">
        <f aca="false">(BC79+BD79-2*BB79)/($P$8*$D79)^2</f>
        <v>#NAME?</v>
      </c>
      <c r="BG79" s="48" t="e">
        <f aca="false">+BF79/$D$9</f>
        <v>#NAME?</v>
      </c>
      <c r="BI79" s="79" t="e">
        <f aca="false">+BB79-L79</f>
        <v>#NAME?</v>
      </c>
      <c r="BJ79" s="65" t="e">
        <f aca="false">+BI79/BB79</f>
        <v>#NAME?</v>
      </c>
    </row>
    <row r="80" customFormat="false" ht="11.25" hidden="false" customHeight="false" outlineLevel="0" collapsed="false">
      <c r="C80" s="77" t="n">
        <v>67</v>
      </c>
      <c r="D80" s="78" t="n">
        <f aca="true">D79+(ROUNDUP(MAX(StrikeRange),1)-ROUNDDOWN(MIN(StrikeRange),1))/100</f>
        <v>5.34500000000001</v>
      </c>
      <c r="E80" s="64" t="n">
        <f aca="false">+D80/UnderlyingPrice-1</f>
        <v>0.103199174406607</v>
      </c>
      <c r="F80" s="64" t="n">
        <f aca="false">+D80*(1+$P$8)/UnderlyingPrice-1</f>
        <v>0.10375077399381</v>
      </c>
      <c r="G80" s="64" t="n">
        <f aca="false">+D80*(1-$P$8)/UnderlyingPrice-1</f>
        <v>0.102647574819403</v>
      </c>
      <c r="H80" s="64" t="n">
        <f aca="true">OFFSET(VolSkewCoef,0,impvol_order-2)+OFFSET(VolSkewCoef,1,impvol_order-2)*F80+OFFSET(VolSkewCoef,2,impvol_order-2)*F80^2+IF(impvol_order&gt;2,OFFSET(VolSkewCoef,3,impvol_order-2)*F80^3,0)+IF(impvol_order&gt;3,OFFSET(VolSkewCoef,4,impvol_order-2)*F80^4,0)+IF(impvol_order&gt;4,OFFSET(VolSkewCoef,5,impvol_order-2)*F80^5,0)</f>
        <v>0.524646090792158</v>
      </c>
      <c r="I80" s="64" t="n">
        <f aca="true">OFFSET(VolSkewCoef,0,impvol_order-2)+OFFSET(VolSkewCoef,1,impvol_order-2)*E80+OFFSET(VolSkewCoef,2,impvol_order-2)*E80^2+IF(impvol_order&gt;2,OFFSET(VolSkewCoef,3,impvol_order-2)*E80^3,0)+IF(impvol_order&gt;3,OFFSET(VolSkewCoef,4,impvol_order-2)*E80^4,0)+IF(impvol_order&gt;4,OFFSET(VolSkewCoef,5,impvol_order-2)*E80^5,0)</f>
        <v>0.524598825214288</v>
      </c>
      <c r="J80" s="64" t="n">
        <f aca="true">OFFSET(VolSkewCoef,0,impvol_order-2)+OFFSET(VolSkewCoef,1,impvol_order-2)*G80+OFFSET(VolSkewCoef,2,impvol_order-2)*G80^2+IF(impvol_order&gt;2,OFFSET(VolSkewCoef,3,impvol_order-2)*G80^3,0)+IF(impvol_order&gt;3,OFFSET(VolSkewCoef,4,impvol_order-2)*G80^4,0)+IF(impvol_order&gt;4,OFFSET(VolSkewCoef,5,impvol_order-2)*G80^5,0)</f>
        <v>0.524551645388896</v>
      </c>
      <c r="L80" s="79" t="e">
        <f aca="false">EURO(UnderlyingPrice,$D80,IntRate,Yield,$I80,$D$6,L$12,0)</f>
        <v>#NAME?</v>
      </c>
      <c r="M80" s="79" t="e">
        <f aca="false">EURO(UnderlyingPrice,$D80,IntRate,Yield,$I80,$D$6,M$12,0)</f>
        <v>#NAME?</v>
      </c>
      <c r="O80" s="79" t="e">
        <f aca="false">EURO(UnderlyingPrice,$D80*(1+$P$8),IntRate,Yield,$H80,Expiry-Today,O$12,0)</f>
        <v>#NAME?</v>
      </c>
      <c r="P80" s="79" t="e">
        <f aca="false">EURO(UnderlyingPrice,$D80*(1+$P$8),IntRate,Yield,$H80,Expiry-Today,P$12,0)</f>
        <v>#NAME?</v>
      </c>
      <c r="R80" s="79" t="e">
        <f aca="false">EURO(UnderlyingPrice,$D80*(1-$P$8),IntRate,Yield,$J80,Expiry-Today,R$12,0)</f>
        <v>#NAME?</v>
      </c>
      <c r="S80" s="79" t="e">
        <f aca="false">EURO(UnderlyingPrice,$D80*(1-$P$8),IntRate,Yield,$J80,Expiry-Today,S$12,0)</f>
        <v>#NAME?</v>
      </c>
      <c r="U80" s="80" t="e">
        <f aca="false">(O80+R80-2*L80)/($P$8*D80)^2</f>
        <v>#NAME?</v>
      </c>
      <c r="V80" s="80"/>
      <c r="W80" s="81" t="e">
        <f aca="false">U80/$D$9</f>
        <v>#NAME?</v>
      </c>
      <c r="Z80" s="80" t="n">
        <f aca="false">(1/(D80*SQRT(2*PI()*T/365.25*ATMImpVol^2)))</f>
        <v>0.227584906532737</v>
      </c>
      <c r="AA80" s="80" t="n">
        <f aca="false">LN(D80/UnderlyingPrice)+0.5*T/365.25*ATMImpVol^2</f>
        <v>0.151992690146719</v>
      </c>
      <c r="AB80" s="80" t="n">
        <f aca="false">-(AA80^2)</f>
        <v>-0.0231017778580365</v>
      </c>
      <c r="AC80" s="80" t="n">
        <f aca="false">AB80/(2*T/365.25*ATMImpVol^2)</f>
        <v>-0.107393403851993</v>
      </c>
      <c r="AD80" s="82" t="n">
        <f aca="false">EXP(AC80)</f>
        <v>0.898172259051198</v>
      </c>
      <c r="AE80" s="82" t="n">
        <f aca="false">AD80*Z80</f>
        <v>0.204410449626464</v>
      </c>
      <c r="AF80" s="82"/>
      <c r="AG80" s="83" t="n">
        <f aca="false">(LN($D80/UnderlyingPrice)+0.5*ATMImpVol^2*(T/365.25))/(ATMImpVol*SQRT(T/365.25))</f>
        <v>0.463450976591899</v>
      </c>
      <c r="AH80" s="83" t="n">
        <f aca="false">(LN(($D80*(1+$P$8))/UnderlyingPrice)+0.5*ATMImpVol^2*(T/365.25))/(ATMImpVol*SQRT(T/365.25))</f>
        <v>0.464975178683483</v>
      </c>
      <c r="AI80" s="83" t="n">
        <f aca="false">(LN($D80*(1-$P$8)/UnderlyingPrice)+0.5*ATMImpVol^2*(T/365.25))/(ATMImpVol*SQRT(T/365.25))</f>
        <v>0.461926012208664</v>
      </c>
      <c r="AJ80" s="81"/>
      <c r="AK80" s="83" t="e">
        <f aca="false">W80/(AH80-AI80)*(D80*2*$P$8)</f>
        <v>#NAME?</v>
      </c>
      <c r="AL80" s="83"/>
      <c r="AM80" s="84"/>
      <c r="AN80" s="85"/>
      <c r="AX80" s="87" t="n">
        <f aca="true">OFFSET(ENAVolCoef,0,impvol_order-2)+OFFSET(ENAVolCoef,1,impvol_order-2)*E80+OFFSET(ENAVolCoef,2,impvol_order-2)*E80^2+IF(impvol_order&gt;2,OFFSET(ENAVolCoef,3,impvol_order-2)*E80^3,0)+IF(impvol_order&gt;3,OFFSET(ENAVolCoef,4,impvol_order-2)*E80^4,0)+IF(impvol_order&gt;4,OFFSET(ENAVolCoef,5,impvol_order-2)*E80^5,0)</f>
        <v>0.49714884177275</v>
      </c>
      <c r="AY80" s="87" t="n">
        <f aca="true">OFFSET(ENAVolCoef,0,impvol_order-2)+OFFSET(ENAVolCoef,1,impvol_order-2)*F80+OFFSET(ENAVolCoef,2,impvol_order-2)*F80^2+IF(impvol_order&gt;2,OFFSET(ENAVolCoef,3,impvol_order-2)*F80^3,0)+IF(impvol_order&gt;3,OFFSET(ENAVolCoef,4,impvol_order-2)*F80^4,0)+IF(impvol_order&gt;4,OFFSET(ENAVolCoef,5,impvol_order-2)*F80^5,0)</f>
        <v>0.497186240351749</v>
      </c>
      <c r="AZ80" s="87" t="n">
        <f aca="true">OFFSET(ENAVolCoef,0,impvol_order-2)+OFFSET(ENAVolCoef,1,impvol_order-2)*G80+OFFSET(ENAVolCoef,2,impvol_order-2)*G80^2+IF(impvol_order&gt;2,OFFSET(ENAVolCoef,3,impvol_order-2)*G80^3,0)+IF(impvol_order&gt;3,OFFSET(ENAVolCoef,4,impvol_order-2)*G80^4,0)+IF(impvol_order&gt;4,OFFSET(ENAVolCoef,5,impvol_order-2)*G80^5,0)</f>
        <v>0.497111520770321</v>
      </c>
      <c r="BB80" s="48" t="e">
        <f aca="false">EURO(UnderlyingPrice,$D80,IntRate,Yield,AX80,$D$6,1,0)</f>
        <v>#NAME?</v>
      </c>
      <c r="BC80" s="48" t="e">
        <f aca="false">EURO(UnderlyingPrice,$D80*(1+$P$8),IntRate,Yield,AY80,$D$6,1,0)</f>
        <v>#NAME?</v>
      </c>
      <c r="BD80" s="48" t="e">
        <f aca="false">EURO(UnderlyingPrice,$D80*(1-$P$8),IntRate,Yield,AZ80,$D$6,1,0)</f>
        <v>#NAME?</v>
      </c>
      <c r="BF80" s="80" t="e">
        <f aca="false">(BC80+BD80-2*BB80)/($P$8*$D80)^2</f>
        <v>#NAME?</v>
      </c>
      <c r="BG80" s="48" t="e">
        <f aca="false">+BF80/$D$9</f>
        <v>#NAME?</v>
      </c>
      <c r="BI80" s="79" t="e">
        <f aca="false">+BB80-L80</f>
        <v>#NAME?</v>
      </c>
      <c r="BJ80" s="65" t="e">
        <f aca="false">+BI80/BB80</f>
        <v>#NAME?</v>
      </c>
    </row>
    <row r="81" customFormat="false" ht="11.25" hidden="false" customHeight="false" outlineLevel="0" collapsed="false">
      <c r="C81" s="77" t="n">
        <v>68</v>
      </c>
      <c r="D81" s="78" t="n">
        <f aca="true">D80+(ROUNDUP(MAX(StrikeRange),1)-ROUNDDOWN(MIN(StrikeRange),1))/100</f>
        <v>5.38000000000001</v>
      </c>
      <c r="E81" s="64" t="n">
        <f aca="false">+D81/UnderlyingPrice-1</f>
        <v>0.110423116615069</v>
      </c>
      <c r="F81" s="64" t="n">
        <f aca="false">+D81*(1+$P$8)/UnderlyingPrice-1</f>
        <v>0.110978328173377</v>
      </c>
      <c r="G81" s="64" t="n">
        <f aca="false">+D81*(1-$P$8)/UnderlyingPrice-1</f>
        <v>0.109867905056762</v>
      </c>
      <c r="H81" s="64" t="n">
        <f aca="true">OFFSET(VolSkewCoef,0,impvol_order-2)+OFFSET(VolSkewCoef,1,impvol_order-2)*F81+OFFSET(VolSkewCoef,2,impvol_order-2)*F81^2+IF(impvol_order&gt;2,OFFSET(VolSkewCoef,3,impvol_order-2)*F81^3,0)+IF(impvol_order&gt;3,OFFSET(VolSkewCoef,4,impvol_order-2)*F81^4,0)+IF(impvol_order&gt;4,OFFSET(VolSkewCoef,5,impvol_order-2)*F81^5,0)</f>
        <v>0.525273251005139</v>
      </c>
      <c r="I81" s="64" t="n">
        <f aca="true">OFFSET(VolSkewCoef,0,impvol_order-2)+OFFSET(VolSkewCoef,1,impvol_order-2)*E81+OFFSET(VolSkewCoef,2,impvol_order-2)*E81^2+IF(impvol_order&gt;2,OFFSET(VolSkewCoef,3,impvol_order-2)*E81^3,0)+IF(impvol_order&gt;3,OFFSET(VolSkewCoef,4,impvol_order-2)*E81^4,0)+IF(impvol_order&gt;4,OFFSET(VolSkewCoef,5,impvol_order-2)*E81^5,0)</f>
        <v>0.525224561025498</v>
      </c>
      <c r="J81" s="64" t="n">
        <f aca="true">OFFSET(VolSkewCoef,0,impvol_order-2)+OFFSET(VolSkewCoef,1,impvol_order-2)*G81+OFFSET(VolSkewCoef,2,impvol_order-2)*G81^2+IF(impvol_order&gt;2,OFFSET(VolSkewCoef,3,impvol_order-2)*G81^3,0)+IF(impvol_order&gt;3,OFFSET(VolSkewCoef,4,impvol_order-2)*G81^4,0)+IF(impvol_order&gt;4,OFFSET(VolSkewCoef,5,impvol_order-2)*G81^5,0)</f>
        <v>0.525175955672241</v>
      </c>
      <c r="L81" s="79" t="e">
        <f aca="false">EURO(UnderlyingPrice,$D81,IntRate,Yield,$I81,$D$6,L$12,0)</f>
        <v>#NAME?</v>
      </c>
      <c r="M81" s="79" t="e">
        <f aca="false">EURO(UnderlyingPrice,$D81,IntRate,Yield,$I81,$D$6,M$12,0)</f>
        <v>#NAME?</v>
      </c>
      <c r="O81" s="79" t="e">
        <f aca="false">EURO(UnderlyingPrice,$D81*(1+$P$8),IntRate,Yield,$H81,Expiry-Today,O$12,0)</f>
        <v>#NAME?</v>
      </c>
      <c r="P81" s="79" t="e">
        <f aca="false">EURO(UnderlyingPrice,$D81*(1+$P$8),IntRate,Yield,$H81,Expiry-Today,P$12,0)</f>
        <v>#NAME?</v>
      </c>
      <c r="R81" s="79" t="e">
        <f aca="false">EURO(UnderlyingPrice,$D81*(1-$P$8),IntRate,Yield,$J81,Expiry-Today,R$12,0)</f>
        <v>#NAME?</v>
      </c>
      <c r="S81" s="79" t="e">
        <f aca="false">EURO(UnderlyingPrice,$D81*(1-$P$8),IntRate,Yield,$J81,Expiry-Today,S$12,0)</f>
        <v>#NAME?</v>
      </c>
      <c r="U81" s="80" t="e">
        <f aca="false">(O81+R81-2*L81)/($P$8*D81)^2</f>
        <v>#NAME?</v>
      </c>
      <c r="V81" s="80"/>
      <c r="W81" s="81" t="e">
        <f aca="false">U81/$D$9</f>
        <v>#NAME?</v>
      </c>
      <c r="Z81" s="80" t="n">
        <f aca="false">(1/(D81*SQRT(2*PI()*T/365.25*ATMImpVol^2)))</f>
        <v>0.226104335579457</v>
      </c>
      <c r="AA81" s="80" t="n">
        <f aca="false">LN(D81/UnderlyingPrice)+0.5*T/365.25*ATMImpVol^2</f>
        <v>0.158519519843403</v>
      </c>
      <c r="AB81" s="80" t="n">
        <f aca="false">-(AA81^2)</f>
        <v>-0.0251284381713831</v>
      </c>
      <c r="AC81" s="80" t="n">
        <f aca="false">AB81/(2*T/365.25*ATMImpVol^2)</f>
        <v>-0.116814754487408</v>
      </c>
      <c r="AD81" s="82" t="n">
        <f aca="false">EXP(AC81)</f>
        <v>0.889750000092914</v>
      </c>
      <c r="AE81" s="82" t="n">
        <f aca="false">AD81*Z81</f>
        <v>0.20117633260283</v>
      </c>
      <c r="AF81" s="82"/>
      <c r="AG81" s="83" t="n">
        <f aca="false">(LN($D81/UnderlyingPrice)+0.5*ATMImpVol^2*(T/365.25))/(ATMImpVol*SQRT(T/365.25))</f>
        <v>0.483352365231429</v>
      </c>
      <c r="AH81" s="83" t="n">
        <f aca="false">(LN(($D81*(1+$P$8))/UnderlyingPrice)+0.5*ATMImpVol^2*(T/365.25))/(ATMImpVol*SQRT(T/365.25))</f>
        <v>0.484876567323012</v>
      </c>
      <c r="AI81" s="83" t="n">
        <f aca="false">(LN($D81*(1-$P$8)/UnderlyingPrice)+0.5*ATMImpVol^2*(T/365.25))/(ATMImpVol*SQRT(T/365.25))</f>
        <v>0.481827400848195</v>
      </c>
      <c r="AJ81" s="81"/>
      <c r="AK81" s="83" t="e">
        <f aca="false">W81/(AH81-AI81)*(D81*2*$P$8)</f>
        <v>#NAME?</v>
      </c>
      <c r="AL81" s="83"/>
      <c r="AM81" s="84"/>
      <c r="AN81" s="85"/>
      <c r="AX81" s="87" t="n">
        <f aca="true">OFFSET(ENAVolCoef,0,impvol_order-2)+OFFSET(ENAVolCoef,1,impvol_order-2)*E81+OFFSET(ENAVolCoef,2,impvol_order-2)*E81^2+IF(impvol_order&gt;2,OFFSET(ENAVolCoef,3,impvol_order-2)*E81^3,0)+IF(impvol_order&gt;3,OFFSET(ENAVolCoef,4,impvol_order-2)*E81^4,0)+IF(impvol_order&gt;4,OFFSET(ENAVolCoef,5,impvol_order-2)*E81^5,0)</f>
        <v>0.497644732906265</v>
      </c>
      <c r="AY81" s="87" t="n">
        <f aca="true">OFFSET(ENAVolCoef,0,impvol_order-2)+OFFSET(ENAVolCoef,1,impvol_order-2)*F81+OFFSET(ENAVolCoef,2,impvol_order-2)*F81^2+IF(impvol_order&gt;2,OFFSET(ENAVolCoef,3,impvol_order-2)*F81^3,0)+IF(impvol_order&gt;3,OFFSET(ENAVolCoef,4,impvol_order-2)*F81^4,0)+IF(impvol_order&gt;4,OFFSET(ENAVolCoef,5,impvol_order-2)*F81^5,0)</f>
        <v>0.497683389621466</v>
      </c>
      <c r="AZ81" s="87" t="n">
        <f aca="true">OFFSET(ENAVolCoef,0,impvol_order-2)+OFFSET(ENAVolCoef,1,impvol_order-2)*G81+OFFSET(ENAVolCoef,2,impvol_order-2)*G81^2+IF(impvol_order&gt;2,OFFSET(ENAVolCoef,3,impvol_order-2)*G81^3,0)+IF(impvol_order&gt;3,OFFSET(ENAVolCoef,4,impvol_order-2)*G81^4,0)+IF(impvol_order&gt;4,OFFSET(ENAVolCoef,5,impvol_order-2)*G81^5,0)</f>
        <v>0.49760615341167</v>
      </c>
      <c r="BB81" s="48" t="e">
        <f aca="false">EURO(UnderlyingPrice,$D81,IntRate,Yield,AX81,$D$6,1,0)</f>
        <v>#NAME?</v>
      </c>
      <c r="BC81" s="48" t="e">
        <f aca="false">EURO(UnderlyingPrice,$D81*(1+$P$8),IntRate,Yield,AY81,$D$6,1,0)</f>
        <v>#NAME?</v>
      </c>
      <c r="BD81" s="48" t="e">
        <f aca="false">EURO(UnderlyingPrice,$D81*(1-$P$8),IntRate,Yield,AZ81,$D$6,1,0)</f>
        <v>#NAME?</v>
      </c>
      <c r="BF81" s="80" t="e">
        <f aca="false">(BC81+BD81-2*BB81)/($P$8*$D81)^2</f>
        <v>#NAME?</v>
      </c>
      <c r="BG81" s="48" t="e">
        <f aca="false">+BF81/$D$9</f>
        <v>#NAME?</v>
      </c>
      <c r="BI81" s="79" t="e">
        <f aca="false">+BB81-L81</f>
        <v>#NAME?</v>
      </c>
      <c r="BJ81" s="65" t="e">
        <f aca="false">+BI81/BB81</f>
        <v>#NAME?</v>
      </c>
    </row>
    <row r="82" customFormat="false" ht="11.25" hidden="false" customHeight="false" outlineLevel="0" collapsed="false">
      <c r="C82" s="77" t="n">
        <v>69</v>
      </c>
      <c r="D82" s="78" t="n">
        <f aca="true">D81+(ROUNDUP(MAX(StrikeRange),1)-ROUNDDOWN(MIN(StrikeRange),1))/100</f>
        <v>5.41500000000001</v>
      </c>
      <c r="E82" s="64" t="n">
        <f aca="false">+D82/UnderlyingPrice-1</f>
        <v>0.117647058823531</v>
      </c>
      <c r="F82" s="64" t="n">
        <f aca="false">+D82*(1+$P$8)/UnderlyingPrice-1</f>
        <v>0.118205882352943</v>
      </c>
      <c r="G82" s="64" t="n">
        <f aca="false">+D82*(1-$P$8)/UnderlyingPrice-1</f>
        <v>0.11708823529412</v>
      </c>
      <c r="H82" s="64" t="n">
        <f aca="true">OFFSET(VolSkewCoef,0,impvol_order-2)+OFFSET(VolSkewCoef,1,impvol_order-2)*F82+OFFSET(VolSkewCoef,2,impvol_order-2)*F82^2+IF(impvol_order&gt;2,OFFSET(VolSkewCoef,3,impvol_order-2)*F82^3,0)+IF(impvol_order&gt;3,OFFSET(VolSkewCoef,4,impvol_order-2)*F82^4,0)+IF(impvol_order&gt;4,OFFSET(VolSkewCoef,5,impvol_order-2)*F82^5,0)</f>
        <v>0.525914722614794</v>
      </c>
      <c r="I82" s="64" t="n">
        <f aca="true">OFFSET(VolSkewCoef,0,impvol_order-2)+OFFSET(VolSkewCoef,1,impvol_order-2)*E82+OFFSET(VolSkewCoef,2,impvol_order-2)*E82^2+IF(impvol_order&gt;2,OFFSET(VolSkewCoef,3,impvol_order-2)*E82^3,0)+IF(impvol_order&gt;3,OFFSET(VolSkewCoef,4,impvol_order-2)*E82^4,0)+IF(impvol_order&gt;4,OFFSET(VolSkewCoef,5,impvol_order-2)*E82^5,0)</f>
        <v>0.525864623244454</v>
      </c>
      <c r="J82" s="64" t="n">
        <f aca="true">OFFSET(VolSkewCoef,0,impvol_order-2)+OFFSET(VolSkewCoef,1,impvol_order-2)*G82+OFFSET(VolSkewCoef,2,impvol_order-2)*G82^2+IF(impvol_order&gt;2,OFFSET(VolSkewCoef,3,impvol_order-2)*G82^3,0)+IF(impvol_order&gt;3,OFFSET(VolSkewCoef,4,impvol_order-2)*G82^4,0)+IF(impvol_order&gt;4,OFFSET(VolSkewCoef,5,impvol_order-2)*G82^5,0)</f>
        <v>0.525814607322941</v>
      </c>
      <c r="L82" s="79" t="e">
        <f aca="false">EURO(UnderlyingPrice,$D82,IntRate,Yield,$I82,$D$6,L$12,0)</f>
        <v>#NAME?</v>
      </c>
      <c r="M82" s="79" t="e">
        <f aca="false">EURO(UnderlyingPrice,$D82,IntRate,Yield,$I82,$D$6,M$12,0)</f>
        <v>#NAME?</v>
      </c>
      <c r="O82" s="79" t="e">
        <f aca="false">EURO(UnderlyingPrice,$D82*(1+$P$8),IntRate,Yield,$H82,Expiry-Today,O$12,0)</f>
        <v>#NAME?</v>
      </c>
      <c r="P82" s="79" t="e">
        <f aca="false">EURO(UnderlyingPrice,$D82*(1+$P$8),IntRate,Yield,$H82,Expiry-Today,P$12,0)</f>
        <v>#NAME?</v>
      </c>
      <c r="R82" s="79" t="e">
        <f aca="false">EURO(UnderlyingPrice,$D82*(1-$P$8),IntRate,Yield,$J82,Expiry-Today,R$12,0)</f>
        <v>#NAME?</v>
      </c>
      <c r="S82" s="79" t="e">
        <f aca="false">EURO(UnderlyingPrice,$D82*(1-$P$8),IntRate,Yield,$J82,Expiry-Today,S$12,0)</f>
        <v>#NAME?</v>
      </c>
      <c r="U82" s="80" t="e">
        <f aca="false">(O82+R82-2*L82)/($P$8*D82)^2</f>
        <v>#NAME?</v>
      </c>
      <c r="V82" s="80"/>
      <c r="W82" s="81" t="e">
        <f aca="false">U82/$D$9</f>
        <v>#NAME?</v>
      </c>
      <c r="Z82" s="80" t="n">
        <f aca="false">(1/(D82*SQRT(2*PI()*T/365.25*ATMImpVol^2)))</f>
        <v>0.224642904047549</v>
      </c>
      <c r="AA82" s="80" t="n">
        <f aca="false">LN(D82/UnderlyingPrice)+0.5*T/365.25*ATMImpVol^2</f>
        <v>0.165004026122664</v>
      </c>
      <c r="AB82" s="80" t="n">
        <f aca="false">-(AA82^2)</f>
        <v>-0.0272263286366888</v>
      </c>
      <c r="AC82" s="80" t="n">
        <f aca="false">AB82/(2*T/365.25*ATMImpVol^2)</f>
        <v>-0.126567233251697</v>
      </c>
      <c r="AD82" s="82" t="n">
        <f aca="false">EXP(AC82)</f>
        <v>0.881114907331676</v>
      </c>
      <c r="AE82" s="82" t="n">
        <f aca="false">AD82*Z82</f>
        <v>0.197936211582575</v>
      </c>
      <c r="AF82" s="82"/>
      <c r="AG82" s="83" t="n">
        <f aca="false">(LN($D82/UnderlyingPrice)+0.5*ATMImpVol^2*(T/365.25))/(ATMImpVol*SQRT(T/365.25))</f>
        <v>0.503124702736205</v>
      </c>
      <c r="AH82" s="83" t="n">
        <f aca="false">(LN(($D82*(1+$P$8))/UnderlyingPrice)+0.5*ATMImpVol^2*(T/365.25))/(ATMImpVol*SQRT(T/365.25))</f>
        <v>0.504648904827789</v>
      </c>
      <c r="AI82" s="83" t="n">
        <f aca="false">(LN($D82*(1-$P$8)/UnderlyingPrice)+0.5*ATMImpVol^2*(T/365.25))/(ATMImpVol*SQRT(T/365.25))</f>
        <v>0.501599738352971</v>
      </c>
      <c r="AJ82" s="81"/>
      <c r="AK82" s="83" t="e">
        <f aca="false">W82/(AH82-AI82)*(D82*2*$P$8)</f>
        <v>#NAME?</v>
      </c>
      <c r="AL82" s="83"/>
      <c r="AM82" s="84"/>
      <c r="AN82" s="85"/>
      <c r="AX82" s="87" t="n">
        <f aca="true">OFFSET(ENAVolCoef,0,impvol_order-2)+OFFSET(ENAVolCoef,1,impvol_order-2)*E82+OFFSET(ENAVolCoef,2,impvol_order-2)*E82^2+IF(impvol_order&gt;2,OFFSET(ENAVolCoef,3,impvol_order-2)*E82^3,0)+IF(impvol_order&gt;3,OFFSET(ENAVolCoef,4,impvol_order-2)*E82^4,0)+IF(impvol_order&gt;4,OFFSET(ENAVolCoef,5,impvol_order-2)*E82^5,0)</f>
        <v>0.49815369672298</v>
      </c>
      <c r="AY82" s="87" t="n">
        <f aca="true">OFFSET(ENAVolCoef,0,impvol_order-2)+OFFSET(ENAVolCoef,1,impvol_order-2)*F82+OFFSET(ENAVolCoef,2,impvol_order-2)*F82^2+IF(impvol_order&gt;2,OFFSET(ENAVolCoef,3,impvol_order-2)*F82^3,0)+IF(impvol_order&gt;3,OFFSET(ENAVolCoef,4,impvol_order-2)*F82^4,0)+IF(impvol_order&gt;4,OFFSET(ENAVolCoef,5,impvol_order-2)*F82^5,0)</f>
        <v>0.498193606738733</v>
      </c>
      <c r="AZ82" s="87" t="n">
        <f aca="true">OFFSET(ENAVolCoef,0,impvol_order-2)+OFFSET(ENAVolCoef,1,impvol_order-2)*G82+OFFSET(ENAVolCoef,2,impvol_order-2)*G82^2+IF(impvol_order&gt;2,OFFSET(ENAVolCoef,3,impvol_order-2)*G82^3,0)+IF(impvol_order&gt;3,OFFSET(ENAVolCoef,4,impvol_order-2)*G82^4,0)+IF(impvol_order&gt;4,OFFSET(ENAVolCoef,5,impvol_order-2)*G82^5,0)</f>
        <v>0.49811386354262</v>
      </c>
      <c r="BB82" s="48" t="e">
        <f aca="false">EURO(UnderlyingPrice,$D82,IntRate,Yield,AX82,$D$6,1,0)</f>
        <v>#NAME?</v>
      </c>
      <c r="BC82" s="48" t="e">
        <f aca="false">EURO(UnderlyingPrice,$D82*(1+$P$8),IntRate,Yield,AY82,$D$6,1,0)</f>
        <v>#NAME?</v>
      </c>
      <c r="BD82" s="48" t="e">
        <f aca="false">EURO(UnderlyingPrice,$D82*(1-$P$8),IntRate,Yield,AZ82,$D$6,1,0)</f>
        <v>#NAME?</v>
      </c>
      <c r="BF82" s="80" t="e">
        <f aca="false">(BC82+BD82-2*BB82)/($P$8*$D82)^2</f>
        <v>#NAME?</v>
      </c>
      <c r="BG82" s="48" t="e">
        <f aca="false">+BF82/$D$9</f>
        <v>#NAME?</v>
      </c>
      <c r="BI82" s="79" t="e">
        <f aca="false">+BB82-L82</f>
        <v>#NAME?</v>
      </c>
      <c r="BJ82" s="65" t="e">
        <f aca="false">+BI82/BB82</f>
        <v>#NAME?</v>
      </c>
    </row>
    <row r="83" customFormat="false" ht="11.25" hidden="false" customHeight="false" outlineLevel="0" collapsed="false">
      <c r="C83" s="77" t="n">
        <v>70</v>
      </c>
      <c r="D83" s="78" t="n">
        <f aca="true">D82+(ROUNDUP(MAX(StrikeRange),1)-ROUNDDOWN(MIN(StrikeRange),1))/100</f>
        <v>5.45000000000001</v>
      </c>
      <c r="E83" s="64" t="n">
        <f aca="false">+D83/UnderlyingPrice-1</f>
        <v>0.124871001031994</v>
      </c>
      <c r="F83" s="64" t="n">
        <f aca="false">+D83*(1+$P$8)/UnderlyingPrice-1</f>
        <v>0.12543343653251</v>
      </c>
      <c r="G83" s="64" t="n">
        <f aca="false">+D83*(1-$P$8)/UnderlyingPrice-1</f>
        <v>0.124308565531478</v>
      </c>
      <c r="H83" s="64" t="n">
        <f aca="true">OFFSET(VolSkewCoef,0,impvol_order-2)+OFFSET(VolSkewCoef,1,impvol_order-2)*F83+OFFSET(VolSkewCoef,2,impvol_order-2)*F83^2+IF(impvol_order&gt;2,OFFSET(VolSkewCoef,3,impvol_order-2)*F83^3,0)+IF(impvol_order&gt;3,OFFSET(VolSkewCoef,4,impvol_order-2)*F83^4,0)+IF(impvol_order&gt;4,OFFSET(VolSkewCoef,5,impvol_order-2)*F83^5,0)</f>
        <v>0.526570123669249</v>
      </c>
      <c r="I83" s="64" t="n">
        <f aca="true">OFFSET(VolSkewCoef,0,impvol_order-2)+OFFSET(VolSkewCoef,1,impvol_order-2)*E83+OFFSET(VolSkewCoef,2,impvol_order-2)*E83^2+IF(impvol_order&gt;2,OFFSET(VolSkewCoef,3,impvol_order-2)*E83^3,0)+IF(impvol_order&gt;3,OFFSET(VolSkewCoef,4,impvol_order-2)*E83^4,0)+IF(impvol_order&gt;4,OFFSET(VolSkewCoef,5,impvol_order-2)*E83^5,0)</f>
        <v>0.526518630491634</v>
      </c>
      <c r="J83" s="64" t="n">
        <f aca="true">OFFSET(VolSkewCoef,0,impvol_order-2)+OFFSET(VolSkewCoef,1,impvol_order-2)*G83+OFFSET(VolSkewCoef,2,impvol_order-2)*G83^2+IF(impvol_order&gt;2,OFFSET(VolSkewCoef,3,impvol_order-2)*G83^3,0)+IF(impvol_order&gt;3,OFFSET(VolSkewCoef,4,impvol_order-2)*G83^4,0)+IF(impvol_order&gt;4,OFFSET(VolSkewCoef,5,impvol_order-2)*G83^5,0)</f>
        <v>0.526467219533258</v>
      </c>
      <c r="L83" s="79" t="e">
        <f aca="false">EURO(UnderlyingPrice,$D83,IntRate,Yield,$I83,$D$6,L$12,0)</f>
        <v>#NAME?</v>
      </c>
      <c r="M83" s="79" t="e">
        <f aca="false">EURO(UnderlyingPrice,$D83,IntRate,Yield,$I83,$D$6,M$12,0)</f>
        <v>#NAME?</v>
      </c>
      <c r="O83" s="79" t="e">
        <f aca="false">EURO(UnderlyingPrice,$D83*(1+$P$8),IntRate,Yield,$H83,Expiry-Today,O$12,0)</f>
        <v>#NAME?</v>
      </c>
      <c r="P83" s="79" t="e">
        <f aca="false">EURO(UnderlyingPrice,$D83*(1+$P$8),IntRate,Yield,$H83,Expiry-Today,P$12,0)</f>
        <v>#NAME?</v>
      </c>
      <c r="R83" s="79" t="e">
        <f aca="false">EURO(UnderlyingPrice,$D83*(1-$P$8),IntRate,Yield,$J83,Expiry-Today,R$12,0)</f>
        <v>#NAME?</v>
      </c>
      <c r="S83" s="79" t="e">
        <f aca="false">EURO(UnderlyingPrice,$D83*(1-$P$8),IntRate,Yield,$J83,Expiry-Today,S$12,0)</f>
        <v>#NAME?</v>
      </c>
      <c r="U83" s="80" t="e">
        <f aca="false">(O83+R83-2*L83)/($P$8*D83)^2</f>
        <v>#NAME?</v>
      </c>
      <c r="V83" s="80"/>
      <c r="W83" s="81" t="e">
        <f aca="false">U83/$D$9</f>
        <v>#NAME?</v>
      </c>
      <c r="Z83" s="80" t="n">
        <f aca="false">(1/(D83*SQRT(2*PI()*T/365.25*ATMImpVol^2)))</f>
        <v>0.223200243195868</v>
      </c>
      <c r="AA83" s="80" t="n">
        <f aca="false">LN(D83/UnderlyingPrice)+0.5*T/365.25*ATMImpVol^2</f>
        <v>0.171446754344863</v>
      </c>
      <c r="AB83" s="80" t="n">
        <f aca="false">-(AA83^2)</f>
        <v>-0.0293939895753878</v>
      </c>
      <c r="AC83" s="80" t="n">
        <f aca="false">AB83/(2*T/365.25*ATMImpVol^2)</f>
        <v>-0.136644054526424</v>
      </c>
      <c r="AD83" s="82" t="n">
        <f aca="false">EXP(AC83)</f>
        <v>0.872280655231833</v>
      </c>
      <c r="AE83" s="82" t="n">
        <f aca="false">AD83*Z83</f>
        <v>0.194693254382796</v>
      </c>
      <c r="AF83" s="82"/>
      <c r="AG83" s="83" t="n">
        <f aca="false">(LN($D83/UnderlyingPrice)+0.5*ATMImpVol^2*(T/365.25))/(ATMImpVol*SQRT(T/365.25))</f>
        <v>0.522769652000619</v>
      </c>
      <c r="AH83" s="83" t="n">
        <f aca="false">(LN(($D83*(1+$P$8))/UnderlyingPrice)+0.5*ATMImpVol^2*(T/365.25))/(ATMImpVol*SQRT(T/365.25))</f>
        <v>0.524293854092203</v>
      </c>
      <c r="AI83" s="83" t="n">
        <f aca="false">(LN($D83*(1-$P$8)/UnderlyingPrice)+0.5*ATMImpVol^2*(T/365.25))/(ATMImpVol*SQRT(T/365.25))</f>
        <v>0.521244687617386</v>
      </c>
      <c r="AJ83" s="81"/>
      <c r="AK83" s="83" t="e">
        <f aca="false">W83/(AH83-AI83)*(D83*2*$P$8)</f>
        <v>#NAME?</v>
      </c>
      <c r="AL83" s="83"/>
      <c r="AM83" s="84"/>
      <c r="AN83" s="85"/>
      <c r="AX83" s="87" t="n">
        <f aca="true">OFFSET(ENAVolCoef,0,impvol_order-2)+OFFSET(ENAVolCoef,1,impvol_order-2)*E83+OFFSET(ENAVolCoef,2,impvol_order-2)*E83^2+IF(impvol_order&gt;2,OFFSET(ENAVolCoef,3,impvol_order-2)*E83^3,0)+IF(impvol_order&gt;3,OFFSET(ENAVolCoef,4,impvol_order-2)*E83^4,0)+IF(impvol_order&gt;4,OFFSET(ENAVolCoef,5,impvol_order-2)*E83^5,0)</f>
        <v>0.498675500405186</v>
      </c>
      <c r="AY83" s="87" t="n">
        <f aca="true">OFFSET(ENAVolCoef,0,impvol_order-2)+OFFSET(ENAVolCoef,1,impvol_order-2)*F83+OFFSET(ENAVolCoef,2,impvol_order-2)*F83^2+IF(impvol_order&gt;2,OFFSET(ENAVolCoef,3,impvol_order-2)*F83^3,0)+IF(impvol_order&gt;3,OFFSET(ENAVolCoef,4,impvol_order-2)*F83^4,0)+IF(impvol_order&gt;4,OFFSET(ENAVolCoef,5,impvol_order-2)*F83^5,0)</f>
        <v>0.498716658536438</v>
      </c>
      <c r="AZ83" s="87" t="n">
        <f aca="true">OFFSET(ENAVolCoef,0,impvol_order-2)+OFFSET(ENAVolCoef,1,impvol_order-2)*G83+OFFSET(ENAVolCoef,2,impvol_order-2)*G83^2+IF(impvol_order&gt;2,OFFSET(ENAVolCoef,3,impvol_order-2)*G83^3,0)+IF(impvol_order&gt;3,OFFSET(ENAVolCoef,4,impvol_order-2)*G83^4,0)+IF(impvol_order&gt;4,OFFSET(ENAVolCoef,5,impvol_order-2)*G83^5,0)</f>
        <v>0.498634418694512</v>
      </c>
      <c r="BB83" s="48" t="e">
        <f aca="false">EURO(UnderlyingPrice,$D83,IntRate,Yield,AX83,$D$6,1,0)</f>
        <v>#NAME?</v>
      </c>
      <c r="BC83" s="48" t="e">
        <f aca="false">EURO(UnderlyingPrice,$D83*(1+$P$8),IntRate,Yield,AY83,$D$6,1,0)</f>
        <v>#NAME?</v>
      </c>
      <c r="BD83" s="48" t="e">
        <f aca="false">EURO(UnderlyingPrice,$D83*(1-$P$8),IntRate,Yield,AZ83,$D$6,1,0)</f>
        <v>#NAME?</v>
      </c>
      <c r="BF83" s="80" t="e">
        <f aca="false">(BC83+BD83-2*BB83)/($P$8*$D83)^2</f>
        <v>#NAME?</v>
      </c>
      <c r="BG83" s="48" t="e">
        <f aca="false">+BF83/$D$9</f>
        <v>#NAME?</v>
      </c>
      <c r="BI83" s="79" t="e">
        <f aca="false">+BB83-L83</f>
        <v>#NAME?</v>
      </c>
      <c r="BJ83" s="65" t="e">
        <f aca="false">+BI83/BB83</f>
        <v>#NAME?</v>
      </c>
    </row>
    <row r="84" customFormat="false" ht="11.25" hidden="false" customHeight="false" outlineLevel="0" collapsed="false">
      <c r="C84" s="77" t="n">
        <v>71</v>
      </c>
      <c r="D84" s="78" t="n">
        <f aca="true">D83+(ROUNDUP(MAX(StrikeRange),1)-ROUNDDOWN(MIN(StrikeRange),1))/100</f>
        <v>5.48500000000001</v>
      </c>
      <c r="E84" s="64" t="n">
        <f aca="false">+D84/UnderlyingPrice-1</f>
        <v>0.132094943240456</v>
      </c>
      <c r="F84" s="64" t="n">
        <f aca="false">+D84*(1+$P$8)/UnderlyingPrice-1</f>
        <v>0.132660990712076</v>
      </c>
      <c r="G84" s="64" t="n">
        <f aca="false">+D84*(1-$P$8)/UnderlyingPrice-1</f>
        <v>0.131528895768836</v>
      </c>
      <c r="H84" s="64" t="n">
        <f aca="true">OFFSET(VolSkewCoef,0,impvol_order-2)+OFFSET(VolSkewCoef,1,impvol_order-2)*F84+OFFSET(VolSkewCoef,2,impvol_order-2)*F84^2+IF(impvol_order&gt;2,OFFSET(VolSkewCoef,3,impvol_order-2)*F84^3,0)+IF(impvol_order&gt;3,OFFSET(VolSkewCoef,4,impvol_order-2)*F84^4,0)+IF(impvol_order&gt;4,OFFSET(VolSkewCoef,5,impvol_order-2)*F84^5,0)</f>
        <v>0.527239072216628</v>
      </c>
      <c r="I84" s="64" t="n">
        <f aca="true">OFFSET(VolSkewCoef,0,impvol_order-2)+OFFSET(VolSkewCoef,1,impvol_order-2)*E84+OFFSET(VolSkewCoef,2,impvol_order-2)*E84^2+IF(impvol_order&gt;2,OFFSET(VolSkewCoef,3,impvol_order-2)*E84^3,0)+IF(impvol_order&gt;3,OFFSET(VolSkewCoef,4,impvol_order-2)*E84^4,0)+IF(impvol_order&gt;4,OFFSET(VolSkewCoef,5,impvol_order-2)*E84^5,0)</f>
        <v>0.527186201387519</v>
      </c>
      <c r="J84" s="64" t="n">
        <f aca="true">OFFSET(VolSkewCoef,0,impvol_order-2)+OFFSET(VolSkewCoef,1,impvol_order-2)*G84+OFFSET(VolSkewCoef,2,impvol_order-2)*G84^2+IF(impvol_order&gt;2,OFFSET(VolSkewCoef,3,impvol_order-2)*G84^3,0)+IF(impvol_order&gt;3,OFFSET(VolSkewCoef,4,impvol_order-2)*G84^4,0)+IF(impvol_order&gt;4,OFFSET(VolSkewCoef,5,impvol_order-2)*G84^5,0)</f>
        <v>0.527133411495457</v>
      </c>
      <c r="L84" s="79" t="e">
        <f aca="false">EURO(UnderlyingPrice,$D84,IntRate,Yield,$I84,$D$6,L$12,0)</f>
        <v>#NAME?</v>
      </c>
      <c r="M84" s="79" t="e">
        <f aca="false">EURO(UnderlyingPrice,$D84,IntRate,Yield,$I84,$D$6,M$12,0)</f>
        <v>#NAME?</v>
      </c>
      <c r="O84" s="79" t="e">
        <f aca="false">EURO(UnderlyingPrice,$D84*(1+$P$8),IntRate,Yield,$H84,Expiry-Today,O$12,0)</f>
        <v>#NAME?</v>
      </c>
      <c r="P84" s="79" t="e">
        <f aca="false">EURO(UnderlyingPrice,$D84*(1+$P$8),IntRate,Yield,$H84,Expiry-Today,P$12,0)</f>
        <v>#NAME?</v>
      </c>
      <c r="R84" s="79" t="e">
        <f aca="false">EURO(UnderlyingPrice,$D84*(1-$P$8),IntRate,Yield,$J84,Expiry-Today,R$12,0)</f>
        <v>#NAME?</v>
      </c>
      <c r="S84" s="79" t="e">
        <f aca="false">EURO(UnderlyingPrice,$D84*(1-$P$8),IntRate,Yield,$J84,Expiry-Today,S$12,0)</f>
        <v>#NAME?</v>
      </c>
      <c r="U84" s="80" t="e">
        <f aca="false">(O84+R84-2*L84)/($P$8*D84)^2</f>
        <v>#NAME?</v>
      </c>
      <c r="V84" s="80"/>
      <c r="W84" s="81" t="e">
        <f aca="false">U84/$D$9</f>
        <v>#NAME?</v>
      </c>
      <c r="Z84" s="80" t="n">
        <f aca="false">(1/(D84*SQRT(2*PI()*T/365.25*ATMImpVol^2)))</f>
        <v>0.221775993695074</v>
      </c>
      <c r="AA84" s="80" t="n">
        <f aca="false">LN(D84/UnderlyingPrice)+0.5*T/365.25*ATMImpVol^2</f>
        <v>0.177848239396904</v>
      </c>
      <c r="AB84" s="80" t="n">
        <f aca="false">-(AA84^2)</f>
        <v>-0.0316299962565784</v>
      </c>
      <c r="AC84" s="80" t="n">
        <f aca="false">AB84/(2*T/365.25*ATMImpVol^2)</f>
        <v>-0.147038595154618</v>
      </c>
      <c r="AD84" s="82" t="n">
        <f aca="false">EXP(AC84)</f>
        <v>0.863260659094748</v>
      </c>
      <c r="AE84" s="82" t="n">
        <f aca="false">AD84*Z84</f>
        <v>0.191450490488602</v>
      </c>
      <c r="AF84" s="82"/>
      <c r="AG84" s="83" t="n">
        <f aca="false">(LN($D84/UnderlyingPrice)+0.5*ATMImpVol^2*(T/365.25))/(ATMImpVol*SQRT(T/365.25))</f>
        <v>0.542288843983753</v>
      </c>
      <c r="AH84" s="83" t="n">
        <f aca="false">(LN(($D84*(1+$P$8))/UnderlyingPrice)+0.5*ATMImpVol^2*(T/365.25))/(ATMImpVol*SQRT(T/365.25))</f>
        <v>0.543813046075337</v>
      </c>
      <c r="AI84" s="83" t="n">
        <f aca="false">(LN($D84*(1-$P$8)/UnderlyingPrice)+0.5*ATMImpVol^2*(T/365.25))/(ATMImpVol*SQRT(T/365.25))</f>
        <v>0.540763879600519</v>
      </c>
      <c r="AJ84" s="81"/>
      <c r="AK84" s="83" t="e">
        <f aca="false">W84/(AH84-AI84)*(D84*2*$P$8)</f>
        <v>#NAME?</v>
      </c>
      <c r="AL84" s="83"/>
      <c r="AM84" s="84"/>
      <c r="AN84" s="85"/>
      <c r="AX84" s="87" t="n">
        <f aca="true">OFFSET(ENAVolCoef,0,impvol_order-2)+OFFSET(ENAVolCoef,1,impvol_order-2)*E84+OFFSET(ENAVolCoef,2,impvol_order-2)*E84^2+IF(impvol_order&gt;2,OFFSET(ENAVolCoef,3,impvol_order-2)*E84^3,0)+IF(impvol_order&gt;3,OFFSET(ENAVolCoef,4,impvol_order-2)*E84^4,0)+IF(impvol_order&gt;4,OFFSET(ENAVolCoef,5,impvol_order-2)*E84^5,0)</f>
        <v>0.499209911135173</v>
      </c>
      <c r="AY84" s="87" t="n">
        <f aca="true">OFFSET(ENAVolCoef,0,impvol_order-2)+OFFSET(ENAVolCoef,1,impvol_order-2)*F84+OFFSET(ENAVolCoef,2,impvol_order-2)*F84^2+IF(impvol_order&gt;2,OFFSET(ENAVolCoef,3,impvol_order-2)*F84^3,0)+IF(impvol_order&gt;3,OFFSET(ENAVolCoef,4,impvol_order-2)*F84^4,0)+IF(impvol_order&gt;4,OFFSET(ENAVolCoef,5,impvol_order-2)*F84^5,0)</f>
        <v>0.499252311847472</v>
      </c>
      <c r="AZ84" s="87" t="n">
        <f aca="true">OFFSET(ENAVolCoef,0,impvol_order-2)+OFFSET(ENAVolCoef,1,impvol_order-2)*G84+OFFSET(ENAVolCoef,2,impvol_order-2)*G84^2+IF(impvol_order&gt;2,OFFSET(ENAVolCoef,3,impvol_order-2)*G84^3,0)+IF(impvol_order&gt;3,OFFSET(ENAVolCoef,4,impvol_order-2)*G84^4,0)+IF(impvol_order&gt;4,OFFSET(ENAVolCoef,5,impvol_order-2)*G84^5,0)</f>
        <v>0.49916758639869</v>
      </c>
      <c r="BB84" s="48" t="e">
        <f aca="false">EURO(UnderlyingPrice,$D84,IntRate,Yield,AX84,$D$6,1,0)</f>
        <v>#NAME?</v>
      </c>
      <c r="BC84" s="48" t="e">
        <f aca="false">EURO(UnderlyingPrice,$D84*(1+$P$8),IntRate,Yield,AY84,$D$6,1,0)</f>
        <v>#NAME?</v>
      </c>
      <c r="BD84" s="48" t="e">
        <f aca="false">EURO(UnderlyingPrice,$D84*(1-$P$8),IntRate,Yield,AZ84,$D$6,1,0)</f>
        <v>#NAME?</v>
      </c>
      <c r="BF84" s="80" t="e">
        <f aca="false">(BC84+BD84-2*BB84)/($P$8*$D84)^2</f>
        <v>#NAME?</v>
      </c>
      <c r="BG84" s="48" t="e">
        <f aca="false">+BF84/$D$9</f>
        <v>#NAME?</v>
      </c>
      <c r="BI84" s="79" t="e">
        <f aca="false">+BB84-L84</f>
        <v>#NAME?</v>
      </c>
      <c r="BJ84" s="65" t="e">
        <f aca="false">+BI84/BB84</f>
        <v>#NAME?</v>
      </c>
    </row>
    <row r="85" customFormat="false" ht="11.25" hidden="false" customHeight="false" outlineLevel="0" collapsed="false">
      <c r="C85" s="77" t="n">
        <v>72</v>
      </c>
      <c r="D85" s="78" t="n">
        <f aca="true">D84+(ROUNDUP(MAX(StrikeRange),1)-ROUNDDOWN(MIN(StrikeRange),1))/100</f>
        <v>5.52000000000001</v>
      </c>
      <c r="E85" s="64" t="n">
        <f aca="false">+D85/UnderlyingPrice-1</f>
        <v>0.139318885448919</v>
      </c>
      <c r="F85" s="64" t="n">
        <f aca="false">+D85*(1+$P$8)/UnderlyingPrice-1</f>
        <v>0.139888544891643</v>
      </c>
      <c r="G85" s="64" t="n">
        <f aca="false">+D85*(1-$P$8)/UnderlyingPrice-1</f>
        <v>0.138749226006194</v>
      </c>
      <c r="H85" s="64" t="n">
        <f aca="true">OFFSET(VolSkewCoef,0,impvol_order-2)+OFFSET(VolSkewCoef,1,impvol_order-2)*F85+OFFSET(VolSkewCoef,2,impvol_order-2)*F85^2+IF(impvol_order&gt;2,OFFSET(VolSkewCoef,3,impvol_order-2)*F85^3,0)+IF(impvol_order&gt;3,OFFSET(VolSkewCoef,4,impvol_order-2)*F85^4,0)+IF(impvol_order&gt;4,OFFSET(VolSkewCoef,5,impvol_order-2)*F85^5,0)</f>
        <v>0.527921186305057</v>
      </c>
      <c r="I85" s="64" t="n">
        <f aca="true">OFFSET(VolSkewCoef,0,impvol_order-2)+OFFSET(VolSkewCoef,1,impvol_order-2)*E85+OFFSET(VolSkewCoef,2,impvol_order-2)*E85^2+IF(impvol_order&gt;2,OFFSET(VolSkewCoef,3,impvol_order-2)*E85^3,0)+IF(impvol_order&gt;3,OFFSET(VolSkewCoef,4,impvol_order-2)*E85^4,0)+IF(impvol_order&gt;4,OFFSET(VolSkewCoef,5,impvol_order-2)*E85^5,0)</f>
        <v>0.527866954552589</v>
      </c>
      <c r="J85" s="64" t="n">
        <f aca="true">OFFSET(VolSkewCoef,0,impvol_order-2)+OFFSET(VolSkewCoef,1,impvol_order-2)*G85+OFFSET(VolSkewCoef,2,impvol_order-2)*G85^2+IF(impvol_order&gt;2,OFFSET(VolSkewCoef,3,impvol_order-2)*G85^3,0)+IF(impvol_order&gt;3,OFFSET(VolSkewCoef,4,impvol_order-2)*G85^4,0)+IF(impvol_order&gt;4,OFFSET(VolSkewCoef,5,impvol_order-2)*G85^5,0)</f>
        <v>0.527812802401801</v>
      </c>
      <c r="L85" s="79" t="e">
        <f aca="false">EURO(UnderlyingPrice,$D85,IntRate,Yield,$I85,$D$6,L$12,0)</f>
        <v>#NAME?</v>
      </c>
      <c r="M85" s="79" t="e">
        <f aca="false">EURO(UnderlyingPrice,$D85,IntRate,Yield,$I85,$D$6,M$12,0)</f>
        <v>#NAME?</v>
      </c>
      <c r="O85" s="79" t="e">
        <f aca="false">EURO(UnderlyingPrice,$D85*(1+$P$8),IntRate,Yield,$H85,Expiry-Today,O$12,0)</f>
        <v>#NAME?</v>
      </c>
      <c r="P85" s="79" t="e">
        <f aca="false">EURO(UnderlyingPrice,$D85*(1+$P$8),IntRate,Yield,$H85,Expiry-Today,P$12,0)</f>
        <v>#NAME?</v>
      </c>
      <c r="R85" s="79" t="e">
        <f aca="false">EURO(UnderlyingPrice,$D85*(1-$P$8),IntRate,Yield,$J85,Expiry-Today,R$12,0)</f>
        <v>#NAME?</v>
      </c>
      <c r="S85" s="79" t="e">
        <f aca="false">EURO(UnderlyingPrice,$D85*(1-$P$8),IntRate,Yield,$J85,Expiry-Today,S$12,0)</f>
        <v>#NAME?</v>
      </c>
      <c r="U85" s="80" t="e">
        <f aca="false">(O85+R85-2*L85)/($P$8*D85)^2</f>
        <v>#NAME?</v>
      </c>
      <c r="V85" s="80"/>
      <c r="W85" s="81" t="e">
        <f aca="false">U85/$D$9</f>
        <v>#NAME?</v>
      </c>
      <c r="Z85" s="80" t="n">
        <f aca="false">(1/(D85*SQRT(2*PI()*T/365.25*ATMImpVol^2)))</f>
        <v>0.220369805329254</v>
      </c>
      <c r="AA85" s="80" t="n">
        <f aca="false">LN(D85/UnderlyingPrice)+0.5*T/365.25*ATMImpVol^2</f>
        <v>0.184209005958714</v>
      </c>
      <c r="AB85" s="80" t="n">
        <f aca="false">-(AA85^2)</f>
        <v>-0.0339329578762977</v>
      </c>
      <c r="AC85" s="80" t="n">
        <f aca="false">AB85/(2*T/365.25*ATMImpVol^2)</f>
        <v>-0.157744389695712</v>
      </c>
      <c r="AD85" s="82" t="n">
        <f aca="false">EXP(AC85)</f>
        <v>0.854068062667276</v>
      </c>
      <c r="AE85" s="82" t="n">
        <f aca="false">AD85*Z85</f>
        <v>0.18821081270792</v>
      </c>
      <c r="AF85" s="82"/>
      <c r="AG85" s="83" t="n">
        <f aca="false">(LN($D85/UnderlyingPrice)+0.5*ATMImpVol^2*(T/365.25))/(ATMImpVol*SQRT(T/365.25))</f>
        <v>0.561683878521918</v>
      </c>
      <c r="AH85" s="83" t="n">
        <f aca="false">(LN(($D85*(1+$P$8))/UnderlyingPrice)+0.5*ATMImpVol^2*(T/365.25))/(ATMImpVol*SQRT(T/365.25))</f>
        <v>0.563208080613502</v>
      </c>
      <c r="AI85" s="83" t="n">
        <f aca="false">(LN($D85*(1-$P$8)/UnderlyingPrice)+0.5*ATMImpVol^2*(T/365.25))/(ATMImpVol*SQRT(T/365.25))</f>
        <v>0.560158914138684</v>
      </c>
      <c r="AJ85" s="81"/>
      <c r="AK85" s="83" t="e">
        <f aca="false">W85/(AH85-AI85)*(D85*2*$P$8)</f>
        <v>#NAME?</v>
      </c>
      <c r="AL85" s="83"/>
      <c r="AM85" s="84"/>
      <c r="AN85" s="85"/>
      <c r="AX85" s="87" t="n">
        <f aca="true">OFFSET(ENAVolCoef,0,impvol_order-2)+OFFSET(ENAVolCoef,1,impvol_order-2)*E85+OFFSET(ENAVolCoef,2,impvol_order-2)*E85^2+IF(impvol_order&gt;2,OFFSET(ENAVolCoef,3,impvol_order-2)*E85^3,0)+IF(impvol_order&gt;3,OFFSET(ENAVolCoef,4,impvol_order-2)*E85^4,0)+IF(impvol_order&gt;4,OFFSET(ENAVolCoef,5,impvol_order-2)*E85^5,0)</f>
        <v>0.499756696095233</v>
      </c>
      <c r="AY85" s="87" t="n">
        <f aca="true">OFFSET(ENAVolCoef,0,impvol_order-2)+OFFSET(ENAVolCoef,1,impvol_order-2)*F85+OFFSET(ENAVolCoef,2,impvol_order-2)*F85^2+IF(impvol_order&gt;2,OFFSET(ENAVolCoef,3,impvol_order-2)*F85^3,0)+IF(impvol_order&gt;3,OFFSET(ENAVolCoef,4,impvol_order-2)*F85^4,0)+IF(impvol_order&gt;4,OFFSET(ENAVolCoef,5,impvol_order-2)*F85^5,0)</f>
        <v>0.499800333504724</v>
      </c>
      <c r="AZ85" s="87" t="n">
        <f aca="true">OFFSET(ENAVolCoef,0,impvol_order-2)+OFFSET(ENAVolCoef,1,impvol_order-2)*G85+OFFSET(ENAVolCoef,2,impvol_order-2)*G85^2+IF(impvol_order&gt;2,OFFSET(ENAVolCoef,3,impvol_order-2)*G85^3,0)+IF(impvol_order&gt;3,OFFSET(ENAVolCoef,4,impvol_order-2)*G85^4,0)+IF(impvol_order&gt;4,OFFSET(ENAVolCoef,5,impvol_order-2)*G85^5,0)</f>
        <v>0.499713134186495</v>
      </c>
      <c r="BB85" s="48" t="e">
        <f aca="false">EURO(UnderlyingPrice,$D85,IntRate,Yield,AX85,$D$6,1,0)</f>
        <v>#NAME?</v>
      </c>
      <c r="BC85" s="48" t="e">
        <f aca="false">EURO(UnderlyingPrice,$D85*(1+$P$8),IntRate,Yield,AY85,$D$6,1,0)</f>
        <v>#NAME?</v>
      </c>
      <c r="BD85" s="48" t="e">
        <f aca="false">EURO(UnderlyingPrice,$D85*(1-$P$8),IntRate,Yield,AZ85,$D$6,1,0)</f>
        <v>#NAME?</v>
      </c>
      <c r="BF85" s="80" t="e">
        <f aca="false">(BC85+BD85-2*BB85)/($P$8*$D85)^2</f>
        <v>#NAME?</v>
      </c>
      <c r="BG85" s="48" t="e">
        <f aca="false">+BF85/$D$9</f>
        <v>#NAME?</v>
      </c>
      <c r="BI85" s="79" t="e">
        <f aca="false">+BB85-L85</f>
        <v>#NAME?</v>
      </c>
      <c r="BJ85" s="65" t="e">
        <f aca="false">+BI85/BB85</f>
        <v>#NAME?</v>
      </c>
    </row>
    <row r="86" customFormat="false" ht="11.25" hidden="false" customHeight="false" outlineLevel="0" collapsed="false">
      <c r="C86" s="77" t="n">
        <v>73</v>
      </c>
      <c r="D86" s="78" t="n">
        <f aca="true">D85+(ROUNDUP(MAX(StrikeRange),1)-ROUNDDOWN(MIN(StrikeRange),1))/100</f>
        <v>5.55500000000001</v>
      </c>
      <c r="E86" s="64" t="n">
        <f aca="false">+D86/UnderlyingPrice-1</f>
        <v>0.146542827657381</v>
      </c>
      <c r="F86" s="64" t="n">
        <f aca="false">+D86*(1+$P$8)/UnderlyingPrice-1</f>
        <v>0.147116099071209</v>
      </c>
      <c r="G86" s="64" t="n">
        <f aca="false">+D86*(1-$P$8)/UnderlyingPrice-1</f>
        <v>0.145969556243552</v>
      </c>
      <c r="H86" s="64" t="n">
        <f aca="true">OFFSET(VolSkewCoef,0,impvol_order-2)+OFFSET(VolSkewCoef,1,impvol_order-2)*F86+OFFSET(VolSkewCoef,2,impvol_order-2)*F86^2+IF(impvol_order&gt;2,OFFSET(VolSkewCoef,3,impvol_order-2)*F86^3,0)+IF(impvol_order&gt;3,OFFSET(VolSkewCoef,4,impvol_order-2)*F86^4,0)+IF(impvol_order&gt;4,OFFSET(VolSkewCoef,5,impvol_order-2)*F86^5,0)</f>
        <v>0.528616083982659</v>
      </c>
      <c r="I86" s="64" t="n">
        <f aca="true">OFFSET(VolSkewCoef,0,impvol_order-2)+OFFSET(VolSkewCoef,1,impvol_order-2)*E86+OFFSET(VolSkewCoef,2,impvol_order-2)*E86^2+IF(impvol_order&gt;2,OFFSET(VolSkewCoef,3,impvol_order-2)*E86^3,0)+IF(impvol_order&gt;3,OFFSET(VolSkewCoef,4,impvol_order-2)*E86^4,0)+IF(impvol_order&gt;4,OFFSET(VolSkewCoef,5,impvol_order-2)*E86^5,0)</f>
        <v>0.528560508607324</v>
      </c>
      <c r="J86" s="64" t="n">
        <f aca="true">OFFSET(VolSkewCoef,0,impvol_order-2)+OFFSET(VolSkewCoef,1,impvol_order-2)*G86+OFFSET(VolSkewCoef,2,impvol_order-2)*G86^2+IF(impvol_order&gt;2,OFFSET(VolSkewCoef,3,impvol_order-2)*G86^3,0)+IF(impvol_order&gt;3,OFFSET(VolSkewCoef,4,impvol_order-2)*G86^4,0)+IF(impvol_order&gt;4,OFFSET(VolSkewCoef,5,impvol_order-2)*G86^5,0)</f>
        <v>0.528505011444552</v>
      </c>
      <c r="L86" s="79" t="e">
        <f aca="false">EURO(UnderlyingPrice,$D86,IntRate,Yield,$I86,$D$6,L$12,0)</f>
        <v>#NAME?</v>
      </c>
      <c r="M86" s="79" t="e">
        <f aca="false">EURO(UnderlyingPrice,$D86,IntRate,Yield,$I86,$D$6,M$12,0)</f>
        <v>#NAME?</v>
      </c>
      <c r="O86" s="79" t="e">
        <f aca="false">EURO(UnderlyingPrice,$D86*(1+$P$8),IntRate,Yield,$H86,Expiry-Today,O$12,0)</f>
        <v>#NAME?</v>
      </c>
      <c r="P86" s="79" t="e">
        <f aca="false">EURO(UnderlyingPrice,$D86*(1+$P$8),IntRate,Yield,$H86,Expiry-Today,P$12,0)</f>
        <v>#NAME?</v>
      </c>
      <c r="R86" s="79" t="e">
        <f aca="false">EURO(UnderlyingPrice,$D86*(1-$P$8),IntRate,Yield,$J86,Expiry-Today,R$12,0)</f>
        <v>#NAME?</v>
      </c>
      <c r="S86" s="79" t="e">
        <f aca="false">EURO(UnderlyingPrice,$D86*(1-$P$8),IntRate,Yield,$J86,Expiry-Today,S$12,0)</f>
        <v>#NAME?</v>
      </c>
      <c r="U86" s="80" t="e">
        <f aca="false">(O86+R86-2*L86)/($P$8*D86)^2</f>
        <v>#NAME?</v>
      </c>
      <c r="V86" s="80"/>
      <c r="W86" s="81" t="e">
        <f aca="false">U86/$D$9</f>
        <v>#NAME?</v>
      </c>
      <c r="Z86" s="80" t="n">
        <f aca="false">(1/(D86*SQRT(2*PI()*T/365.25*ATMImpVol^2)))</f>
        <v>0.218981336708817</v>
      </c>
      <c r="AA86" s="80" t="n">
        <f aca="false">LN(D86/UnderlyingPrice)+0.5*T/365.25*ATMImpVol^2</f>
        <v>0.190529568761304</v>
      </c>
      <c r="AB86" s="80" t="n">
        <f aca="false">-(AA86^2)</f>
        <v>-0.0363015165723684</v>
      </c>
      <c r="AC86" s="80" t="n">
        <f aca="false">AB86/(2*T/365.25*ATMImpVol^2)</f>
        <v>-0.168755125845865</v>
      </c>
      <c r="AD86" s="82" t="n">
        <f aca="false">EXP(AC86)</f>
        <v>0.84471572711127</v>
      </c>
      <c r="AE86" s="82" t="n">
        <f aca="false">AD86*Z86</f>
        <v>0.184976979061786</v>
      </c>
      <c r="AF86" s="82"/>
      <c r="AG86" s="83" t="n">
        <f aca="false">(LN($D86/UnderlyingPrice)+0.5*ATMImpVol^2*(T/365.25))/(ATMImpVol*SQRT(T/365.25))</f>
        <v>0.58095632511552</v>
      </c>
      <c r="AH86" s="83" t="n">
        <f aca="false">(LN(($D86*(1+$P$8))/UnderlyingPrice)+0.5*ATMImpVol^2*(T/365.25))/(ATMImpVol*SQRT(T/365.25))</f>
        <v>0.582480527207103</v>
      </c>
      <c r="AI86" s="83" t="n">
        <f aca="false">(LN($D86*(1-$P$8)/UnderlyingPrice)+0.5*ATMImpVol^2*(T/365.25))/(ATMImpVol*SQRT(T/365.25))</f>
        <v>0.579431360732285</v>
      </c>
      <c r="AJ86" s="81"/>
      <c r="AK86" s="83" t="e">
        <f aca="false">W86/(AH86-AI86)*(D86*2*$P$8)</f>
        <v>#NAME?</v>
      </c>
      <c r="AL86" s="83"/>
      <c r="AM86" s="84"/>
      <c r="AN86" s="85"/>
      <c r="AX86" s="87" t="n">
        <f aca="true">OFFSET(ENAVolCoef,0,impvol_order-2)+OFFSET(ENAVolCoef,1,impvol_order-2)*E86+OFFSET(ENAVolCoef,2,impvol_order-2)*E86^2+IF(impvol_order&gt;2,OFFSET(ENAVolCoef,3,impvol_order-2)*E86^3,0)+IF(impvol_order&gt;3,OFFSET(ENAVolCoef,4,impvol_order-2)*E86^4,0)+IF(impvol_order&gt;4,OFFSET(ENAVolCoef,5,impvol_order-2)*E86^5,0)</f>
        <v>0.500315622467655</v>
      </c>
      <c r="AY86" s="87" t="n">
        <f aca="true">OFFSET(ENAVolCoef,0,impvol_order-2)+OFFSET(ENAVolCoef,1,impvol_order-2)*F86+OFFSET(ENAVolCoef,2,impvol_order-2)*F86^2+IF(impvol_order&gt;2,OFFSET(ENAVolCoef,3,impvol_order-2)*F86^3,0)+IF(impvol_order&gt;3,OFFSET(ENAVolCoef,4,impvol_order-2)*F86^4,0)+IF(impvol_order&gt;4,OFFSET(ENAVolCoef,5,impvol_order-2)*F86^5,0)</f>
        <v>0.500360490341082</v>
      </c>
      <c r="AZ86" s="87" t="n">
        <f aca="true">OFFSET(ENAVolCoef,0,impvol_order-2)+OFFSET(ENAVolCoef,1,impvol_order-2)*G86+OFFSET(ENAVolCoef,2,impvol_order-2)*G86^2+IF(impvol_order&gt;2,OFFSET(ENAVolCoef,3,impvol_order-2)*G86^3,0)+IF(impvol_order&gt;3,OFFSET(ENAVolCoef,4,impvol_order-2)*G86^4,0)+IF(impvol_order&gt;4,OFFSET(ENAVolCoef,5,impvol_order-2)*G86^5,0)</f>
        <v>0.50027082958927</v>
      </c>
      <c r="BB86" s="48" t="e">
        <f aca="false">EURO(UnderlyingPrice,$D86,IntRate,Yield,AX86,$D$6,1,0)</f>
        <v>#NAME?</v>
      </c>
      <c r="BC86" s="48" t="e">
        <f aca="false">EURO(UnderlyingPrice,$D86*(1+$P$8),IntRate,Yield,AY86,$D$6,1,0)</f>
        <v>#NAME?</v>
      </c>
      <c r="BD86" s="48" t="e">
        <f aca="false">EURO(UnderlyingPrice,$D86*(1-$P$8),IntRate,Yield,AZ86,$D$6,1,0)</f>
        <v>#NAME?</v>
      </c>
      <c r="BF86" s="80" t="e">
        <f aca="false">(BC86+BD86-2*BB86)/($P$8*$D86)^2</f>
        <v>#NAME?</v>
      </c>
      <c r="BG86" s="48" t="e">
        <f aca="false">+BF86/$D$9</f>
        <v>#NAME?</v>
      </c>
      <c r="BI86" s="79" t="e">
        <f aca="false">+BB86-L86</f>
        <v>#NAME?</v>
      </c>
      <c r="BJ86" s="65" t="e">
        <f aca="false">+BI86/BB86</f>
        <v>#NAME?</v>
      </c>
    </row>
    <row r="87" customFormat="false" ht="11.25" hidden="false" customHeight="false" outlineLevel="0" collapsed="false">
      <c r="C87" s="77" t="n">
        <v>74</v>
      </c>
      <c r="D87" s="78" t="n">
        <f aca="true">D86+(ROUNDUP(MAX(StrikeRange),1)-ROUNDDOWN(MIN(StrikeRange),1))/100</f>
        <v>5.59000000000001</v>
      </c>
      <c r="E87" s="64" t="n">
        <f aca="false">+D87/UnderlyingPrice-1</f>
        <v>0.153766769865843</v>
      </c>
      <c r="F87" s="64" t="n">
        <f aca="false">+D87*(1+$P$8)/UnderlyingPrice-1</f>
        <v>0.154343653250776</v>
      </c>
      <c r="G87" s="64" t="n">
        <f aca="false">+D87*(1-$P$8)/UnderlyingPrice-1</f>
        <v>0.15318988648091</v>
      </c>
      <c r="H87" s="64" t="n">
        <f aca="true">OFFSET(VolSkewCoef,0,impvol_order-2)+OFFSET(VolSkewCoef,1,impvol_order-2)*F87+OFFSET(VolSkewCoef,2,impvol_order-2)*F87^2+IF(impvol_order&gt;2,OFFSET(VolSkewCoef,3,impvol_order-2)*F87^3,0)+IF(impvol_order&gt;3,OFFSET(VolSkewCoef,4,impvol_order-2)*F87^4,0)+IF(impvol_order&gt;4,OFFSET(VolSkewCoef,5,impvol_order-2)*F87^5,0)</f>
        <v>0.52932338329756</v>
      </c>
      <c r="I87" s="64" t="n">
        <f aca="true">OFFSET(VolSkewCoef,0,impvol_order-2)+OFFSET(VolSkewCoef,1,impvol_order-2)*E87+OFFSET(VolSkewCoef,2,impvol_order-2)*E87^2+IF(impvol_order&gt;2,OFFSET(VolSkewCoef,3,impvol_order-2)*E87^3,0)+IF(impvol_order&gt;3,OFFSET(VolSkewCoef,4,impvol_order-2)*E87^4,0)+IF(impvol_order&gt;4,OFFSET(VolSkewCoef,5,impvol_order-2)*E87^5,0)</f>
        <v>0.529266482172205</v>
      </c>
      <c r="J87" s="64" t="n">
        <f aca="true">OFFSET(VolSkewCoef,0,impvol_order-2)+OFFSET(VolSkewCoef,1,impvol_order-2)*G87+OFFSET(VolSkewCoef,2,impvol_order-2)*G87^2+IF(impvol_order&gt;2,OFFSET(VolSkewCoef,3,impvol_order-2)*G87^3,0)+IF(impvol_order&gt;3,OFFSET(VolSkewCoef,4,impvol_order-2)*G87^4,0)+IF(impvol_order&gt;4,OFFSET(VolSkewCoef,5,impvol_order-2)*G87^5,0)</f>
        <v>0.529209657815975</v>
      </c>
      <c r="L87" s="79" t="e">
        <f aca="false">EURO(UnderlyingPrice,$D87,IntRate,Yield,$I87,$D$6,L$12,0)</f>
        <v>#NAME?</v>
      </c>
      <c r="M87" s="79" t="e">
        <f aca="false">EURO(UnderlyingPrice,$D87,IntRate,Yield,$I87,$D$6,M$12,0)</f>
        <v>#NAME?</v>
      </c>
      <c r="O87" s="79" t="e">
        <f aca="false">EURO(UnderlyingPrice,$D87*(1+$P$8),IntRate,Yield,$H87,Expiry-Today,O$12,0)</f>
        <v>#NAME?</v>
      </c>
      <c r="P87" s="79" t="e">
        <f aca="false">EURO(UnderlyingPrice,$D87*(1+$P$8),IntRate,Yield,$H87,Expiry-Today,P$12,0)</f>
        <v>#NAME?</v>
      </c>
      <c r="R87" s="79" t="e">
        <f aca="false">EURO(UnderlyingPrice,$D87*(1-$P$8),IntRate,Yield,$J87,Expiry-Today,R$12,0)</f>
        <v>#NAME?</v>
      </c>
      <c r="S87" s="79" t="e">
        <f aca="false">EURO(UnderlyingPrice,$D87*(1-$P$8),IntRate,Yield,$J87,Expiry-Today,S$12,0)</f>
        <v>#NAME?</v>
      </c>
      <c r="U87" s="80" t="e">
        <f aca="false">(O87+R87-2*L87)/($P$8*D87)^2</f>
        <v>#NAME?</v>
      </c>
      <c r="V87" s="80"/>
      <c r="W87" s="81" t="e">
        <f aca="false">U87/$D$9</f>
        <v>#NAME?</v>
      </c>
      <c r="Z87" s="80" t="n">
        <f aca="false">(1/(D87*SQRT(2*PI()*T/365.25*ATMImpVol^2)))</f>
        <v>0.217610254994182</v>
      </c>
      <c r="AA87" s="80" t="n">
        <f aca="false">LN(D87/UnderlyingPrice)+0.5*T/365.25*ATMImpVol^2</f>
        <v>0.196810432836718</v>
      </c>
      <c r="AB87" s="80" t="n">
        <f aca="false">-(AA87^2)</f>
        <v>-0.0387343464733764</v>
      </c>
      <c r="AC87" s="80" t="n">
        <f aca="false">AB87/(2*T/365.25*ATMImpVol^2)</f>
        <v>-0.180064640016925</v>
      </c>
      <c r="AD87" s="82" t="n">
        <f aca="false">EXP(AC87)</f>
        <v>0.83521622127565</v>
      </c>
      <c r="AE87" s="82" t="n">
        <f aca="false">AD87*Z87</f>
        <v>0.181751614887072</v>
      </c>
      <c r="AF87" s="82"/>
      <c r="AG87" s="83" t="n">
        <f aca="false">(LN($D87/UnderlyingPrice)+0.5*ATMImpVol^2*(T/365.25))/(ATMImpVol*SQRT(T/365.25))</f>
        <v>0.600107723691214</v>
      </c>
      <c r="AH87" s="83" t="n">
        <f aca="false">(LN(($D87*(1+$P$8))/UnderlyingPrice)+0.5*ATMImpVol^2*(T/365.25))/(ATMImpVol*SQRT(T/365.25))</f>
        <v>0.601631925782798</v>
      </c>
      <c r="AI87" s="83" t="n">
        <f aca="false">(LN($D87*(1-$P$8)/UnderlyingPrice)+0.5*ATMImpVol^2*(T/365.25))/(ATMImpVol*SQRT(T/365.25))</f>
        <v>0.59858275930798</v>
      </c>
      <c r="AJ87" s="81"/>
      <c r="AK87" s="83" t="e">
        <f aca="false">W87/(AH87-AI87)*(D87*2*$P$8)</f>
        <v>#NAME?</v>
      </c>
      <c r="AL87" s="83"/>
      <c r="AM87" s="84"/>
      <c r="AN87" s="85"/>
      <c r="AX87" s="87" t="n">
        <f aca="true">OFFSET(ENAVolCoef,0,impvol_order-2)+OFFSET(ENAVolCoef,1,impvol_order-2)*E87+OFFSET(ENAVolCoef,2,impvol_order-2)*E87^2+IF(impvol_order&gt;2,OFFSET(ENAVolCoef,3,impvol_order-2)*E87^3,0)+IF(impvol_order&gt;3,OFFSET(ENAVolCoef,4,impvol_order-2)*E87^4,0)+IF(impvol_order&gt;4,OFFSET(ENAVolCoef,5,impvol_order-2)*E87^5,0)</f>
        <v>0.50088645743473</v>
      </c>
      <c r="AY87" s="87" t="n">
        <f aca="true">OFFSET(ENAVolCoef,0,impvol_order-2)+OFFSET(ENAVolCoef,1,impvol_order-2)*F87+OFFSET(ENAVolCoef,2,impvol_order-2)*F87^2+IF(impvol_order&gt;2,OFFSET(ENAVolCoef,3,impvol_order-2)*F87^3,0)+IF(impvol_order&gt;3,OFFSET(ENAVolCoef,4,impvol_order-2)*F87^4,0)+IF(impvol_order&gt;4,OFFSET(ENAVolCoef,5,impvol_order-2)*F87^5,0)</f>
        <v>0.500932549189437</v>
      </c>
      <c r="AZ87" s="87" t="n">
        <f aca="true">OFFSET(ENAVolCoef,0,impvol_order-2)+OFFSET(ENAVolCoef,1,impvol_order-2)*G87+OFFSET(ENAVolCoef,2,impvol_order-2)*G87^2+IF(impvol_order&gt;2,OFFSET(ENAVolCoef,3,impvol_order-2)*G87^3,0)+IF(impvol_order&gt;3,OFFSET(ENAVolCoef,4,impvol_order-2)*G87^4,0)+IF(impvol_order&gt;4,OFFSET(ENAVolCoef,5,impvol_order-2)*G87^5,0)</f>
        <v>0.500840440138359</v>
      </c>
      <c r="BB87" s="48" t="e">
        <f aca="false">EURO(UnderlyingPrice,$D87,IntRate,Yield,AX87,$D$6,1,0)</f>
        <v>#NAME?</v>
      </c>
      <c r="BC87" s="48" t="e">
        <f aca="false">EURO(UnderlyingPrice,$D87*(1+$P$8),IntRate,Yield,AY87,$D$6,1,0)</f>
        <v>#NAME?</v>
      </c>
      <c r="BD87" s="48" t="e">
        <f aca="false">EURO(UnderlyingPrice,$D87*(1-$P$8),IntRate,Yield,AZ87,$D$6,1,0)</f>
        <v>#NAME?</v>
      </c>
      <c r="BF87" s="80" t="e">
        <f aca="false">(BC87+BD87-2*BB87)/($P$8*$D87)^2</f>
        <v>#NAME?</v>
      </c>
      <c r="BG87" s="48" t="e">
        <f aca="false">+BF87/$D$9</f>
        <v>#NAME?</v>
      </c>
      <c r="BI87" s="79" t="e">
        <f aca="false">+BB87-L87</f>
        <v>#NAME?</v>
      </c>
      <c r="BJ87" s="65" t="e">
        <f aca="false">+BI87/BB87</f>
        <v>#NAME?</v>
      </c>
    </row>
    <row r="88" customFormat="false" ht="11.25" hidden="false" customHeight="false" outlineLevel="0" collapsed="false">
      <c r="C88" s="77" t="n">
        <v>75</v>
      </c>
      <c r="D88" s="78" t="n">
        <f aca="true">D87+(ROUNDUP(MAX(StrikeRange),1)-ROUNDDOWN(MIN(StrikeRange),1))/100</f>
        <v>5.62500000000001</v>
      </c>
      <c r="E88" s="64" t="n">
        <f aca="false">+D88/UnderlyingPrice-1</f>
        <v>0.160990712074306</v>
      </c>
      <c r="F88" s="64" t="n">
        <f aca="false">+D88*(1+$P$8)/UnderlyingPrice-1</f>
        <v>0.161571207430343</v>
      </c>
      <c r="G88" s="64" t="n">
        <f aca="false">+D88*(1-$P$8)/UnderlyingPrice-1</f>
        <v>0.160410216718268</v>
      </c>
      <c r="H88" s="64" t="n">
        <f aca="true">OFFSET(VolSkewCoef,0,impvol_order-2)+OFFSET(VolSkewCoef,1,impvol_order-2)*F88+OFFSET(VolSkewCoef,2,impvol_order-2)*F88^2+IF(impvol_order&gt;2,OFFSET(VolSkewCoef,3,impvol_order-2)*F88^3,0)+IF(impvol_order&gt;3,OFFSET(VolSkewCoef,4,impvol_order-2)*F88^4,0)+IF(impvol_order&gt;4,OFFSET(VolSkewCoef,5,impvol_order-2)*F88^5,0)</f>
        <v>0.530042702297884</v>
      </c>
      <c r="I88" s="64" t="n">
        <f aca="true">OFFSET(VolSkewCoef,0,impvol_order-2)+OFFSET(VolSkewCoef,1,impvol_order-2)*E88+OFFSET(VolSkewCoef,2,impvol_order-2)*E88^2+IF(impvol_order&gt;2,OFFSET(VolSkewCoef,3,impvol_order-2)*E88^3,0)+IF(impvol_order&gt;3,OFFSET(VolSkewCoef,4,impvol_order-2)*E88^4,0)+IF(impvol_order&gt;4,OFFSET(VolSkewCoef,5,impvol_order-2)*E88^5,0)</f>
        <v>0.529984493867712</v>
      </c>
      <c r="J88" s="64" t="n">
        <f aca="true">OFFSET(VolSkewCoef,0,impvol_order-2)+OFFSET(VolSkewCoef,1,impvol_order-2)*G88+OFFSET(VolSkewCoef,2,impvol_order-2)*G88^2+IF(impvol_order&gt;2,OFFSET(VolSkewCoef,3,impvol_order-2)*G88^3,0)+IF(impvol_order&gt;3,OFFSET(VolSkewCoef,4,impvol_order-2)*G88^4,0)+IF(impvol_order&gt;4,OFFSET(VolSkewCoef,5,impvol_order-2)*G88^5,0)</f>
        <v>0.529926360708333</v>
      </c>
      <c r="L88" s="79" t="e">
        <f aca="false">EURO(UnderlyingPrice,$D88,IntRate,Yield,$I88,$D$6,L$12,0)</f>
        <v>#NAME?</v>
      </c>
      <c r="M88" s="79" t="e">
        <f aca="false">EURO(UnderlyingPrice,$D88,IntRate,Yield,$I88,$D$6,M$12,0)</f>
        <v>#NAME?</v>
      </c>
      <c r="O88" s="79" t="e">
        <f aca="false">EURO(UnderlyingPrice,$D88*(1+$P$8),IntRate,Yield,$H88,Expiry-Today,O$12,0)</f>
        <v>#NAME?</v>
      </c>
      <c r="P88" s="79" t="e">
        <f aca="false">EURO(UnderlyingPrice,$D88*(1+$P$8),IntRate,Yield,$H88,Expiry-Today,P$12,0)</f>
        <v>#NAME?</v>
      </c>
      <c r="R88" s="79" t="e">
        <f aca="false">EURO(UnderlyingPrice,$D88*(1-$P$8),IntRate,Yield,$J88,Expiry-Today,R$12,0)</f>
        <v>#NAME?</v>
      </c>
      <c r="S88" s="79" t="e">
        <f aca="false">EURO(UnderlyingPrice,$D88*(1-$P$8),IntRate,Yield,$J88,Expiry-Today,S$12,0)</f>
        <v>#NAME?</v>
      </c>
      <c r="U88" s="80" t="e">
        <f aca="false">(O88+R88-2*L88)/($P$8*D88)^2</f>
        <v>#NAME?</v>
      </c>
      <c r="V88" s="80"/>
      <c r="W88" s="81" t="e">
        <f aca="false">U88/$D$9</f>
        <v>#NAME?</v>
      </c>
      <c r="Z88" s="80" t="n">
        <f aca="false">(1/(D88*SQRT(2*PI()*T/365.25*ATMImpVol^2)))</f>
        <v>0.216256235629774</v>
      </c>
      <c r="AA88" s="80" t="n">
        <f aca="false">LN(D88/UnderlyingPrice)+0.5*T/365.25*ATMImpVol^2</f>
        <v>0.203052093760194</v>
      </c>
      <c r="AB88" s="80" t="n">
        <f aca="false">-(AA88^2)</f>
        <v>-0.0412301527803987</v>
      </c>
      <c r="AC88" s="80" t="n">
        <f aca="false">AB88/(2*T/365.25*ATMImpVol^2)</f>
        <v>-0.191666913067662</v>
      </c>
      <c r="AD88" s="82" t="n">
        <f aca="false">EXP(AC88)</f>
        <v>0.825581813212451</v>
      </c>
      <c r="AE88" s="82" t="n">
        <f aca="false">AD88*Z88</f>
        <v>0.178537215129728</v>
      </c>
      <c r="AF88" s="82"/>
      <c r="AG88" s="83" t="n">
        <f aca="false">(LN($D88/UnderlyingPrice)+0.5*ATMImpVol^2*(T/365.25))/(ATMImpVol*SQRT(T/365.25))</f>
        <v>0.619139585340272</v>
      </c>
      <c r="AH88" s="83" t="n">
        <f aca="false">(LN(($D88*(1+$P$8))/UnderlyingPrice)+0.5*ATMImpVol^2*(T/365.25))/(ATMImpVol*SQRT(T/365.25))</f>
        <v>0.620663787431856</v>
      </c>
      <c r="AI88" s="83" t="n">
        <f aca="false">(LN($D88*(1-$P$8)/UnderlyingPrice)+0.5*ATMImpVol^2*(T/365.25))/(ATMImpVol*SQRT(T/365.25))</f>
        <v>0.617614620957037</v>
      </c>
      <c r="AJ88" s="81"/>
      <c r="AK88" s="83" t="e">
        <f aca="false">W88/(AH88-AI88)*(D88*2*$P$8)</f>
        <v>#NAME?</v>
      </c>
      <c r="AL88" s="83"/>
      <c r="AM88" s="84"/>
      <c r="AN88" s="85"/>
      <c r="AX88" s="87" t="n">
        <f aca="true">OFFSET(ENAVolCoef,0,impvol_order-2)+OFFSET(ENAVolCoef,1,impvol_order-2)*E88+OFFSET(ENAVolCoef,2,impvol_order-2)*E88^2+IF(impvol_order&gt;2,OFFSET(ENAVolCoef,3,impvol_order-2)*E88^3,0)+IF(impvol_order&gt;3,OFFSET(ENAVolCoef,4,impvol_order-2)*E88^4,0)+IF(impvol_order&gt;4,OFFSET(ENAVolCoef,5,impvol_order-2)*E88^5,0)</f>
        <v>0.50146896817875</v>
      </c>
      <c r="AY88" s="87" t="n">
        <f aca="true">OFFSET(ENAVolCoef,0,impvol_order-2)+OFFSET(ENAVolCoef,1,impvol_order-2)*F88+OFFSET(ENAVolCoef,2,impvol_order-2)*F88^2+IF(impvol_order&gt;2,OFFSET(ENAVolCoef,3,impvol_order-2)*F88^3,0)+IF(impvol_order&gt;3,OFFSET(ENAVolCoef,4,impvol_order-2)*F88^4,0)+IF(impvol_order&gt;4,OFFSET(ENAVolCoef,5,impvol_order-2)*F88^5,0)</f>
        <v>0.501516276882679</v>
      </c>
      <c r="AZ88" s="87" t="n">
        <f aca="true">OFFSET(ENAVolCoef,0,impvol_order-2)+OFFSET(ENAVolCoef,1,impvol_order-2)*G88+OFFSET(ENAVolCoef,2,impvol_order-2)*G88^2+IF(impvol_order&gt;2,OFFSET(ENAVolCoef,3,impvol_order-2)*G88^3,0)+IF(impvol_order&gt;3,OFFSET(ENAVolCoef,4,impvol_order-2)*G88^4,0)+IF(impvol_order&gt;4,OFFSET(ENAVolCoef,5,impvol_order-2)*G88^5,0)</f>
        <v>0.501421733365103</v>
      </c>
      <c r="BB88" s="48" t="e">
        <f aca="false">EURO(UnderlyingPrice,$D88,IntRate,Yield,AX88,$D$6,1,0)</f>
        <v>#NAME?</v>
      </c>
      <c r="BC88" s="48" t="e">
        <f aca="false">EURO(UnderlyingPrice,$D88*(1+$P$8),IntRate,Yield,AY88,$D$6,1,0)</f>
        <v>#NAME?</v>
      </c>
      <c r="BD88" s="48" t="e">
        <f aca="false">EURO(UnderlyingPrice,$D88*(1-$P$8),IntRate,Yield,AZ88,$D$6,1,0)</f>
        <v>#NAME?</v>
      </c>
      <c r="BF88" s="80" t="e">
        <f aca="false">(BC88+BD88-2*BB88)/($P$8*$D88)^2</f>
        <v>#NAME?</v>
      </c>
      <c r="BG88" s="48" t="e">
        <f aca="false">+BF88/$D$9</f>
        <v>#NAME?</v>
      </c>
      <c r="BI88" s="79" t="e">
        <f aca="false">+BB88-L88</f>
        <v>#NAME?</v>
      </c>
      <c r="BJ88" s="65" t="e">
        <f aca="false">+BI88/BB88</f>
        <v>#NAME?</v>
      </c>
    </row>
    <row r="89" customFormat="false" ht="11.25" hidden="false" customHeight="false" outlineLevel="0" collapsed="false">
      <c r="C89" s="77" t="n">
        <v>76</v>
      </c>
      <c r="D89" s="78" t="n">
        <f aca="true">D88+(ROUNDUP(MAX(StrikeRange),1)-ROUNDDOWN(MIN(StrikeRange),1))/100</f>
        <v>5.66000000000001</v>
      </c>
      <c r="E89" s="64" t="n">
        <f aca="false">+D89/UnderlyingPrice-1</f>
        <v>0.168214654282768</v>
      </c>
      <c r="F89" s="64" t="n">
        <f aca="false">+D89*(1+$P$8)/UnderlyingPrice-1</f>
        <v>0.168798761609909</v>
      </c>
      <c r="G89" s="64" t="n">
        <f aca="false">+D89*(1-$P$8)/UnderlyingPrice-1</f>
        <v>0.167630546955627</v>
      </c>
      <c r="H89" s="64" t="n">
        <f aca="true">OFFSET(VolSkewCoef,0,impvol_order-2)+OFFSET(VolSkewCoef,1,impvol_order-2)*F89+OFFSET(VolSkewCoef,2,impvol_order-2)*F89^2+IF(impvol_order&gt;2,OFFSET(VolSkewCoef,3,impvol_order-2)*F89^3,0)+IF(impvol_order&gt;3,OFFSET(VolSkewCoef,4,impvol_order-2)*F89^4,0)+IF(impvol_order&gt;4,OFFSET(VolSkewCoef,5,impvol_order-2)*F89^5,0)</f>
        <v>0.530773659031756</v>
      </c>
      <c r="I89" s="64" t="n">
        <f aca="true">OFFSET(VolSkewCoef,0,impvol_order-2)+OFFSET(VolSkewCoef,1,impvol_order-2)*E89+OFFSET(VolSkewCoef,2,impvol_order-2)*E89^2+IF(impvol_order&gt;2,OFFSET(VolSkewCoef,3,impvol_order-2)*E89^3,0)+IF(impvol_order&gt;3,OFFSET(VolSkewCoef,4,impvol_order-2)*E89^4,0)+IF(impvol_order&gt;4,OFFSET(VolSkewCoef,5,impvol_order-2)*E89^5,0)</f>
        <v>0.530714162314324</v>
      </c>
      <c r="J89" s="64" t="n">
        <f aca="true">OFFSET(VolSkewCoef,0,impvol_order-2)+OFFSET(VolSkewCoef,1,impvol_order-2)*G89+OFFSET(VolSkewCoef,2,impvol_order-2)*G89^2+IF(impvol_order&gt;2,OFFSET(VolSkewCoef,3,impvol_order-2)*G89^3,0)+IF(impvol_order&gt;3,OFFSET(VolSkewCoef,4,impvol_order-2)*G89^4,0)+IF(impvol_order&gt;4,OFFSET(VolSkewCoef,5,impvol_order-2)*G89^5,0)</f>
        <v>0.53065473931389</v>
      </c>
      <c r="L89" s="79" t="e">
        <f aca="false">EURO(UnderlyingPrice,$D89,IntRate,Yield,$I89,$D$6,L$12,0)</f>
        <v>#NAME?</v>
      </c>
      <c r="M89" s="79" t="e">
        <f aca="false">EURO(UnderlyingPrice,$D89,IntRate,Yield,$I89,$D$6,M$12,0)</f>
        <v>#NAME?</v>
      </c>
      <c r="O89" s="79" t="e">
        <f aca="false">EURO(UnderlyingPrice,$D89*(1+$P$8),IntRate,Yield,$H89,Expiry-Today,O$12,0)</f>
        <v>#NAME?</v>
      </c>
      <c r="P89" s="79" t="e">
        <f aca="false">EURO(UnderlyingPrice,$D89*(1+$P$8),IntRate,Yield,$H89,Expiry-Today,P$12,0)</f>
        <v>#NAME?</v>
      </c>
      <c r="R89" s="79" t="e">
        <f aca="false">EURO(UnderlyingPrice,$D89*(1-$P$8),IntRate,Yield,$J89,Expiry-Today,R$12,0)</f>
        <v>#NAME?</v>
      </c>
      <c r="S89" s="79" t="e">
        <f aca="false">EURO(UnderlyingPrice,$D89*(1-$P$8),IntRate,Yield,$J89,Expiry-Today,S$12,0)</f>
        <v>#NAME?</v>
      </c>
      <c r="U89" s="80" t="e">
        <f aca="false">(O89+R89-2*L89)/($P$8*D89)^2</f>
        <v>#NAME?</v>
      </c>
      <c r="V89" s="80"/>
      <c r="W89" s="81" t="e">
        <f aca="false">U89/$D$9</f>
        <v>#NAME?</v>
      </c>
      <c r="Z89" s="80" t="n">
        <f aca="false">(1/(D89*SQRT(2*PI()*T/365.25*ATMImpVol^2)))</f>
        <v>0.214918962087894</v>
      </c>
      <c r="AA89" s="80" t="n">
        <f aca="false">LN(D89/UnderlyingPrice)+0.5*T/365.25*ATMImpVol^2</f>
        <v>0.209255037884802</v>
      </c>
      <c r="AB89" s="80" t="n">
        <f aca="false">-(AA89^2)</f>
        <v>-0.0437876708801699</v>
      </c>
      <c r="AC89" s="80" t="n">
        <f aca="false">AB89/(2*T/365.25*ATMImpVol^2)</f>
        <v>-0.203556066181129</v>
      </c>
      <c r="AD89" s="82" t="n">
        <f aca="false">EXP(AC89)</f>
        <v>0.815824462878306</v>
      </c>
      <c r="AE89" s="82" t="n">
        <f aca="false">AD89*Z89</f>
        <v>0.175336146807719</v>
      </c>
      <c r="AF89" s="82"/>
      <c r="AG89" s="83" t="n">
        <f aca="false">(LN($D89/UnderlyingPrice)+0.5*ATMImpVol^2*(T/365.25))/(ATMImpVol*SQRT(T/365.25))</f>
        <v>0.638053393034046</v>
      </c>
      <c r="AH89" s="83" t="n">
        <f aca="false">(LN(($D89*(1+$P$8))/UnderlyingPrice)+0.5*ATMImpVol^2*(T/365.25))/(ATMImpVol*SQRT(T/365.25))</f>
        <v>0.63957759512563</v>
      </c>
      <c r="AI89" s="83" t="n">
        <f aca="false">(LN($D89*(1-$P$8)/UnderlyingPrice)+0.5*ATMImpVol^2*(T/365.25))/(ATMImpVol*SQRT(T/365.25))</f>
        <v>0.636528428650812</v>
      </c>
      <c r="AJ89" s="81"/>
      <c r="AK89" s="83" t="e">
        <f aca="false">W89/(AH89-AI89)*(D89*2*$P$8)</f>
        <v>#NAME?</v>
      </c>
      <c r="AL89" s="83"/>
      <c r="AM89" s="84"/>
      <c r="AN89" s="85"/>
      <c r="AX89" s="87" t="n">
        <f aca="true">OFFSET(ENAVolCoef,0,impvol_order-2)+OFFSET(ENAVolCoef,1,impvol_order-2)*E89+OFFSET(ENAVolCoef,2,impvol_order-2)*E89^2+IF(impvol_order&gt;2,OFFSET(ENAVolCoef,3,impvol_order-2)*E89^3,0)+IF(impvol_order&gt;3,OFFSET(ENAVolCoef,4,impvol_order-2)*E89^4,0)+IF(impvol_order&gt;4,OFFSET(ENAVolCoef,5,impvol_order-2)*E89^5,0)</f>
        <v>0.502062921882004</v>
      </c>
      <c r="AY89" s="87" t="n">
        <f aca="true">OFFSET(ENAVolCoef,0,impvol_order-2)+OFFSET(ENAVolCoef,1,impvol_order-2)*F89+OFFSET(ENAVolCoef,2,impvol_order-2)*F89^2+IF(impvol_order&gt;2,OFFSET(ENAVolCoef,3,impvol_order-2)*F89^3,0)+IF(impvol_order&gt;3,OFFSET(ENAVolCoef,4,impvol_order-2)*F89^4,0)+IF(impvol_order&gt;4,OFFSET(ENAVolCoef,5,impvol_order-2)*F89^5,0)</f>
        <v>0.502111440253695</v>
      </c>
      <c r="AZ89" s="87" t="n">
        <f aca="true">OFFSET(ENAVolCoef,0,impvol_order-2)+OFFSET(ENAVolCoef,1,impvol_order-2)*G89+OFFSET(ENAVolCoef,2,impvol_order-2)*G89^2+IF(impvol_order&gt;2,OFFSET(ENAVolCoef,3,impvol_order-2)*G89^3,0)+IF(impvol_order&gt;3,OFFSET(ENAVolCoef,4,impvol_order-2)*G89^4,0)+IF(impvol_order&gt;4,OFFSET(ENAVolCoef,5,impvol_order-2)*G89^5,0)</f>
        <v>0.502014476800845</v>
      </c>
      <c r="BB89" s="48" t="e">
        <f aca="false">EURO(UnderlyingPrice,$D89,IntRate,Yield,AX89,$D$6,1,0)</f>
        <v>#NAME?</v>
      </c>
      <c r="BC89" s="48" t="e">
        <f aca="false">EURO(UnderlyingPrice,$D89*(1+$P$8),IntRate,Yield,AY89,$D$6,1,0)</f>
        <v>#NAME?</v>
      </c>
      <c r="BD89" s="48" t="e">
        <f aca="false">EURO(UnderlyingPrice,$D89*(1-$P$8),IntRate,Yield,AZ89,$D$6,1,0)</f>
        <v>#NAME?</v>
      </c>
      <c r="BF89" s="80" t="e">
        <f aca="false">(BC89+BD89-2*BB89)/($P$8*$D89)^2</f>
        <v>#NAME?</v>
      </c>
      <c r="BG89" s="48" t="e">
        <f aca="false">+BF89/$D$9</f>
        <v>#NAME?</v>
      </c>
      <c r="BI89" s="79" t="e">
        <f aca="false">+BB89-L89</f>
        <v>#NAME?</v>
      </c>
      <c r="BJ89" s="65" t="e">
        <f aca="false">+BI89/BB89</f>
        <v>#NAME?</v>
      </c>
    </row>
    <row r="90" customFormat="false" ht="11.25" hidden="false" customHeight="false" outlineLevel="0" collapsed="false">
      <c r="C90" s="77" t="n">
        <v>77</v>
      </c>
      <c r="D90" s="78" t="n">
        <f aca="true">D89+(ROUNDUP(MAX(StrikeRange),1)-ROUNDDOWN(MIN(StrikeRange),1))/100</f>
        <v>5.69500000000001</v>
      </c>
      <c r="E90" s="64" t="n">
        <f aca="false">+D90/UnderlyingPrice-1</f>
        <v>0.17543859649123</v>
      </c>
      <c r="F90" s="64" t="n">
        <f aca="false">+D90*(1+$P$8)/UnderlyingPrice-1</f>
        <v>0.176026315789476</v>
      </c>
      <c r="G90" s="64" t="n">
        <f aca="false">+D90*(1-$P$8)/UnderlyingPrice-1</f>
        <v>0.174850877192985</v>
      </c>
      <c r="H90" s="64" t="n">
        <f aca="true">OFFSET(VolSkewCoef,0,impvol_order-2)+OFFSET(VolSkewCoef,1,impvol_order-2)*F90+OFFSET(VolSkewCoef,2,impvol_order-2)*F90^2+IF(impvol_order&gt;2,OFFSET(VolSkewCoef,3,impvol_order-2)*F90^3,0)+IF(impvol_order&gt;3,OFFSET(VolSkewCoef,4,impvol_order-2)*F90^4,0)+IF(impvol_order&gt;4,OFFSET(VolSkewCoef,5,impvol_order-2)*F90^5,0)</f>
        <v>0.531515871547301</v>
      </c>
      <c r="I90" s="64" t="n">
        <f aca="true">OFFSET(VolSkewCoef,0,impvol_order-2)+OFFSET(VolSkewCoef,1,impvol_order-2)*E90+OFFSET(VolSkewCoef,2,impvol_order-2)*E90^2+IF(impvol_order&gt;2,OFFSET(VolSkewCoef,3,impvol_order-2)*E90^3,0)+IF(impvol_order&gt;3,OFFSET(VolSkewCoef,4,impvol_order-2)*E90^4,0)+IF(impvol_order&gt;4,OFFSET(VolSkewCoef,5,impvol_order-2)*E90^5,0)</f>
        <v>0.531455106132521</v>
      </c>
      <c r="J90" s="64" t="n">
        <f aca="true">OFFSET(VolSkewCoef,0,impvol_order-2)+OFFSET(VolSkewCoef,1,impvol_order-2)*G90+OFFSET(VolSkewCoef,2,impvol_order-2)*G90^2+IF(impvol_order&gt;2,OFFSET(VolSkewCoef,3,impvol_order-2)*G90^3,0)+IF(impvol_order&gt;3,OFFSET(VolSkewCoef,4,impvol_order-2)*G90^4,0)+IF(impvol_order&gt;4,OFFSET(VolSkewCoef,5,impvol_order-2)*G90^5,0)</f>
        <v>0.531394412824908</v>
      </c>
      <c r="L90" s="79" t="e">
        <f aca="false">EURO(UnderlyingPrice,$D90,IntRate,Yield,$I90,$D$6,L$12,0)</f>
        <v>#NAME?</v>
      </c>
      <c r="M90" s="79" t="e">
        <f aca="false">EURO(UnderlyingPrice,$D90,IntRate,Yield,$I90,$D$6,M$12,0)</f>
        <v>#NAME?</v>
      </c>
      <c r="O90" s="79" t="e">
        <f aca="false">EURO(UnderlyingPrice,$D90*(1+$P$8),IntRate,Yield,$H90,Expiry-Today,O$12,0)</f>
        <v>#NAME?</v>
      </c>
      <c r="P90" s="79" t="e">
        <f aca="false">EURO(UnderlyingPrice,$D90*(1+$P$8),IntRate,Yield,$H90,Expiry-Today,P$12,0)</f>
        <v>#NAME?</v>
      </c>
      <c r="R90" s="79" t="e">
        <f aca="false">EURO(UnderlyingPrice,$D90*(1-$P$8),IntRate,Yield,$J90,Expiry-Today,R$12,0)</f>
        <v>#NAME?</v>
      </c>
      <c r="S90" s="79" t="e">
        <f aca="false">EURO(UnderlyingPrice,$D90*(1-$P$8),IntRate,Yield,$J90,Expiry-Today,S$12,0)</f>
        <v>#NAME?</v>
      </c>
      <c r="U90" s="80" t="e">
        <f aca="false">(O90+R90-2*L90)/($P$8*D90)^2</f>
        <v>#NAME?</v>
      </c>
      <c r="V90" s="80"/>
      <c r="W90" s="81" t="e">
        <f aca="false">U90/$D$9</f>
        <v>#NAME?</v>
      </c>
      <c r="Z90" s="80" t="n">
        <f aca="false">(1/(D90*SQRT(2*PI()*T/365.25*ATMImpVol^2)))</f>
        <v>0.213598125622033</v>
      </c>
      <c r="AA90" s="80" t="n">
        <f aca="false">LN(D90/UnderlyingPrice)+0.5*T/365.25*ATMImpVol^2</f>
        <v>0.215419742568856</v>
      </c>
      <c r="AB90" s="80" t="n">
        <f aca="false">-(AA90^2)</f>
        <v>-0.0464056654884321</v>
      </c>
      <c r="AC90" s="80" t="n">
        <f aca="false">AB90/(2*T/365.25*ATMImpVol^2)</f>
        <v>-0.215726356882355</v>
      </c>
      <c r="AD90" s="82" t="n">
        <f aca="false">EXP(AC90)</f>
        <v>0.805955815963186</v>
      </c>
      <c r="AE90" s="82" t="n">
        <f aca="false">AD90*Z90</f>
        <v>0.172150651623913</v>
      </c>
      <c r="AF90" s="82"/>
      <c r="AG90" s="83" t="n">
        <f aca="false">(LN($D90/UnderlyingPrice)+0.5*ATMImpVol^2*(T/365.25))/(ATMImpVol*SQRT(T/365.25))</f>
        <v>0.656850602317384</v>
      </c>
      <c r="AH90" s="83" t="n">
        <f aca="false">(LN(($D90*(1+$P$8))/UnderlyingPrice)+0.5*ATMImpVol^2*(T/365.25))/(ATMImpVol*SQRT(T/365.25))</f>
        <v>0.658374804408968</v>
      </c>
      <c r="AI90" s="83" t="n">
        <f aca="false">(LN($D90*(1-$P$8)/UnderlyingPrice)+0.5*ATMImpVol^2*(T/365.25))/(ATMImpVol*SQRT(T/365.25))</f>
        <v>0.65532563793415</v>
      </c>
      <c r="AJ90" s="81"/>
      <c r="AK90" s="83" t="e">
        <f aca="false">W90/(AH90-AI90)*(D90*2*$P$8)</f>
        <v>#NAME?</v>
      </c>
      <c r="AL90" s="83"/>
      <c r="AM90" s="84"/>
      <c r="AN90" s="85"/>
      <c r="AX90" s="87" t="n">
        <f aca="true">OFFSET(ENAVolCoef,0,impvol_order-2)+OFFSET(ENAVolCoef,1,impvol_order-2)*E90+OFFSET(ENAVolCoef,2,impvol_order-2)*E90^2+IF(impvol_order&gt;2,OFFSET(ENAVolCoef,3,impvol_order-2)*E90^3,0)+IF(impvol_order&gt;3,OFFSET(ENAVolCoef,4,impvol_order-2)*E90^4,0)+IF(impvol_order&gt;4,OFFSET(ENAVolCoef,5,impvol_order-2)*E90^5,0)</f>
        <v>0.502668085726783</v>
      </c>
      <c r="AY90" s="87" t="n">
        <f aca="true">OFFSET(ENAVolCoef,0,impvol_order-2)+OFFSET(ENAVolCoef,1,impvol_order-2)*F90+OFFSET(ENAVolCoef,2,impvol_order-2)*F90^2+IF(impvol_order&gt;2,OFFSET(ENAVolCoef,3,impvol_order-2)*F90^3,0)+IF(impvol_order&gt;3,OFFSET(ENAVolCoef,4,impvol_order-2)*F90^4,0)+IF(impvol_order&gt;4,OFFSET(ENAVolCoef,5,impvol_order-2)*F90^5,0)</f>
        <v>0.502717806135376</v>
      </c>
      <c r="AZ90" s="87" t="n">
        <f aca="true">OFFSET(ENAVolCoef,0,impvol_order-2)+OFFSET(ENAVolCoef,1,impvol_order-2)*G90+OFFSET(ENAVolCoef,2,impvol_order-2)*G90^2+IF(impvol_order&gt;2,OFFSET(ENAVolCoef,3,impvol_order-2)*G90^3,0)+IF(impvol_order&gt;3,OFFSET(ENAVolCoef,4,impvol_order-2)*G90^4,0)+IF(impvol_order&gt;4,OFFSET(ENAVolCoef,5,impvol_order-2)*G90^5,0)</f>
        <v>0.502618437976927</v>
      </c>
      <c r="BB90" s="48" t="e">
        <f aca="false">EURO(UnderlyingPrice,$D90,IntRate,Yield,AX90,$D$6,1,0)</f>
        <v>#NAME?</v>
      </c>
      <c r="BC90" s="48" t="e">
        <f aca="false">EURO(UnderlyingPrice,$D90*(1+$P$8),IntRate,Yield,AY90,$D$6,1,0)</f>
        <v>#NAME?</v>
      </c>
      <c r="BD90" s="48" t="e">
        <f aca="false">EURO(UnderlyingPrice,$D90*(1-$P$8),IntRate,Yield,AZ90,$D$6,1,0)</f>
        <v>#NAME?</v>
      </c>
      <c r="BF90" s="80" t="e">
        <f aca="false">(BC90+BD90-2*BB90)/($P$8*$D90)^2</f>
        <v>#NAME?</v>
      </c>
      <c r="BG90" s="48" t="e">
        <f aca="false">+BF90/$D$9</f>
        <v>#NAME?</v>
      </c>
      <c r="BI90" s="79" t="e">
        <f aca="false">+BB90-L90</f>
        <v>#NAME?</v>
      </c>
      <c r="BJ90" s="65" t="e">
        <f aca="false">+BI90/BB90</f>
        <v>#NAME?</v>
      </c>
    </row>
    <row r="91" customFormat="false" ht="11.25" hidden="false" customHeight="false" outlineLevel="0" collapsed="false">
      <c r="C91" s="77" t="n">
        <v>78</v>
      </c>
      <c r="D91" s="78" t="n">
        <f aca="true">D90+(ROUNDUP(MAX(StrikeRange),1)-ROUNDDOWN(MIN(StrikeRange),1))/100</f>
        <v>5.73000000000001</v>
      </c>
      <c r="E91" s="64" t="n">
        <f aca="false">+D91/UnderlyingPrice-1</f>
        <v>0.182662538699693</v>
      </c>
      <c r="F91" s="64" t="n">
        <f aca="false">+D91*(1+$P$8)/UnderlyingPrice-1</f>
        <v>0.183253869969042</v>
      </c>
      <c r="G91" s="64" t="n">
        <f aca="false">+D91*(1-$P$8)/UnderlyingPrice-1</f>
        <v>0.182071207430343</v>
      </c>
      <c r="H91" s="64" t="n">
        <f aca="true">OFFSET(VolSkewCoef,0,impvol_order-2)+OFFSET(VolSkewCoef,1,impvol_order-2)*F91+OFFSET(VolSkewCoef,2,impvol_order-2)*F91^2+IF(impvol_order&gt;2,OFFSET(VolSkewCoef,3,impvol_order-2)*F91^3,0)+IF(impvol_order&gt;3,OFFSET(VolSkewCoef,4,impvol_order-2)*F91^4,0)+IF(impvol_order&gt;4,OFFSET(VolSkewCoef,5,impvol_order-2)*F91^5,0)</f>
        <v>0.532268957892644</v>
      </c>
      <c r="I91" s="64" t="n">
        <f aca="true">OFFSET(VolSkewCoef,0,impvol_order-2)+OFFSET(VolSkewCoef,1,impvol_order-2)*E91+OFFSET(VolSkewCoef,2,impvol_order-2)*E91^2+IF(impvol_order&gt;2,OFFSET(VolSkewCoef,3,impvol_order-2)*E91^3,0)+IF(impvol_order&gt;3,OFFSET(VolSkewCoef,4,impvol_order-2)*E91^4,0)+IF(impvol_order&gt;4,OFFSET(VolSkewCoef,5,impvol_order-2)*E91^5,0)</f>
        <v>0.532206943942785</v>
      </c>
      <c r="J91" s="64" t="n">
        <f aca="true">OFFSET(VolSkewCoef,0,impvol_order-2)+OFFSET(VolSkewCoef,1,impvol_order-2)*G91+OFFSET(VolSkewCoef,2,impvol_order-2)*G91^2+IF(impvol_order&gt;2,OFFSET(VolSkewCoef,3,impvol_order-2)*G91^3,0)+IF(impvol_order&gt;3,OFFSET(VolSkewCoef,4,impvol_order-2)*G91^4,0)+IF(impvol_order&gt;4,OFFSET(VolSkewCoef,5,impvol_order-2)*G91^5,0)</f>
        <v>0.532145000433652</v>
      </c>
      <c r="L91" s="79" t="e">
        <f aca="false">EURO(UnderlyingPrice,$D91,IntRate,Yield,$I91,$D$6,L$12,0)</f>
        <v>#NAME?</v>
      </c>
      <c r="M91" s="79" t="e">
        <f aca="false">EURO(UnderlyingPrice,$D91,IntRate,Yield,$I91,$D$6,M$12,0)</f>
        <v>#NAME?</v>
      </c>
      <c r="O91" s="79" t="e">
        <f aca="false">EURO(UnderlyingPrice,$D91*(1+$P$8),IntRate,Yield,$H91,Expiry-Today,O$12,0)</f>
        <v>#NAME?</v>
      </c>
      <c r="P91" s="79" t="e">
        <f aca="false">EURO(UnderlyingPrice,$D91*(1+$P$8),IntRate,Yield,$H91,Expiry-Today,P$12,0)</f>
        <v>#NAME?</v>
      </c>
      <c r="R91" s="79" t="e">
        <f aca="false">EURO(UnderlyingPrice,$D91*(1-$P$8),IntRate,Yield,$J91,Expiry-Today,R$12,0)</f>
        <v>#NAME?</v>
      </c>
      <c r="S91" s="79" t="e">
        <f aca="false">EURO(UnderlyingPrice,$D91*(1-$P$8),IntRate,Yield,$J91,Expiry-Today,S$12,0)</f>
        <v>#NAME?</v>
      </c>
      <c r="U91" s="80" t="e">
        <f aca="false">(O91+R91-2*L91)/($P$8*D91)^2</f>
        <v>#NAME?</v>
      </c>
      <c r="V91" s="80"/>
      <c r="W91" s="81" t="e">
        <f aca="false">U91/$D$9</f>
        <v>#NAME?</v>
      </c>
      <c r="Z91" s="80" t="n">
        <f aca="false">(1/(D91*SQRT(2*PI()*T/365.25*ATMImpVol^2)))</f>
        <v>0.212293425029229</v>
      </c>
      <c r="AA91" s="80" t="n">
        <f aca="false">LN(D91/UnderlyingPrice)+0.5*T/365.25*ATMImpVol^2</f>
        <v>0.221546676396359</v>
      </c>
      <c r="AB91" s="80" t="n">
        <f aca="false">-(AA91^2)</f>
        <v>-0.0490829298222728</v>
      </c>
      <c r="AC91" s="80" t="n">
        <f aca="false">AB91/(2*T/365.25*ATMImpVol^2)</f>
        <v>-0.228172175190779</v>
      </c>
      <c r="AD91" s="82" t="n">
        <f aca="false">EXP(AC91)</f>
        <v>0.795987198788727</v>
      </c>
      <c r="AE91" s="82" t="n">
        <f aca="false">AD91*Z91</f>
        <v>0.16898284871028</v>
      </c>
      <c r="AF91" s="82"/>
      <c r="AG91" s="83" t="n">
        <f aca="false">(LN($D91/UnderlyingPrice)+0.5*ATMImpVol^2*(T/365.25))/(ATMImpVol*SQRT(T/365.25))</f>
        <v>0.675532641980799</v>
      </c>
      <c r="AH91" s="83" t="n">
        <f aca="false">(LN(($D91*(1+$P$8))/UnderlyingPrice)+0.5*ATMImpVol^2*(T/365.25))/(ATMImpVol*SQRT(T/365.25))</f>
        <v>0.677056844072382</v>
      </c>
      <c r="AI91" s="83" t="n">
        <f aca="false">(LN($D91*(1-$P$8)/UnderlyingPrice)+0.5*ATMImpVol^2*(T/365.25))/(ATMImpVol*SQRT(T/365.25))</f>
        <v>0.674007677597565</v>
      </c>
      <c r="AJ91" s="81"/>
      <c r="AK91" s="83" t="e">
        <f aca="false">W91/(AH91-AI91)*(D91*2*$P$8)</f>
        <v>#NAME?</v>
      </c>
      <c r="AL91" s="83"/>
      <c r="AM91" s="84"/>
      <c r="AN91" s="85"/>
      <c r="AX91" s="87" t="n">
        <f aca="true">OFFSET(ENAVolCoef,0,impvol_order-2)+OFFSET(ENAVolCoef,1,impvol_order-2)*E91+OFFSET(ENAVolCoef,2,impvol_order-2)*E91^2+IF(impvol_order&gt;2,OFFSET(ENAVolCoef,3,impvol_order-2)*E91^3,0)+IF(impvol_order&gt;3,OFFSET(ENAVolCoef,4,impvol_order-2)*E91^4,0)+IF(impvol_order&gt;4,OFFSET(ENAVolCoef,5,impvol_order-2)*E91^5,0)</f>
        <v>0.503284226895377</v>
      </c>
      <c r="AY91" s="87" t="n">
        <f aca="true">OFFSET(ENAVolCoef,0,impvol_order-2)+OFFSET(ENAVolCoef,1,impvol_order-2)*F91+OFFSET(ENAVolCoef,2,impvol_order-2)*F91^2+IF(impvol_order&gt;2,OFFSET(ENAVolCoef,3,impvol_order-2)*F91^3,0)+IF(impvol_order&gt;3,OFFSET(ENAVolCoef,4,impvol_order-2)*F91^4,0)+IF(impvol_order&gt;4,OFFSET(ENAVolCoef,5,impvol_order-2)*F91^5,0)</f>
        <v>0.503335141360611</v>
      </c>
      <c r="AZ91" s="87" t="n">
        <f aca="true">OFFSET(ENAVolCoef,0,impvol_order-2)+OFFSET(ENAVolCoef,1,impvol_order-2)*G91+OFFSET(ENAVolCoef,2,impvol_order-2)*G91^2+IF(impvol_order&gt;2,OFFSET(ENAVolCoef,3,impvol_order-2)*G91^3,0)+IF(impvol_order&gt;3,OFFSET(ENAVolCoef,4,impvol_order-2)*G91^4,0)+IF(impvol_order&gt;4,OFFSET(ENAVolCoef,5,impvol_order-2)*G91^5,0)</f>
        <v>0.503233384424693</v>
      </c>
      <c r="BB91" s="48" t="e">
        <f aca="false">EURO(UnderlyingPrice,$D91,IntRate,Yield,AX91,$D$6,1,0)</f>
        <v>#NAME?</v>
      </c>
      <c r="BC91" s="48" t="e">
        <f aca="false">EURO(UnderlyingPrice,$D91*(1+$P$8),IntRate,Yield,AY91,$D$6,1,0)</f>
        <v>#NAME?</v>
      </c>
      <c r="BD91" s="48" t="e">
        <f aca="false">EURO(UnderlyingPrice,$D91*(1-$P$8),IntRate,Yield,AZ91,$D$6,1,0)</f>
        <v>#NAME?</v>
      </c>
      <c r="BF91" s="80" t="e">
        <f aca="false">(BC91+BD91-2*BB91)/($P$8*$D91)^2</f>
        <v>#NAME?</v>
      </c>
      <c r="BG91" s="48" t="e">
        <f aca="false">+BF91/$D$9</f>
        <v>#NAME?</v>
      </c>
      <c r="BI91" s="79" t="e">
        <f aca="false">+BB91-L91</f>
        <v>#NAME?</v>
      </c>
      <c r="BJ91" s="65" t="e">
        <f aca="false">+BI91/BB91</f>
        <v>#NAME?</v>
      </c>
    </row>
    <row r="92" customFormat="false" ht="11.25" hidden="false" customHeight="false" outlineLevel="0" collapsed="false">
      <c r="C92" s="77" t="n">
        <v>79</v>
      </c>
      <c r="D92" s="78" t="n">
        <f aca="true">D91+(ROUNDUP(MAX(StrikeRange),1)-ROUNDDOWN(MIN(StrikeRange),1))/100</f>
        <v>5.76500000000001</v>
      </c>
      <c r="E92" s="64" t="n">
        <f aca="false">+D92/UnderlyingPrice-1</f>
        <v>0.189886480908155</v>
      </c>
      <c r="F92" s="64" t="n">
        <f aca="false">+D92*(1+$P$8)/UnderlyingPrice-1</f>
        <v>0.190481424148609</v>
      </c>
      <c r="G92" s="64" t="n">
        <f aca="false">+D92*(1-$P$8)/UnderlyingPrice-1</f>
        <v>0.189291537667701</v>
      </c>
      <c r="H92" s="64" t="n">
        <f aca="true">OFFSET(VolSkewCoef,0,impvol_order-2)+OFFSET(VolSkewCoef,1,impvol_order-2)*F92+OFFSET(VolSkewCoef,2,impvol_order-2)*F92^2+IF(impvol_order&gt;2,OFFSET(VolSkewCoef,3,impvol_order-2)*F92^3,0)+IF(impvol_order&gt;3,OFFSET(VolSkewCoef,4,impvol_order-2)*F92^4,0)+IF(impvol_order&gt;4,OFFSET(VolSkewCoef,5,impvol_order-2)*F92^5,0)</f>
        <v>0.53303253611591</v>
      </c>
      <c r="I92" s="64" t="n">
        <f aca="true">OFFSET(VolSkewCoef,0,impvol_order-2)+OFFSET(VolSkewCoef,1,impvol_order-2)*E92+OFFSET(VolSkewCoef,2,impvol_order-2)*E92^2+IF(impvol_order&gt;2,OFFSET(VolSkewCoef,3,impvol_order-2)*E92^3,0)+IF(impvol_order&gt;3,OFFSET(VolSkewCoef,4,impvol_order-2)*E92^4,0)+IF(impvol_order&gt;4,OFFSET(VolSkewCoef,5,impvol_order-2)*E92^5,0)</f>
        <v>0.532969294365595</v>
      </c>
      <c r="J92" s="64" t="n">
        <f aca="true">OFFSET(VolSkewCoef,0,impvol_order-2)+OFFSET(VolSkewCoef,1,impvol_order-2)*G92+OFFSET(VolSkewCoef,2,impvol_order-2)*G92^2+IF(impvol_order&gt;2,OFFSET(VolSkewCoef,3,impvol_order-2)*G92^3,0)+IF(impvol_order&gt;3,OFFSET(VolSkewCoef,4,impvol_order-2)*G92^4,0)+IF(impvol_order&gt;4,OFFSET(VolSkewCoef,5,impvol_order-2)*G92^5,0)</f>
        <v>0.532906121332384</v>
      </c>
      <c r="L92" s="79" t="e">
        <f aca="false">EURO(UnderlyingPrice,$D92,IntRate,Yield,$I92,$D$6,L$12,0)</f>
        <v>#NAME?</v>
      </c>
      <c r="M92" s="79" t="e">
        <f aca="false">EURO(UnderlyingPrice,$D92,IntRate,Yield,$I92,$D$6,M$12,0)</f>
        <v>#NAME?</v>
      </c>
      <c r="O92" s="79" t="e">
        <f aca="false">EURO(UnderlyingPrice,$D92*(1+$P$8),IntRate,Yield,$H92,Expiry-Today,O$12,0)</f>
        <v>#NAME?</v>
      </c>
      <c r="P92" s="79" t="e">
        <f aca="false">EURO(UnderlyingPrice,$D92*(1+$P$8),IntRate,Yield,$H92,Expiry-Today,P$12,0)</f>
        <v>#NAME?</v>
      </c>
      <c r="R92" s="79" t="e">
        <f aca="false">EURO(UnderlyingPrice,$D92*(1-$P$8),IntRate,Yield,$J92,Expiry-Today,R$12,0)</f>
        <v>#NAME?</v>
      </c>
      <c r="S92" s="79" t="e">
        <f aca="false">EURO(UnderlyingPrice,$D92*(1-$P$8),IntRate,Yield,$J92,Expiry-Today,S$12,0)</f>
        <v>#NAME?</v>
      </c>
      <c r="U92" s="80" t="e">
        <f aca="false">(O92+R92-2*L92)/($P$8*D92)^2</f>
        <v>#NAME?</v>
      </c>
      <c r="V92" s="80"/>
      <c r="W92" s="81" t="e">
        <f aca="false">U92/$D$9</f>
        <v>#NAME?</v>
      </c>
      <c r="Z92" s="80" t="n">
        <f aca="false">(1/(D92*SQRT(2*PI()*T/365.25*ATMImpVol^2)))</f>
        <v>0.211004566421072</v>
      </c>
      <c r="AA92" s="80" t="n">
        <f aca="false">LN(D92/UnderlyingPrice)+0.5*T/365.25*ATMImpVol^2</f>
        <v>0.227636299390733</v>
      </c>
      <c r="AB92" s="80" t="n">
        <f aca="false">-(AA92^2)</f>
        <v>-0.0518182848003073</v>
      </c>
      <c r="AC92" s="80" t="n">
        <f aca="false">AB92/(2*T/365.25*ATMImpVol^2)</f>
        <v>-0.240888039902136</v>
      </c>
      <c r="AD92" s="82" t="n">
        <f aca="false">EXP(AC92)</f>
        <v>0.785929614219213</v>
      </c>
      <c r="AE92" s="82" t="n">
        <f aca="false">AD92*Z92</f>
        <v>0.165834737485805</v>
      </c>
      <c r="AF92" s="82"/>
      <c r="AG92" s="83" t="n">
        <f aca="false">(LN($D92/UnderlyingPrice)+0.5*ATMImpVol^2*(T/365.25))/(ATMImpVol*SQRT(T/365.25))</f>
        <v>0.694100914712171</v>
      </c>
      <c r="AH92" s="83" t="n">
        <f aca="false">(LN(($D92*(1+$P$8))/UnderlyingPrice)+0.5*ATMImpVol^2*(T/365.25))/(ATMImpVol*SQRT(T/365.25))</f>
        <v>0.695625116803755</v>
      </c>
      <c r="AI92" s="83" t="n">
        <f aca="false">(LN($D92*(1-$P$8)/UnderlyingPrice)+0.5*ATMImpVol^2*(T/365.25))/(ATMImpVol*SQRT(T/365.25))</f>
        <v>0.692575950328936</v>
      </c>
      <c r="AJ92" s="81"/>
      <c r="AK92" s="83" t="e">
        <f aca="false">W92/(AH92-AI92)*(D92*2*$P$8)</f>
        <v>#NAME?</v>
      </c>
      <c r="AL92" s="83"/>
      <c r="AM92" s="84"/>
      <c r="AN92" s="85"/>
      <c r="AX92" s="87" t="n">
        <f aca="true">OFFSET(ENAVolCoef,0,impvol_order-2)+OFFSET(ENAVolCoef,1,impvol_order-2)*E92+OFFSET(ENAVolCoef,2,impvol_order-2)*E92^2+IF(impvol_order&gt;2,OFFSET(ENAVolCoef,3,impvol_order-2)*E92^3,0)+IF(impvol_order&gt;3,OFFSET(ENAVolCoef,4,impvol_order-2)*E92^4,0)+IF(impvol_order&gt;4,OFFSET(ENAVolCoef,5,impvol_order-2)*E92^5,0)</f>
        <v>0.503911112570079</v>
      </c>
      <c r="AY92" s="87" t="n">
        <f aca="true">OFFSET(ENAVolCoef,0,impvol_order-2)+OFFSET(ENAVolCoef,1,impvol_order-2)*F92+OFFSET(ENAVolCoef,2,impvol_order-2)*F92^2+IF(impvol_order&gt;2,OFFSET(ENAVolCoef,3,impvol_order-2)*F92^3,0)+IF(impvol_order&gt;3,OFFSET(ENAVolCoef,4,impvol_order-2)*F92^4,0)+IF(impvol_order&gt;4,OFFSET(ENAVolCoef,5,impvol_order-2)*F92^5,0)</f>
        <v>0.50396321276229</v>
      </c>
      <c r="AZ92" s="87" t="n">
        <f aca="true">OFFSET(ENAVolCoef,0,impvol_order-2)+OFFSET(ENAVolCoef,1,impvol_order-2)*G92+OFFSET(ENAVolCoef,2,impvol_order-2)*G92^2+IF(impvol_order&gt;2,OFFSET(ENAVolCoef,3,impvol_order-2)*G92^3,0)+IF(impvol_order&gt;3,OFFSET(ENAVolCoef,4,impvol_order-2)*G92^4,0)+IF(impvol_order&gt;4,OFFSET(ENAVolCoef,5,impvol_order-2)*G92^5,0)</f>
        <v>0.503859083675485</v>
      </c>
      <c r="BB92" s="48" t="e">
        <f aca="false">EURO(UnderlyingPrice,$D92,IntRate,Yield,AX92,$D$6,1,0)</f>
        <v>#NAME?</v>
      </c>
      <c r="BC92" s="48" t="e">
        <f aca="false">EURO(UnderlyingPrice,$D92*(1+$P$8),IntRate,Yield,AY92,$D$6,1,0)</f>
        <v>#NAME?</v>
      </c>
      <c r="BD92" s="48" t="e">
        <f aca="false">EURO(UnderlyingPrice,$D92*(1-$P$8),IntRate,Yield,AZ92,$D$6,1,0)</f>
        <v>#NAME?</v>
      </c>
      <c r="BF92" s="80" t="e">
        <f aca="false">(BC92+BD92-2*BB92)/($P$8*$D92)^2</f>
        <v>#NAME?</v>
      </c>
      <c r="BG92" s="48" t="e">
        <f aca="false">+BF92/$D$9</f>
        <v>#NAME?</v>
      </c>
      <c r="BI92" s="79" t="e">
        <f aca="false">+BB92-L92</f>
        <v>#NAME?</v>
      </c>
      <c r="BJ92" s="65" t="e">
        <f aca="false">+BI92/BB92</f>
        <v>#NAME?</v>
      </c>
    </row>
    <row r="93" customFormat="false" ht="11.25" hidden="false" customHeight="false" outlineLevel="0" collapsed="false">
      <c r="C93" s="77" t="n">
        <v>80</v>
      </c>
      <c r="D93" s="78" t="n">
        <f aca="true">D92+(ROUNDUP(MAX(StrikeRange),1)-ROUNDDOWN(MIN(StrikeRange),1))/100</f>
        <v>5.80000000000001</v>
      </c>
      <c r="E93" s="64" t="n">
        <f aca="false">+D93/UnderlyingPrice-1</f>
        <v>0.197110423116617</v>
      </c>
      <c r="F93" s="64" t="n">
        <f aca="false">+D93*(1+$P$8)/UnderlyingPrice-1</f>
        <v>0.197708978328176</v>
      </c>
      <c r="G93" s="64" t="n">
        <f aca="false">+D93*(1-$P$8)/UnderlyingPrice-1</f>
        <v>0.196511867905059</v>
      </c>
      <c r="H93" s="64" t="n">
        <f aca="true">OFFSET(VolSkewCoef,0,impvol_order-2)+OFFSET(VolSkewCoef,1,impvol_order-2)*F93+OFFSET(VolSkewCoef,2,impvol_order-2)*F93^2+IF(impvol_order&gt;2,OFFSET(VolSkewCoef,3,impvol_order-2)*F93^3,0)+IF(impvol_order&gt;3,OFFSET(VolSkewCoef,4,impvol_order-2)*F93^4,0)+IF(impvol_order&gt;4,OFFSET(VolSkewCoef,5,impvol_order-2)*F93^5,0)</f>
        <v>0.533806224265222</v>
      </c>
      <c r="I93" s="64" t="n">
        <f aca="true">OFFSET(VolSkewCoef,0,impvol_order-2)+OFFSET(VolSkewCoef,1,impvol_order-2)*E93+OFFSET(VolSkewCoef,2,impvol_order-2)*E93^2+IF(impvol_order&gt;2,OFFSET(VolSkewCoef,3,impvol_order-2)*E93^3,0)+IF(impvol_order&gt;3,OFFSET(VolSkewCoef,4,impvol_order-2)*E93^4,0)+IF(impvol_order&gt;4,OFFSET(VolSkewCoef,5,impvol_order-2)*E93^5,0)</f>
        <v>0.533741776021431</v>
      </c>
      <c r="J93" s="64" t="n">
        <f aca="true">OFFSET(VolSkewCoef,0,impvol_order-2)+OFFSET(VolSkewCoef,1,impvol_order-2)*G93+OFFSET(VolSkewCoef,2,impvol_order-2)*G93^2+IF(impvol_order&gt;2,OFFSET(VolSkewCoef,3,impvol_order-2)*G93^3,0)+IF(impvol_order&gt;3,OFFSET(VolSkewCoef,4,impvol_order-2)*G93^4,0)+IF(impvol_order&gt;4,OFFSET(VolSkewCoef,5,impvol_order-2)*G93^5,0)</f>
        <v>0.533677394713369</v>
      </c>
      <c r="L93" s="79" t="e">
        <f aca="false">EURO(UnderlyingPrice,$D93,IntRate,Yield,$I93,$D$6,L$12,0)</f>
        <v>#NAME?</v>
      </c>
      <c r="M93" s="79" t="e">
        <f aca="false">EURO(UnderlyingPrice,$D93,IntRate,Yield,$I93,$D$6,M$12,0)</f>
        <v>#NAME?</v>
      </c>
      <c r="O93" s="79" t="e">
        <f aca="false">EURO(UnderlyingPrice,$D93*(1+$P$8),IntRate,Yield,$H93,Expiry-Today,O$12,0)</f>
        <v>#NAME?</v>
      </c>
      <c r="P93" s="79" t="e">
        <f aca="false">EURO(UnderlyingPrice,$D93*(1+$P$8),IntRate,Yield,$H93,Expiry-Today,P$12,0)</f>
        <v>#NAME?</v>
      </c>
      <c r="R93" s="79" t="e">
        <f aca="false">EURO(UnderlyingPrice,$D93*(1-$P$8),IntRate,Yield,$J93,Expiry-Today,R$12,0)</f>
        <v>#NAME?</v>
      </c>
      <c r="S93" s="79" t="e">
        <f aca="false">EURO(UnderlyingPrice,$D93*(1-$P$8),IntRate,Yield,$J93,Expiry-Today,S$12,0)</f>
        <v>#NAME?</v>
      </c>
      <c r="U93" s="80" t="e">
        <f aca="false">(O93+R93-2*L93)/($P$8*D93)^2</f>
        <v>#NAME?</v>
      </c>
      <c r="V93" s="80"/>
      <c r="W93" s="81" t="e">
        <f aca="false">U93/$D$9</f>
        <v>#NAME?</v>
      </c>
      <c r="Z93" s="80" t="n">
        <f aca="false">(1/(D93*SQRT(2*PI()*T/365.25*ATMImpVol^2)))</f>
        <v>0.209731263003014</v>
      </c>
      <c r="AA93" s="80" t="n">
        <f aca="false">LN(D93/UnderlyingPrice)+0.5*T/365.25*ATMImpVol^2</f>
        <v>0.233689063222084</v>
      </c>
      <c r="AB93" s="80" t="n">
        <f aca="false">-(AA93^2)</f>
        <v>-0.0546105782696152</v>
      </c>
      <c r="AC93" s="80" t="n">
        <f aca="false">AB93/(2*T/365.25*ATMImpVol^2)</f>
        <v>-0.253868594994711</v>
      </c>
      <c r="AD93" s="82" t="n">
        <f aca="false">EXP(AC93)</f>
        <v>0.775793738529162</v>
      </c>
      <c r="AE93" s="82" t="n">
        <f aca="false">AD93*Z93</f>
        <v>0.162708200611551</v>
      </c>
      <c r="AF93" s="82"/>
      <c r="AG93" s="83" t="n">
        <f aca="false">(LN($D93/UnderlyingPrice)+0.5*ATMImpVol^2*(T/365.25))/(ATMImpVol*SQRT(T/365.25))</f>
        <v>0.712556797728729</v>
      </c>
      <c r="AH93" s="83" t="n">
        <f aca="false">(LN(($D93*(1+$P$8))/UnderlyingPrice)+0.5*ATMImpVol^2*(T/365.25))/(ATMImpVol*SQRT(T/365.25))</f>
        <v>0.714080999820313</v>
      </c>
      <c r="AI93" s="83" t="n">
        <f aca="false">(LN($D93*(1-$P$8)/UnderlyingPrice)+0.5*ATMImpVol^2*(T/365.25))/(ATMImpVol*SQRT(T/365.25))</f>
        <v>0.711031833345495</v>
      </c>
      <c r="AJ93" s="81"/>
      <c r="AK93" s="83" t="e">
        <f aca="false">W93/(AH93-AI93)*(D93*2*$P$8)</f>
        <v>#NAME?</v>
      </c>
      <c r="AL93" s="83"/>
      <c r="AM93" s="84"/>
      <c r="AN93" s="85"/>
      <c r="AX93" s="87" t="n">
        <f aca="true">OFFSET(ENAVolCoef,0,impvol_order-2)+OFFSET(ENAVolCoef,1,impvol_order-2)*E93+OFFSET(ENAVolCoef,2,impvol_order-2)*E93^2+IF(impvol_order&gt;2,OFFSET(ENAVolCoef,3,impvol_order-2)*E93^3,0)+IF(impvol_order&gt;3,OFFSET(ENAVolCoef,4,impvol_order-2)*E93^4,0)+IF(impvol_order&gt;4,OFFSET(ENAVolCoef,5,impvol_order-2)*E93^5,0)</f>
        <v>0.504548509933177</v>
      </c>
      <c r="AY93" s="87" t="n">
        <f aca="true">OFFSET(ENAVolCoef,0,impvol_order-2)+OFFSET(ENAVolCoef,1,impvol_order-2)*F93+OFFSET(ENAVolCoef,2,impvol_order-2)*F93^2+IF(impvol_order&gt;2,OFFSET(ENAVolCoef,3,impvol_order-2)*F93^3,0)+IF(impvol_order&gt;3,OFFSET(ENAVolCoef,4,impvol_order-2)*F93^4,0)+IF(impvol_order&gt;4,OFFSET(ENAVolCoef,5,impvol_order-2)*F93^5,0)</f>
        <v>0.504601787173302</v>
      </c>
      <c r="AZ93" s="87" t="n">
        <f aca="true">OFFSET(ENAVolCoef,0,impvol_order-2)+OFFSET(ENAVolCoef,1,impvol_order-2)*G93+OFFSET(ENAVolCoef,2,impvol_order-2)*G93^2+IF(impvol_order&gt;2,OFFSET(ENAVolCoef,3,impvol_order-2)*G93^3,0)+IF(impvol_order&gt;3,OFFSET(ENAVolCoef,4,impvol_order-2)*G93^4,0)+IF(impvol_order&gt;4,OFFSET(ENAVolCoef,5,impvol_order-2)*G93^5,0)</f>
        <v>0.504495303260645</v>
      </c>
      <c r="BB93" s="48" t="e">
        <f aca="false">EURO(UnderlyingPrice,$D93,IntRate,Yield,AX93,$D$6,1,0)</f>
        <v>#NAME?</v>
      </c>
      <c r="BC93" s="48" t="e">
        <f aca="false">EURO(UnderlyingPrice,$D93*(1+$P$8),IntRate,Yield,AY93,$D$6,1,0)</f>
        <v>#NAME?</v>
      </c>
      <c r="BD93" s="48" t="e">
        <f aca="false">EURO(UnderlyingPrice,$D93*(1-$P$8),IntRate,Yield,AZ93,$D$6,1,0)</f>
        <v>#NAME?</v>
      </c>
      <c r="BF93" s="80" t="e">
        <f aca="false">(BC93+BD93-2*BB93)/($P$8*$D93)^2</f>
        <v>#NAME?</v>
      </c>
      <c r="BG93" s="48" t="e">
        <f aca="false">+BF93/$D$9</f>
        <v>#NAME?</v>
      </c>
      <c r="BI93" s="79" t="e">
        <f aca="false">+BB93-L93</f>
        <v>#NAME?</v>
      </c>
      <c r="BJ93" s="65" t="e">
        <f aca="false">+BI93/BB93</f>
        <v>#NAME?</v>
      </c>
    </row>
    <row r="94" customFormat="false" ht="11.25" hidden="false" customHeight="false" outlineLevel="0" collapsed="false">
      <c r="C94" s="77" t="n">
        <v>81</v>
      </c>
      <c r="D94" s="78" t="n">
        <f aca="true">D93+(ROUNDUP(MAX(StrikeRange),1)-ROUNDDOWN(MIN(StrikeRange),1))/100</f>
        <v>5.83500000000001</v>
      </c>
      <c r="E94" s="64" t="n">
        <f aca="false">+D94/UnderlyingPrice-1</f>
        <v>0.20433436532508</v>
      </c>
      <c r="F94" s="64" t="n">
        <f aca="false">+D94*(1+$P$8)/UnderlyingPrice-1</f>
        <v>0.204936532507742</v>
      </c>
      <c r="G94" s="64" t="n">
        <f aca="false">+D94*(1-$P$8)/UnderlyingPrice-1</f>
        <v>0.203732198142417</v>
      </c>
      <c r="H94" s="64" t="n">
        <f aca="true">OFFSET(VolSkewCoef,0,impvol_order-2)+OFFSET(VolSkewCoef,1,impvol_order-2)*F94+OFFSET(VolSkewCoef,2,impvol_order-2)*F94^2+IF(impvol_order&gt;2,OFFSET(VolSkewCoef,3,impvol_order-2)*F94^3,0)+IF(impvol_order&gt;3,OFFSET(VolSkewCoef,4,impvol_order-2)*F94^4,0)+IF(impvol_order&gt;4,OFFSET(VolSkewCoef,5,impvol_order-2)*F94^5,0)</f>
        <v>0.534589640388707</v>
      </c>
      <c r="I94" s="64" t="n">
        <f aca="true">OFFSET(VolSkewCoef,0,impvol_order-2)+OFFSET(VolSkewCoef,1,impvol_order-2)*E94+OFFSET(VolSkewCoef,2,impvol_order-2)*E94^2+IF(impvol_order&gt;2,OFFSET(VolSkewCoef,3,impvol_order-2)*E94^3,0)+IF(impvol_order&gt;3,OFFSET(VolSkewCoef,4,impvol_order-2)*E94^4,0)+IF(impvol_order&gt;4,OFFSET(VolSkewCoef,5,impvol_order-2)*E94^5,0)</f>
        <v>0.534524007530773</v>
      </c>
      <c r="J94" s="64" t="n">
        <f aca="true">OFFSET(VolSkewCoef,0,impvol_order-2)+OFFSET(VolSkewCoef,1,impvol_order-2)*G94+OFFSET(VolSkewCoef,2,impvol_order-2)*G94^2+IF(impvol_order&gt;2,OFFSET(VolSkewCoef,3,impvol_order-2)*G94^3,0)+IF(impvol_order&gt;3,OFFSET(VolSkewCoef,4,impvol_order-2)*G94^4,0)+IF(impvol_order&gt;4,OFFSET(VolSkewCoef,5,impvol_order-2)*G94^5,0)</f>
        <v>0.534458439768869</v>
      </c>
      <c r="L94" s="79" t="e">
        <f aca="false">EURO(UnderlyingPrice,$D94,IntRate,Yield,$I94,$D$6,L$12,0)</f>
        <v>#NAME?</v>
      </c>
      <c r="M94" s="79" t="e">
        <f aca="false">EURO(UnderlyingPrice,$D94,IntRate,Yield,$I94,$D$6,M$12,0)</f>
        <v>#NAME?</v>
      </c>
      <c r="O94" s="79" t="e">
        <f aca="false">EURO(UnderlyingPrice,$D94*(1+$P$8),IntRate,Yield,$H94,Expiry-Today,O$12,0)</f>
        <v>#NAME?</v>
      </c>
      <c r="P94" s="79" t="e">
        <f aca="false">EURO(UnderlyingPrice,$D94*(1+$P$8),IntRate,Yield,$H94,Expiry-Today,P$12,0)</f>
        <v>#NAME?</v>
      </c>
      <c r="R94" s="79" t="e">
        <f aca="false">EURO(UnderlyingPrice,$D94*(1-$P$8),IntRate,Yield,$J94,Expiry-Today,R$12,0)</f>
        <v>#NAME?</v>
      </c>
      <c r="S94" s="79" t="e">
        <f aca="false">EURO(UnderlyingPrice,$D94*(1-$P$8),IntRate,Yield,$J94,Expiry-Today,S$12,0)</f>
        <v>#NAME?</v>
      </c>
      <c r="U94" s="80" t="e">
        <f aca="false">(O94+R94-2*L94)/($P$8*D94)^2</f>
        <v>#NAME?</v>
      </c>
      <c r="V94" s="80"/>
      <c r="W94" s="81" t="e">
        <f aca="false">U94/$D$9</f>
        <v>#NAME?</v>
      </c>
      <c r="Z94" s="80" t="n">
        <f aca="false">(1/(D94*SQRT(2*PI()*T/365.25*ATMImpVol^2)))</f>
        <v>0.208473234861607</v>
      </c>
      <c r="AA94" s="80" t="n">
        <f aca="false">LN(D94/UnderlyingPrice)+0.5*T/365.25*ATMImpVol^2</f>
        <v>0.23970541140823</v>
      </c>
      <c r="AB94" s="80" t="n">
        <f aca="false">-(AA94^2)</f>
        <v>-0.0574586842583887</v>
      </c>
      <c r="AC94" s="80" t="n">
        <f aca="false">AB94/(2*T/365.25*ATMImpVol^2)</f>
        <v>-0.267108606155117</v>
      </c>
      <c r="AD94" s="82" t="n">
        <f aca="false">EXP(AC94)</f>
        <v>0.765589919172513</v>
      </c>
      <c r="AE94" s="82" t="n">
        <f aca="false">AD94*Z94</f>
        <v>0.15960500702733</v>
      </c>
      <c r="AF94" s="82"/>
      <c r="AG94" s="83" t="n">
        <f aca="false">(LN($D94/UnderlyingPrice)+0.5*ATMImpVol^2*(T/365.25))/(ATMImpVol*SQRT(T/365.25))</f>
        <v>0.730901643390021</v>
      </c>
      <c r="AH94" s="83" t="n">
        <f aca="false">(LN(($D94*(1+$P$8))/UnderlyingPrice)+0.5*ATMImpVol^2*(T/365.25))/(ATMImpVol*SQRT(T/365.25))</f>
        <v>0.732425845481605</v>
      </c>
      <c r="AI94" s="83" t="n">
        <f aca="false">(LN($D94*(1-$P$8)/UnderlyingPrice)+0.5*ATMImpVol^2*(T/365.25))/(ATMImpVol*SQRT(T/365.25))</f>
        <v>0.729376679006787</v>
      </c>
      <c r="AJ94" s="81"/>
      <c r="AK94" s="83" t="e">
        <f aca="false">W94/(AH94-AI94)*(D94*2*$P$8)</f>
        <v>#NAME?</v>
      </c>
      <c r="AL94" s="83"/>
      <c r="AM94" s="84"/>
      <c r="AN94" s="85"/>
      <c r="AX94" s="87" t="n">
        <f aca="true">OFFSET(ENAVolCoef,0,impvol_order-2)+OFFSET(ENAVolCoef,1,impvol_order-2)*E94+OFFSET(ENAVolCoef,2,impvol_order-2)*E94^2+IF(impvol_order&gt;2,OFFSET(ENAVolCoef,3,impvol_order-2)*E94^3,0)+IF(impvol_order&gt;3,OFFSET(ENAVolCoef,4,impvol_order-2)*E94^4,0)+IF(impvol_order&gt;4,OFFSET(ENAVolCoef,5,impvol_order-2)*E94^5,0)</f>
        <v>0.505196186166963</v>
      </c>
      <c r="AY94" s="87" t="n">
        <f aca="true">OFFSET(ENAVolCoef,0,impvol_order-2)+OFFSET(ENAVolCoef,1,impvol_order-2)*F94+OFFSET(ENAVolCoef,2,impvol_order-2)*F94^2+IF(impvol_order&gt;2,OFFSET(ENAVolCoef,3,impvol_order-2)*F94^3,0)+IF(impvol_order&gt;3,OFFSET(ENAVolCoef,4,impvol_order-2)*F94^4,0)+IF(impvol_order&gt;4,OFFSET(ENAVolCoef,5,impvol_order-2)*F94^5,0)</f>
        <v>0.505250631426536</v>
      </c>
      <c r="AZ94" s="87" t="n">
        <f aca="true">OFFSET(ENAVolCoef,0,impvol_order-2)+OFFSET(ENAVolCoef,1,impvol_order-2)*G94+OFFSET(ENAVolCoef,2,impvol_order-2)*G94^2+IF(impvol_order&gt;2,OFFSET(ENAVolCoef,3,impvol_order-2)*G94^3,0)+IF(impvol_order&gt;3,OFFSET(ENAVolCoef,4,impvol_order-2)*G94^4,0)+IF(impvol_order&gt;4,OFFSET(ENAVolCoef,5,impvol_order-2)*G94^5,0)</f>
        <v>0.505141810711516</v>
      </c>
      <c r="BB94" s="48" t="e">
        <f aca="false">EURO(UnderlyingPrice,$D94,IntRate,Yield,AX94,$D$6,1,0)</f>
        <v>#NAME?</v>
      </c>
      <c r="BC94" s="48" t="e">
        <f aca="false">EURO(UnderlyingPrice,$D94*(1+$P$8),IntRate,Yield,AY94,$D$6,1,0)</f>
        <v>#NAME?</v>
      </c>
      <c r="BD94" s="48" t="e">
        <f aca="false">EURO(UnderlyingPrice,$D94*(1-$P$8),IntRate,Yield,AZ94,$D$6,1,0)</f>
        <v>#NAME?</v>
      </c>
      <c r="BF94" s="80" t="e">
        <f aca="false">(BC94+BD94-2*BB94)/($P$8*$D94)^2</f>
        <v>#NAME?</v>
      </c>
      <c r="BG94" s="48" t="e">
        <f aca="false">+BF94/$D$9</f>
        <v>#NAME?</v>
      </c>
      <c r="BI94" s="79" t="e">
        <f aca="false">+BB94-L94</f>
        <v>#NAME?</v>
      </c>
      <c r="BJ94" s="65" t="e">
        <f aca="false">+BI94/BB94</f>
        <v>#NAME?</v>
      </c>
    </row>
    <row r="95" customFormat="false" ht="11.25" hidden="false" customHeight="false" outlineLevel="0" collapsed="false">
      <c r="C95" s="77" t="n">
        <v>82</v>
      </c>
      <c r="D95" s="78" t="n">
        <f aca="true">D94+(ROUNDUP(MAX(StrikeRange),1)-ROUNDDOWN(MIN(StrikeRange),1))/100</f>
        <v>5.87000000000001</v>
      </c>
      <c r="E95" s="64" t="n">
        <f aca="false">+D95/UnderlyingPrice-1</f>
        <v>0.211558307533542</v>
      </c>
      <c r="F95" s="64" t="n">
        <f aca="false">+D95*(1+$P$8)/UnderlyingPrice-1</f>
        <v>0.212164086687309</v>
      </c>
      <c r="G95" s="64" t="n">
        <f aca="false">+D95*(1-$P$8)/UnderlyingPrice-1</f>
        <v>0.210952528379776</v>
      </c>
      <c r="H95" s="64" t="n">
        <f aca="true">OFFSET(VolSkewCoef,0,impvol_order-2)+OFFSET(VolSkewCoef,1,impvol_order-2)*F95+OFFSET(VolSkewCoef,2,impvol_order-2)*F95^2+IF(impvol_order&gt;2,OFFSET(VolSkewCoef,3,impvol_order-2)*F95^3,0)+IF(impvol_order&gt;3,OFFSET(VolSkewCoef,4,impvol_order-2)*F95^4,0)+IF(impvol_order&gt;4,OFFSET(VolSkewCoef,5,impvol_order-2)*F95^5,0)</f>
        <v>0.535382402534488</v>
      </c>
      <c r="I95" s="64" t="n">
        <f aca="true">OFFSET(VolSkewCoef,0,impvol_order-2)+OFFSET(VolSkewCoef,1,impvol_order-2)*E95+OFFSET(VolSkewCoef,2,impvol_order-2)*E95^2+IF(impvol_order&gt;2,OFFSET(VolSkewCoef,3,impvol_order-2)*E95^3,0)+IF(impvol_order&gt;3,OFFSET(VolSkewCoef,4,impvol_order-2)*E95^4,0)+IF(impvol_order&gt;4,OFFSET(VolSkewCoef,5,impvol_order-2)*E95^5,0)</f>
        <v>0.535315607514102</v>
      </c>
      <c r="J95" s="64" t="n">
        <f aca="true">OFFSET(VolSkewCoef,0,impvol_order-2)+OFFSET(VolSkewCoef,1,impvol_order-2)*G95+OFFSET(VolSkewCoef,2,impvol_order-2)*G95^2+IF(impvol_order&gt;2,OFFSET(VolSkewCoef,3,impvol_order-2)*G95^3,0)+IF(impvol_order&gt;3,OFFSET(VolSkewCoef,4,impvol_order-2)*G95^4,0)+IF(impvol_order&gt;4,OFFSET(VolSkewCoef,5,impvol_order-2)*G95^5,0)</f>
        <v>0.535248875691147</v>
      </c>
      <c r="L95" s="79" t="e">
        <f aca="false">EURO(UnderlyingPrice,$D95,IntRate,Yield,$I95,$D$6,L$12,0)</f>
        <v>#NAME?</v>
      </c>
      <c r="M95" s="79" t="e">
        <f aca="false">EURO(UnderlyingPrice,$D95,IntRate,Yield,$I95,$D$6,M$12,0)</f>
        <v>#NAME?</v>
      </c>
      <c r="O95" s="79" t="e">
        <f aca="false">EURO(UnderlyingPrice,$D95*(1+$P$8),IntRate,Yield,$H95,Expiry-Today,O$12,0)</f>
        <v>#NAME?</v>
      </c>
      <c r="P95" s="79" t="e">
        <f aca="false">EURO(UnderlyingPrice,$D95*(1+$P$8),IntRate,Yield,$H95,Expiry-Today,P$12,0)</f>
        <v>#NAME?</v>
      </c>
      <c r="R95" s="79" t="e">
        <f aca="false">EURO(UnderlyingPrice,$D95*(1-$P$8),IntRate,Yield,$J95,Expiry-Today,R$12,0)</f>
        <v>#NAME?</v>
      </c>
      <c r="S95" s="79" t="e">
        <f aca="false">EURO(UnderlyingPrice,$D95*(1-$P$8),IntRate,Yield,$J95,Expiry-Today,S$12,0)</f>
        <v>#NAME?</v>
      </c>
      <c r="U95" s="80" t="e">
        <f aca="false">(O95+R95-2*L95)/($P$8*D95)^2</f>
        <v>#NAME?</v>
      </c>
      <c r="V95" s="80"/>
      <c r="W95" s="81" t="e">
        <f aca="false">U95/$D$9</f>
        <v>#NAME?</v>
      </c>
      <c r="Z95" s="80" t="n">
        <f aca="false">(1/(D95*SQRT(2*PI()*T/365.25*ATMImpVol^2)))</f>
        <v>0.207230208759366</v>
      </c>
      <c r="AA95" s="80" t="n">
        <f aca="false">LN(D95/UnderlyingPrice)+0.5*T/365.25*ATMImpVol^2</f>
        <v>0.245685779509715</v>
      </c>
      <c r="AB95" s="80" t="n">
        <f aca="false">-(AA95^2)</f>
        <v>-0.0603615022532965</v>
      </c>
      <c r="AC95" s="80" t="n">
        <f aca="false">AB95/(2*T/365.25*ATMImpVol^2)</f>
        <v>-0.280602957418975</v>
      </c>
      <c r="AD95" s="82" t="n">
        <f aca="false">EXP(AC95)</f>
        <v>0.755328173399546</v>
      </c>
      <c r="AE95" s="82" t="n">
        <f aca="false">AD95*Z95</f>
        <v>0.156526815055419</v>
      </c>
      <c r="AF95" s="82"/>
      <c r="AG95" s="83" t="n">
        <f aca="false">(LN($D95/UnderlyingPrice)+0.5*ATMImpVol^2*(T/365.25))/(ATMImpVol*SQRT(T/365.25))</f>
        <v>0.749136779792549</v>
      </c>
      <c r="AH95" s="83" t="n">
        <f aca="false">(LN(($D95*(1+$P$8))/UnderlyingPrice)+0.5*ATMImpVol^2*(T/365.25))/(ATMImpVol*SQRT(T/365.25))</f>
        <v>0.750660981884133</v>
      </c>
      <c r="AI95" s="83" t="n">
        <f aca="false">(LN($D95*(1-$P$8)/UnderlyingPrice)+0.5*ATMImpVol^2*(T/365.25))/(ATMImpVol*SQRT(T/365.25))</f>
        <v>0.747611815409315</v>
      </c>
      <c r="AJ95" s="81"/>
      <c r="AK95" s="83" t="e">
        <f aca="false">W95/(AH95-AI95)*(D95*2*$P$8)</f>
        <v>#NAME?</v>
      </c>
      <c r="AL95" s="83"/>
      <c r="AM95" s="84"/>
      <c r="AN95" s="85"/>
      <c r="AX95" s="87" t="n">
        <f aca="true">OFFSET(ENAVolCoef,0,impvol_order-2)+OFFSET(ENAVolCoef,1,impvol_order-2)*E95+OFFSET(ENAVolCoef,2,impvol_order-2)*E95^2+IF(impvol_order&gt;2,OFFSET(ENAVolCoef,3,impvol_order-2)*E95^3,0)+IF(impvol_order&gt;3,OFFSET(ENAVolCoef,4,impvol_order-2)*E95^4,0)+IF(impvol_order&gt;4,OFFSET(ENAVolCoef,5,impvol_order-2)*E95^5,0)</f>
        <v>0.505853908453727</v>
      </c>
      <c r="AY95" s="87" t="n">
        <f aca="true">OFFSET(ENAVolCoef,0,impvol_order-2)+OFFSET(ENAVolCoef,1,impvol_order-2)*F95+OFFSET(ENAVolCoef,2,impvol_order-2)*F95^2+IF(impvol_order&gt;2,OFFSET(ENAVolCoef,3,impvol_order-2)*F95^3,0)+IF(impvol_order&gt;3,OFFSET(ENAVolCoef,4,impvol_order-2)*F95^4,0)+IF(impvol_order&gt;4,OFFSET(ENAVolCoef,5,impvol_order-2)*F95^5,0)</f>
        <v>0.505909512354882</v>
      </c>
      <c r="AZ95" s="87" t="n">
        <f aca="true">OFFSET(ENAVolCoef,0,impvol_order-2)+OFFSET(ENAVolCoef,1,impvol_order-2)*G95+OFFSET(ENAVolCoef,2,impvol_order-2)*G95^2+IF(impvol_order&gt;2,OFFSET(ENAVolCoef,3,impvol_order-2)*G95^3,0)+IF(impvol_order&gt;3,OFFSET(ENAVolCoef,4,impvol_order-2)*G95^4,0)+IF(impvol_order&gt;4,OFFSET(ENAVolCoef,5,impvol_order-2)*G95^5,0)</f>
        <v>0.505798373559441</v>
      </c>
      <c r="BB95" s="48" t="e">
        <f aca="false">EURO(UnderlyingPrice,$D95,IntRate,Yield,AX95,$D$6,1,0)</f>
        <v>#NAME?</v>
      </c>
      <c r="BC95" s="48" t="e">
        <f aca="false">EURO(UnderlyingPrice,$D95*(1+$P$8),IntRate,Yield,AY95,$D$6,1,0)</f>
        <v>#NAME?</v>
      </c>
      <c r="BD95" s="48" t="e">
        <f aca="false">EURO(UnderlyingPrice,$D95*(1-$P$8),IntRate,Yield,AZ95,$D$6,1,0)</f>
        <v>#NAME?</v>
      </c>
      <c r="BF95" s="80" t="e">
        <f aca="false">(BC95+BD95-2*BB95)/($P$8*$D95)^2</f>
        <v>#NAME?</v>
      </c>
      <c r="BG95" s="48" t="e">
        <f aca="false">+BF95/$D$9</f>
        <v>#NAME?</v>
      </c>
      <c r="BI95" s="79" t="e">
        <f aca="false">+BB95-L95</f>
        <v>#NAME?</v>
      </c>
      <c r="BJ95" s="65" t="e">
        <f aca="false">+BI95/BB95</f>
        <v>#NAME?</v>
      </c>
    </row>
    <row r="96" customFormat="false" ht="11.25" hidden="false" customHeight="false" outlineLevel="0" collapsed="false">
      <c r="C96" s="77" t="n">
        <v>83</v>
      </c>
      <c r="D96" s="78" t="n">
        <f aca="true">D95+(ROUNDUP(MAX(StrikeRange),1)-ROUNDDOWN(MIN(StrikeRange),1))/100</f>
        <v>5.90500000000001</v>
      </c>
      <c r="E96" s="64" t="n">
        <f aca="false">+D96/UnderlyingPrice-1</f>
        <v>0.218782249742005</v>
      </c>
      <c r="F96" s="64" t="n">
        <f aca="false">+D96*(1+$P$8)/UnderlyingPrice-1</f>
        <v>0.219391640866875</v>
      </c>
      <c r="G96" s="64" t="n">
        <f aca="false">+D96*(1-$P$8)/UnderlyingPrice-1</f>
        <v>0.218172858617134</v>
      </c>
      <c r="H96" s="64" t="n">
        <f aca="true">OFFSET(VolSkewCoef,0,impvol_order-2)+OFFSET(VolSkewCoef,1,impvol_order-2)*F96+OFFSET(VolSkewCoef,2,impvol_order-2)*F96^2+IF(impvol_order&gt;2,OFFSET(VolSkewCoef,3,impvol_order-2)*F96^3,0)+IF(impvol_order&gt;3,OFFSET(VolSkewCoef,4,impvol_order-2)*F96^4,0)+IF(impvol_order&gt;4,OFFSET(VolSkewCoef,5,impvol_order-2)*F96^5,0)</f>
        <v>0.536184128750691</v>
      </c>
      <c r="I96" s="64" t="n">
        <f aca="true">OFFSET(VolSkewCoef,0,impvol_order-2)+OFFSET(VolSkewCoef,1,impvol_order-2)*E96+OFFSET(VolSkewCoef,2,impvol_order-2)*E96^2+IF(impvol_order&gt;2,OFFSET(VolSkewCoef,3,impvol_order-2)*E96^3,0)+IF(impvol_order&gt;3,OFFSET(VolSkewCoef,4,impvol_order-2)*E96^4,0)+IF(impvol_order&gt;4,OFFSET(VolSkewCoef,5,impvol_order-2)*E96^5,0)</f>
        <v>0.536116194591897</v>
      </c>
      <c r="J96" s="64" t="n">
        <f aca="true">OFFSET(VolSkewCoef,0,impvol_order-2)+OFFSET(VolSkewCoef,1,impvol_order-2)*G96+OFFSET(VolSkewCoef,2,impvol_order-2)*G96^2+IF(impvol_order&gt;2,OFFSET(VolSkewCoef,3,impvol_order-2)*G96^3,0)+IF(impvol_order&gt;3,OFFSET(VolSkewCoef,4,impvol_order-2)*G96^4,0)+IF(impvol_order&gt;4,OFFSET(VolSkewCoef,5,impvol_order-2)*G96^5,0)</f>
        <v>0.536048321672469</v>
      </c>
      <c r="L96" s="79" t="e">
        <f aca="false">EURO(UnderlyingPrice,$D96,IntRate,Yield,$I96,$D$6,L$12,0)</f>
        <v>#NAME?</v>
      </c>
      <c r="M96" s="79" t="e">
        <f aca="false">EURO(UnderlyingPrice,$D96,IntRate,Yield,$I96,$D$6,M$12,0)</f>
        <v>#NAME?</v>
      </c>
      <c r="O96" s="79" t="e">
        <f aca="false">EURO(UnderlyingPrice,$D96*(1+$P$8),IntRate,Yield,$H96,Expiry-Today,O$12,0)</f>
        <v>#NAME?</v>
      </c>
      <c r="P96" s="79" t="e">
        <f aca="false">EURO(UnderlyingPrice,$D96*(1+$P$8),IntRate,Yield,$H96,Expiry-Today,P$12,0)</f>
        <v>#NAME?</v>
      </c>
      <c r="R96" s="79" t="e">
        <f aca="false">EURO(UnderlyingPrice,$D96*(1-$P$8),IntRate,Yield,$J96,Expiry-Today,R$12,0)</f>
        <v>#NAME?</v>
      </c>
      <c r="S96" s="79" t="e">
        <f aca="false">EURO(UnderlyingPrice,$D96*(1-$P$8),IntRate,Yield,$J96,Expiry-Today,S$12,0)</f>
        <v>#NAME?</v>
      </c>
      <c r="U96" s="80" t="e">
        <f aca="false">(O96+R96-2*L96)/($P$8*D96)^2</f>
        <v>#NAME?</v>
      </c>
      <c r="V96" s="80"/>
      <c r="W96" s="81" t="e">
        <f aca="false">U96/$D$9</f>
        <v>#NAME?</v>
      </c>
      <c r="Z96" s="80" t="n">
        <f aca="false">(1/(D96*SQRT(2*PI()*T/365.25*ATMImpVol^2)))</f>
        <v>0.206001917936914</v>
      </c>
      <c r="AA96" s="80" t="n">
        <f aca="false">LN(D96/UnderlyingPrice)+0.5*T/365.25*ATMImpVol^2</f>
        <v>0.251630595319036</v>
      </c>
      <c r="AB96" s="80" t="n">
        <f aca="false">-(AA96^2)</f>
        <v>-0.0633179565006126</v>
      </c>
      <c r="AC96" s="80" t="n">
        <f aca="false">AB96/(2*T/365.25*ATMImpVol^2)</f>
        <v>-0.294346647922063</v>
      </c>
      <c r="AD96" s="82" t="n">
        <f aca="false">EXP(AC96)</f>
        <v>0.745018187668987</v>
      </c>
      <c r="AE96" s="82" t="n">
        <f aca="false">AD96*Z96</f>
        <v>0.153475175557695</v>
      </c>
      <c r="AF96" s="82"/>
      <c r="AG96" s="83" t="n">
        <f aca="false">(LN($D96/UnderlyingPrice)+0.5*ATMImpVol^2*(T/365.25))/(ATMImpVol*SQRT(T/365.25))</f>
        <v>0.767263511346739</v>
      </c>
      <c r="AH96" s="83" t="n">
        <f aca="false">(LN(($D96*(1+$P$8))/UnderlyingPrice)+0.5*ATMImpVol^2*(T/365.25))/(ATMImpVol*SQRT(T/365.25))</f>
        <v>0.768787713438322</v>
      </c>
      <c r="AI96" s="83" t="n">
        <f aca="false">(LN($D96*(1-$P$8)/UnderlyingPrice)+0.5*ATMImpVol^2*(T/365.25))/(ATMImpVol*SQRT(T/365.25))</f>
        <v>0.765738546963504</v>
      </c>
      <c r="AJ96" s="81"/>
      <c r="AK96" s="83" t="e">
        <f aca="false">W96/(AH96-AI96)*(D96*2*$P$8)</f>
        <v>#NAME?</v>
      </c>
      <c r="AL96" s="83"/>
      <c r="AM96" s="84"/>
      <c r="AN96" s="85"/>
      <c r="AX96" s="87" t="n">
        <f aca="true">OFFSET(ENAVolCoef,0,impvol_order-2)+OFFSET(ENAVolCoef,1,impvol_order-2)*E96+OFFSET(ENAVolCoef,2,impvol_order-2)*E96^2+IF(impvol_order&gt;2,OFFSET(ENAVolCoef,3,impvol_order-2)*E96^3,0)+IF(impvol_order&gt;3,OFFSET(ENAVolCoef,4,impvol_order-2)*E96^4,0)+IF(impvol_order&gt;4,OFFSET(ENAVolCoef,5,impvol_order-2)*E96^5,0)</f>
        <v>0.506521443975759</v>
      </c>
      <c r="AY96" s="87" t="n">
        <f aca="true">OFFSET(ENAVolCoef,0,impvol_order-2)+OFFSET(ENAVolCoef,1,impvol_order-2)*F96+OFFSET(ENAVolCoef,2,impvol_order-2)*F96^2+IF(impvol_order&gt;2,OFFSET(ENAVolCoef,3,impvol_order-2)*F96^3,0)+IF(impvol_order&gt;3,OFFSET(ENAVolCoef,4,impvol_order-2)*F96^4,0)+IF(impvol_order&gt;4,OFFSET(ENAVolCoef,5,impvol_order-2)*F96^5,0)</f>
        <v>0.506578196791229</v>
      </c>
      <c r="AZ96" s="87" t="n">
        <f aca="true">OFFSET(ENAVolCoef,0,impvol_order-2)+OFFSET(ENAVolCoef,1,impvol_order-2)*G96+OFFSET(ENAVolCoef,2,impvol_order-2)*G96^2+IF(impvol_order&gt;2,OFFSET(ENAVolCoef,3,impvol_order-2)*G96^3,0)+IF(impvol_order&gt;3,OFFSET(ENAVolCoef,4,impvol_order-2)*G96^4,0)+IF(impvol_order&gt;4,OFFSET(ENAVolCoef,5,impvol_order-2)*G96^5,0)</f>
        <v>0.506464759335762</v>
      </c>
      <c r="BB96" s="48" t="e">
        <f aca="false">EURO(UnderlyingPrice,$D96,IntRate,Yield,AX96,$D$6,1,0)</f>
        <v>#NAME?</v>
      </c>
      <c r="BC96" s="48" t="e">
        <f aca="false">EURO(UnderlyingPrice,$D96*(1+$P$8),IntRate,Yield,AY96,$D$6,1,0)</f>
        <v>#NAME?</v>
      </c>
      <c r="BD96" s="48" t="e">
        <f aca="false">EURO(UnderlyingPrice,$D96*(1-$P$8),IntRate,Yield,AZ96,$D$6,1,0)</f>
        <v>#NAME?</v>
      </c>
      <c r="BF96" s="80" t="e">
        <f aca="false">(BC96+BD96-2*BB96)/($P$8*$D96)^2</f>
        <v>#NAME?</v>
      </c>
      <c r="BG96" s="48" t="e">
        <f aca="false">+BF96/$D$9</f>
        <v>#NAME?</v>
      </c>
      <c r="BI96" s="79" t="e">
        <f aca="false">+BB96-L96</f>
        <v>#NAME?</v>
      </c>
      <c r="BJ96" s="65" t="e">
        <f aca="false">+BI96/BB96</f>
        <v>#NAME?</v>
      </c>
    </row>
    <row r="97" customFormat="false" ht="11.25" hidden="false" customHeight="false" outlineLevel="0" collapsed="false">
      <c r="C97" s="77" t="n">
        <v>84</v>
      </c>
      <c r="D97" s="78" t="n">
        <f aca="true">D96+(ROUNDUP(MAX(StrikeRange),1)-ROUNDDOWN(MIN(StrikeRange),1))/100</f>
        <v>5.94000000000001</v>
      </c>
      <c r="E97" s="64" t="n">
        <f aca="false">+D97/UnderlyingPrice-1</f>
        <v>0.226006191950467</v>
      </c>
      <c r="F97" s="64" t="n">
        <f aca="false">+D97*(1+$P$8)/UnderlyingPrice-1</f>
        <v>0.226619195046442</v>
      </c>
      <c r="G97" s="64" t="n">
        <f aca="false">+D97*(1-$P$8)/UnderlyingPrice-1</f>
        <v>0.225393188854492</v>
      </c>
      <c r="H97" s="64" t="n">
        <f aca="true">OFFSET(VolSkewCoef,0,impvol_order-2)+OFFSET(VolSkewCoef,1,impvol_order-2)*F97+OFFSET(VolSkewCoef,2,impvol_order-2)*F97^2+IF(impvol_order&gt;2,OFFSET(VolSkewCoef,3,impvol_order-2)*F97^3,0)+IF(impvol_order&gt;3,OFFSET(VolSkewCoef,4,impvol_order-2)*F97^4,0)+IF(impvol_order&gt;4,OFFSET(VolSkewCoef,5,impvol_order-2)*F97^5,0)</f>
        <v>0.536994437085441</v>
      </c>
      <c r="I97" s="64" t="n">
        <f aca="true">OFFSET(VolSkewCoef,0,impvol_order-2)+OFFSET(VolSkewCoef,1,impvol_order-2)*E97+OFFSET(VolSkewCoef,2,impvol_order-2)*E97^2+IF(impvol_order&gt;2,OFFSET(VolSkewCoef,3,impvol_order-2)*E97^3,0)+IF(impvol_order&gt;3,OFFSET(VolSkewCoef,4,impvol_order-2)*E97^4,0)+IF(impvol_order&gt;4,OFFSET(VolSkewCoef,5,impvol_order-2)*E97^5,0)</f>
        <v>0.53692538738464</v>
      </c>
      <c r="J97" s="64" t="n">
        <f aca="true">OFFSET(VolSkewCoef,0,impvol_order-2)+OFFSET(VolSkewCoef,1,impvol_order-2)*G97+OFFSET(VolSkewCoef,2,impvol_order-2)*G97^2+IF(impvol_order&gt;2,OFFSET(VolSkewCoef,3,impvol_order-2)*G97^3,0)+IF(impvol_order&gt;3,OFFSET(VolSkewCoef,4,impvol_order-2)*G97^4,0)+IF(impvol_order&gt;4,OFFSET(VolSkewCoef,5,impvol_order-2)*G97^5,0)</f>
        <v>0.536856396905096</v>
      </c>
      <c r="L97" s="79" t="e">
        <f aca="false">EURO(UnderlyingPrice,$D97,IntRate,Yield,$I97,$D$6,L$12,0)</f>
        <v>#NAME?</v>
      </c>
      <c r="M97" s="79" t="e">
        <f aca="false">EURO(UnderlyingPrice,$D97,IntRate,Yield,$I97,$D$6,M$12,0)</f>
        <v>#NAME?</v>
      </c>
      <c r="O97" s="79" t="e">
        <f aca="false">EURO(UnderlyingPrice,$D97*(1+$P$8),IntRate,Yield,$H97,Expiry-Today,O$12,0)</f>
        <v>#NAME?</v>
      </c>
      <c r="P97" s="79" t="e">
        <f aca="false">EURO(UnderlyingPrice,$D97*(1+$P$8),IntRate,Yield,$H97,Expiry-Today,P$12,0)</f>
        <v>#NAME?</v>
      </c>
      <c r="R97" s="79" t="e">
        <f aca="false">EURO(UnderlyingPrice,$D97*(1-$P$8),IntRate,Yield,$J97,Expiry-Today,R$12,0)</f>
        <v>#NAME?</v>
      </c>
      <c r="S97" s="79" t="e">
        <f aca="false">EURO(UnderlyingPrice,$D97*(1-$P$8),IntRate,Yield,$J97,Expiry-Today,S$12,0)</f>
        <v>#NAME?</v>
      </c>
      <c r="U97" s="80" t="e">
        <f aca="false">(O97+R97-2*L97)/($P$8*D97)^2</f>
        <v>#NAME?</v>
      </c>
      <c r="V97" s="80"/>
      <c r="W97" s="81" t="e">
        <f aca="false">U97/$D$9</f>
        <v>#NAME?</v>
      </c>
      <c r="Z97" s="80" t="n">
        <f aca="false">(1/(D97*SQRT(2*PI()*T/365.25*ATMImpVol^2)))</f>
        <v>0.204788101922135</v>
      </c>
      <c r="AA97" s="80" t="n">
        <f aca="false">LN(D97/UnderlyingPrice)+0.5*T/365.25*ATMImpVol^2</f>
        <v>0.257540279044264</v>
      </c>
      <c r="AB97" s="80" t="n">
        <f aca="false">-(AA97^2)</f>
        <v>-0.0663269953301974</v>
      </c>
      <c r="AC97" s="80" t="n">
        <f aca="false">AB97/(2*T/365.25*ATMImpVol^2)</f>
        <v>-0.308334788757706</v>
      </c>
      <c r="AD97" s="82" t="n">
        <f aca="false">EXP(AC97)</f>
        <v>0.734669317804083</v>
      </c>
      <c r="AE97" s="82" t="n">
        <f aca="false">AD97*Z97</f>
        <v>0.150451535133528</v>
      </c>
      <c r="AF97" s="82"/>
      <c r="AG97" s="83" t="n">
        <f aca="false">(LN($D97/UnderlyingPrice)+0.5*ATMImpVol^2*(T/365.25))/(ATMImpVol*SQRT(T/365.25))</f>
        <v>0.785283119336849</v>
      </c>
      <c r="AH97" s="83" t="n">
        <f aca="false">(LN(($D97*(1+$P$8))/UnderlyingPrice)+0.5*ATMImpVol^2*(T/365.25))/(ATMImpVol*SQRT(T/365.25))</f>
        <v>0.786807321428432</v>
      </c>
      <c r="AI97" s="83" t="n">
        <f aca="false">(LN($D97*(1-$P$8)/UnderlyingPrice)+0.5*ATMImpVol^2*(T/365.25))/(ATMImpVol*SQRT(T/365.25))</f>
        <v>0.783758154953614</v>
      </c>
      <c r="AJ97" s="81"/>
      <c r="AK97" s="83" t="e">
        <f aca="false">W97/(AH97-AI97)*(D97*2*$P$8)</f>
        <v>#NAME?</v>
      </c>
      <c r="AL97" s="83"/>
      <c r="AM97" s="84"/>
      <c r="AN97" s="85"/>
      <c r="AX97" s="87" t="n">
        <f aca="true">OFFSET(ENAVolCoef,0,impvol_order-2)+OFFSET(ENAVolCoef,1,impvol_order-2)*E97+OFFSET(ENAVolCoef,2,impvol_order-2)*E97^2+IF(impvol_order&gt;2,OFFSET(ENAVolCoef,3,impvol_order-2)*E97^3,0)+IF(impvol_order&gt;3,OFFSET(ENAVolCoef,4,impvol_order-2)*E97^4,0)+IF(impvol_order&gt;4,OFFSET(ENAVolCoef,5,impvol_order-2)*E97^5,0)</f>
        <v>0.507198559915351</v>
      </c>
      <c r="AY97" s="87" t="n">
        <f aca="true">OFFSET(ENAVolCoef,0,impvol_order-2)+OFFSET(ENAVolCoef,1,impvol_order-2)*F97+OFFSET(ENAVolCoef,2,impvol_order-2)*F97^2+IF(impvol_order&gt;2,OFFSET(ENAVolCoef,3,impvol_order-2)*F97^3,0)+IF(impvol_order&gt;3,OFFSET(ENAVolCoef,4,impvol_order-2)*F97^4,0)+IF(impvol_order&gt;4,OFFSET(ENAVolCoef,5,impvol_order-2)*F97^5,0)</f>
        <v>0.507256451568467</v>
      </c>
      <c r="AZ97" s="87" t="n">
        <f aca="true">OFFSET(ENAVolCoef,0,impvol_order-2)+OFFSET(ENAVolCoef,1,impvol_order-2)*G97+OFFSET(ENAVolCoef,2,impvol_order-2)*G97^2+IF(impvol_order&gt;2,OFFSET(ENAVolCoef,3,impvol_order-2)*G97^3,0)+IF(impvol_order&gt;3,OFFSET(ENAVolCoef,4,impvol_order-2)*G97^4,0)+IF(impvol_order&gt;4,OFFSET(ENAVolCoef,5,impvol_order-2)*G97^5,0)</f>
        <v>0.507140735571822</v>
      </c>
      <c r="BB97" s="48" t="e">
        <f aca="false">EURO(UnderlyingPrice,$D97,IntRate,Yield,AX97,$D$6,1,0)</f>
        <v>#NAME?</v>
      </c>
      <c r="BC97" s="48" t="e">
        <f aca="false">EURO(UnderlyingPrice,$D97*(1+$P$8),IntRate,Yield,AY97,$D$6,1,0)</f>
        <v>#NAME?</v>
      </c>
      <c r="BD97" s="48" t="e">
        <f aca="false">EURO(UnderlyingPrice,$D97*(1-$P$8),IntRate,Yield,AZ97,$D$6,1,0)</f>
        <v>#NAME?</v>
      </c>
      <c r="BF97" s="80" t="e">
        <f aca="false">(BC97+BD97-2*BB97)/($P$8*$D97)^2</f>
        <v>#NAME?</v>
      </c>
      <c r="BG97" s="48" t="e">
        <f aca="false">+BF97/$D$9</f>
        <v>#NAME?</v>
      </c>
      <c r="BI97" s="79" t="e">
        <f aca="false">+BB97-L97</f>
        <v>#NAME?</v>
      </c>
      <c r="BJ97" s="65" t="e">
        <f aca="false">+BI97/BB97</f>
        <v>#NAME?</v>
      </c>
    </row>
    <row r="98" customFormat="false" ht="11.25" hidden="false" customHeight="false" outlineLevel="0" collapsed="false">
      <c r="C98" s="77" t="n">
        <v>85</v>
      </c>
      <c r="D98" s="78" t="n">
        <f aca="true">D97+(ROUNDUP(MAX(StrikeRange),1)-ROUNDDOWN(MIN(StrikeRange),1))/100</f>
        <v>5.97500000000001</v>
      </c>
      <c r="E98" s="64" t="n">
        <f aca="false">+D98/UnderlyingPrice-1</f>
        <v>0.233230134158929</v>
      </c>
      <c r="F98" s="64" t="n">
        <f aca="false">+D98*(1+$P$8)/UnderlyingPrice-1</f>
        <v>0.233846749226009</v>
      </c>
      <c r="G98" s="64" t="n">
        <f aca="false">+D98*(1-$P$8)/UnderlyingPrice-1</f>
        <v>0.23261351909185</v>
      </c>
      <c r="H98" s="64" t="n">
        <f aca="true">OFFSET(VolSkewCoef,0,impvol_order-2)+OFFSET(VolSkewCoef,1,impvol_order-2)*F98+OFFSET(VolSkewCoef,2,impvol_order-2)*F98^2+IF(impvol_order&gt;2,OFFSET(VolSkewCoef,3,impvol_order-2)*F98^3,0)+IF(impvol_order&gt;3,OFFSET(VolSkewCoef,4,impvol_order-2)*F98^4,0)+IF(impvol_order&gt;4,OFFSET(VolSkewCoef,5,impvol_order-2)*F98^5,0)</f>
        <v>0.537812945586861</v>
      </c>
      <c r="I98" s="64" t="n">
        <f aca="true">OFFSET(VolSkewCoef,0,impvol_order-2)+OFFSET(VolSkewCoef,1,impvol_order-2)*E98+OFFSET(VolSkewCoef,2,impvol_order-2)*E98^2+IF(impvol_order&gt;2,OFFSET(VolSkewCoef,3,impvol_order-2)*E98^3,0)+IF(impvol_order&gt;3,OFFSET(VolSkewCoef,4,impvol_order-2)*E98^4,0)+IF(impvol_order&gt;4,OFFSET(VolSkewCoef,5,impvol_order-2)*E98^5,0)</f>
        <v>0.537742804512808</v>
      </c>
      <c r="J98" s="64" t="n">
        <f aca="true">OFFSET(VolSkewCoef,0,impvol_order-2)+OFFSET(VolSkewCoef,1,impvol_order-2)*G98+OFFSET(VolSkewCoef,2,impvol_order-2)*G98^2+IF(impvol_order&gt;2,OFFSET(VolSkewCoef,3,impvol_order-2)*G98^3,0)+IF(impvol_order&gt;3,OFFSET(VolSkewCoef,4,impvol_order-2)*G98^4,0)+IF(impvol_order&gt;4,OFFSET(VolSkewCoef,5,impvol_order-2)*G98^5,0)</f>
        <v>0.537672720581292</v>
      </c>
      <c r="L98" s="79" t="e">
        <f aca="false">EURO(UnderlyingPrice,$D98,IntRate,Yield,$I98,$D$6,L$12,0)</f>
        <v>#NAME?</v>
      </c>
      <c r="M98" s="79" t="e">
        <f aca="false">EURO(UnderlyingPrice,$D98,IntRate,Yield,$I98,$D$6,M$12,0)</f>
        <v>#NAME?</v>
      </c>
      <c r="O98" s="79" t="e">
        <f aca="false">EURO(UnderlyingPrice,$D98*(1+$P$8),IntRate,Yield,$H98,Expiry-Today,O$12,0)</f>
        <v>#NAME?</v>
      </c>
      <c r="P98" s="79" t="e">
        <f aca="false">EURO(UnderlyingPrice,$D98*(1+$P$8),IntRate,Yield,$H98,Expiry-Today,P$12,0)</f>
        <v>#NAME?</v>
      </c>
      <c r="R98" s="79" t="e">
        <f aca="false">EURO(UnderlyingPrice,$D98*(1-$P$8),IntRate,Yield,$J98,Expiry-Today,R$12,0)</f>
        <v>#NAME?</v>
      </c>
      <c r="S98" s="79" t="e">
        <f aca="false">EURO(UnderlyingPrice,$D98*(1-$P$8),IntRate,Yield,$J98,Expiry-Today,S$12,0)</f>
        <v>#NAME?</v>
      </c>
      <c r="U98" s="80" t="e">
        <f aca="false">(O98+R98-2*L98)/($P$8*D98)^2</f>
        <v>#NAME?</v>
      </c>
      <c r="V98" s="80"/>
      <c r="W98" s="81" t="e">
        <f aca="false">U98/$D$9</f>
        <v>#NAME?</v>
      </c>
      <c r="Z98" s="80" t="n">
        <f aca="false">(1/(D98*SQRT(2*PI()*T/365.25*ATMImpVol^2)))</f>
        <v>0.203588506346022</v>
      </c>
      <c r="AA98" s="80" t="n">
        <f aca="false">LN(D98/UnderlyingPrice)+0.5*T/365.25*ATMImpVol^2</f>
        <v>0.263415243487285</v>
      </c>
      <c r="AB98" s="80" t="n">
        <f aca="false">-(AA98^2)</f>
        <v>-0.0693875905014656</v>
      </c>
      <c r="AC98" s="80" t="n">
        <f aca="false">AB98/(2*T/365.25*ATMImpVol^2)</f>
        <v>-0.322562599936364</v>
      </c>
      <c r="AD98" s="82" t="n">
        <f aca="false">EXP(AC98)</f>
        <v>0.724290589842895</v>
      </c>
      <c r="AE98" s="82" t="n">
        <f aca="false">AD98*Z98</f>
        <v>0.147457239346594</v>
      </c>
      <c r="AF98" s="82"/>
      <c r="AG98" s="83" t="n">
        <f aca="false">(LN($D98/UnderlyingPrice)+0.5*ATMImpVol^2*(T/365.25))/(ATMImpVol*SQRT(T/365.25))</f>
        <v>0.803196862464445</v>
      </c>
      <c r="AH98" s="83" t="n">
        <f aca="false">(LN(($D98*(1+$P$8))/UnderlyingPrice)+0.5*ATMImpVol^2*(T/365.25))/(ATMImpVol*SQRT(T/365.25))</f>
        <v>0.804721064556029</v>
      </c>
      <c r="AI98" s="83" t="n">
        <f aca="false">(LN($D98*(1-$P$8)/UnderlyingPrice)+0.5*ATMImpVol^2*(T/365.25))/(ATMImpVol*SQRT(T/365.25))</f>
        <v>0.801671898081211</v>
      </c>
      <c r="AJ98" s="81"/>
      <c r="AK98" s="83" t="e">
        <f aca="false">W98/(AH98-AI98)*(D98*2*$P$8)</f>
        <v>#NAME?</v>
      </c>
      <c r="AL98" s="83"/>
      <c r="AM98" s="84"/>
      <c r="AN98" s="85"/>
      <c r="AX98" s="87" t="n">
        <f aca="true">OFFSET(ENAVolCoef,0,impvol_order-2)+OFFSET(ENAVolCoef,1,impvol_order-2)*E98+OFFSET(ENAVolCoef,2,impvol_order-2)*E98^2+IF(impvol_order&gt;2,OFFSET(ENAVolCoef,3,impvol_order-2)*E98^3,0)+IF(impvol_order&gt;3,OFFSET(ENAVolCoef,4,impvol_order-2)*E98^4,0)+IF(impvol_order&gt;4,OFFSET(ENAVolCoef,5,impvol_order-2)*E98^5,0)</f>
        <v>0.507885023454794</v>
      </c>
      <c r="AY98" s="87" t="n">
        <f aca="true">OFFSET(ENAVolCoef,0,impvol_order-2)+OFFSET(ENAVolCoef,1,impvol_order-2)*F98+OFFSET(ENAVolCoef,2,impvol_order-2)*F98^2+IF(impvol_order&gt;2,OFFSET(ENAVolCoef,3,impvol_order-2)*F98^3,0)+IF(impvol_order&gt;3,OFFSET(ENAVolCoef,4,impvol_order-2)*F98^4,0)+IF(impvol_order&gt;4,OFFSET(ENAVolCoef,5,impvol_order-2)*F98^5,0)</f>
        <v>0.507944043519485</v>
      </c>
      <c r="AZ98" s="87" t="n">
        <f aca="true">OFFSET(ENAVolCoef,0,impvol_order-2)+OFFSET(ENAVolCoef,1,impvol_order-2)*G98+OFFSET(ENAVolCoef,2,impvol_order-2)*G98^2+IF(impvol_order&gt;2,OFFSET(ENAVolCoef,3,impvol_order-2)*G98^3,0)+IF(impvol_order&gt;3,OFFSET(ENAVolCoef,4,impvol_order-2)*G98^4,0)+IF(impvol_order&gt;4,OFFSET(ENAVolCoef,5,impvol_order-2)*G98^5,0)</f>
        <v>0.507826069798964</v>
      </c>
      <c r="BB98" s="48" t="e">
        <f aca="false">EURO(UnderlyingPrice,$D98,IntRate,Yield,AX98,$D$6,1,0)</f>
        <v>#NAME?</v>
      </c>
      <c r="BC98" s="48" t="e">
        <f aca="false">EURO(UnderlyingPrice,$D98*(1+$P$8),IntRate,Yield,AY98,$D$6,1,0)</f>
        <v>#NAME?</v>
      </c>
      <c r="BD98" s="48" t="e">
        <f aca="false">EURO(UnderlyingPrice,$D98*(1-$P$8),IntRate,Yield,AZ98,$D$6,1,0)</f>
        <v>#NAME?</v>
      </c>
      <c r="BF98" s="80" t="e">
        <f aca="false">(BC98+BD98-2*BB98)/($P$8*$D98)^2</f>
        <v>#NAME?</v>
      </c>
      <c r="BG98" s="48" t="e">
        <f aca="false">+BF98/$D$9</f>
        <v>#NAME?</v>
      </c>
      <c r="BI98" s="79" t="e">
        <f aca="false">+BB98-L98</f>
        <v>#NAME?</v>
      </c>
      <c r="BJ98" s="65" t="e">
        <f aca="false">+BI98/BB98</f>
        <v>#NAME?</v>
      </c>
    </row>
    <row r="99" customFormat="false" ht="11.25" hidden="false" customHeight="false" outlineLevel="0" collapsed="false">
      <c r="C99" s="77" t="n">
        <v>86</v>
      </c>
      <c r="D99" s="78" t="n">
        <f aca="true">D98+(ROUNDUP(MAX(StrikeRange),1)-ROUNDDOWN(MIN(StrikeRange),1))/100</f>
        <v>6.01000000000001</v>
      </c>
      <c r="E99" s="64" t="n">
        <f aca="false">+D99/UnderlyingPrice-1</f>
        <v>0.240454076367392</v>
      </c>
      <c r="F99" s="64" t="n">
        <f aca="false">+D99*(1+$P$8)/UnderlyingPrice-1</f>
        <v>0.241074303405575</v>
      </c>
      <c r="G99" s="64" t="n">
        <f aca="false">+D99*(1-$P$8)/UnderlyingPrice-1</f>
        <v>0.239833849329208</v>
      </c>
      <c r="H99" s="64" t="n">
        <f aca="true">OFFSET(VolSkewCoef,0,impvol_order-2)+OFFSET(VolSkewCoef,1,impvol_order-2)*F99+OFFSET(VolSkewCoef,2,impvol_order-2)*F99^2+IF(impvol_order&gt;2,OFFSET(VolSkewCoef,3,impvol_order-2)*F99^3,0)+IF(impvol_order&gt;3,OFFSET(VolSkewCoef,4,impvol_order-2)*F99^4,0)+IF(impvol_order&gt;4,OFFSET(VolSkewCoef,5,impvol_order-2)*F99^5,0)</f>
        <v>0.538639272303077</v>
      </c>
      <c r="I99" s="64" t="n">
        <f aca="true">OFFSET(VolSkewCoef,0,impvol_order-2)+OFFSET(VolSkewCoef,1,impvol_order-2)*E99+OFFSET(VolSkewCoef,2,impvol_order-2)*E99^2+IF(impvol_order&gt;2,OFFSET(VolSkewCoef,3,impvol_order-2)*E99^3,0)+IF(impvol_order&gt;3,OFFSET(VolSkewCoef,4,impvol_order-2)*E99^4,0)+IF(impvol_order&gt;4,OFFSET(VolSkewCoef,5,impvol_order-2)*E99^5,0)</f>
        <v>0.538568064596884</v>
      </c>
      <c r="J99" s="64" t="n">
        <f aca="true">OFFSET(VolSkewCoef,0,impvol_order-2)+OFFSET(VolSkewCoef,1,impvol_order-2)*G99+OFFSET(VolSkewCoef,2,impvol_order-2)*G99^2+IF(impvol_order&gt;2,OFFSET(VolSkewCoef,3,impvol_order-2)*G99^3,0)+IF(impvol_order&gt;3,OFFSET(VolSkewCoef,4,impvol_order-2)*G99^4,0)+IF(impvol_order&gt;4,OFFSET(VolSkewCoef,5,impvol_order-2)*G99^5,0)</f>
        <v>0.538496911893321</v>
      </c>
      <c r="L99" s="79" t="e">
        <f aca="false">EURO(UnderlyingPrice,$D99,IntRate,Yield,$I99,$D$6,L$12,0)</f>
        <v>#NAME?</v>
      </c>
      <c r="M99" s="79" t="e">
        <f aca="false">EURO(UnderlyingPrice,$D99,IntRate,Yield,$I99,$D$6,M$12,0)</f>
        <v>#NAME?</v>
      </c>
      <c r="O99" s="79" t="e">
        <f aca="false">EURO(UnderlyingPrice,$D99*(1+$P$8),IntRate,Yield,$H99,Expiry-Today,O$12,0)</f>
        <v>#NAME?</v>
      </c>
      <c r="P99" s="79" t="e">
        <f aca="false">EURO(UnderlyingPrice,$D99*(1+$P$8),IntRate,Yield,$H99,Expiry-Today,P$12,0)</f>
        <v>#NAME?</v>
      </c>
      <c r="R99" s="79" t="e">
        <f aca="false">EURO(UnderlyingPrice,$D99*(1-$P$8),IntRate,Yield,$J99,Expiry-Today,R$12,0)</f>
        <v>#NAME?</v>
      </c>
      <c r="S99" s="79" t="e">
        <f aca="false">EURO(UnderlyingPrice,$D99*(1-$P$8),IntRate,Yield,$J99,Expiry-Today,S$12,0)</f>
        <v>#NAME?</v>
      </c>
      <c r="U99" s="80" t="e">
        <f aca="false">(O99+R99-2*L99)/($P$8*D99)^2</f>
        <v>#NAME?</v>
      </c>
      <c r="V99" s="80"/>
      <c r="W99" s="81" t="e">
        <f aca="false">U99/$D$9</f>
        <v>#NAME?</v>
      </c>
      <c r="Z99" s="80" t="n">
        <f aca="false">(1/(D99*SQRT(2*PI()*T/365.25*ATMImpVol^2)))</f>
        <v>0.202402882764972</v>
      </c>
      <c r="AA99" s="80" t="n">
        <f aca="false">LN(D99/UnderlyingPrice)+0.5*T/365.25*ATMImpVol^2</f>
        <v>0.269255894216827</v>
      </c>
      <c r="AB99" s="80" t="n">
        <f aca="false">-(AA99^2)</f>
        <v>-0.072498736570503</v>
      </c>
      <c r="AC99" s="80" t="n">
        <f aca="false">AB99/(2*T/365.25*ATMImpVol^2)</f>
        <v>-0.337025407443555</v>
      </c>
      <c r="AD99" s="82" t="n">
        <f aca="false">EXP(AC99)</f>
        <v>0.713890701534592</v>
      </c>
      <c r="AE99" s="82" t="n">
        <f aca="false">AD99*Z99</f>
        <v>0.144493535969709</v>
      </c>
      <c r="AF99" s="82"/>
      <c r="AG99" s="83" t="n">
        <f aca="false">(LN($D99/UnderlyingPrice)+0.5*ATMImpVol^2*(T/365.25))/(ATMImpVol*SQRT(T/365.25))</f>
        <v>0.821005977375994</v>
      </c>
      <c r="AH99" s="83" t="n">
        <f aca="false">(LN(($D99*(1+$P$8))/UnderlyingPrice)+0.5*ATMImpVol^2*(T/365.25))/(ATMImpVol*SQRT(T/365.25))</f>
        <v>0.822530179467578</v>
      </c>
      <c r="AI99" s="83" t="n">
        <f aca="false">(LN($D99*(1-$P$8)/UnderlyingPrice)+0.5*ATMImpVol^2*(T/365.25))/(ATMImpVol*SQRT(T/365.25))</f>
        <v>0.81948101299276</v>
      </c>
      <c r="AJ99" s="81"/>
      <c r="AK99" s="83" t="e">
        <f aca="false">W99/(AH99-AI99)*(D99*2*$P$8)</f>
        <v>#NAME?</v>
      </c>
      <c r="AL99" s="83"/>
      <c r="AM99" s="84"/>
      <c r="AN99" s="85"/>
      <c r="AX99" s="87" t="n">
        <f aca="true">OFFSET(ENAVolCoef,0,impvol_order-2)+OFFSET(ENAVolCoef,1,impvol_order-2)*E99+OFFSET(ENAVolCoef,2,impvol_order-2)*E99^2+IF(impvol_order&gt;2,OFFSET(ENAVolCoef,3,impvol_order-2)*E99^3,0)+IF(impvol_order&gt;3,OFFSET(ENAVolCoef,4,impvol_order-2)*E99^4,0)+IF(impvol_order&gt;4,OFFSET(ENAVolCoef,5,impvol_order-2)*E99^5,0)</f>
        <v>0.508580601776376</v>
      </c>
      <c r="AY99" s="87" t="n">
        <f aca="true">OFFSET(ENAVolCoef,0,impvol_order-2)+OFFSET(ENAVolCoef,1,impvol_order-2)*F99+OFFSET(ENAVolCoef,2,impvol_order-2)*F99^2+IF(impvol_order&gt;2,OFFSET(ENAVolCoef,3,impvol_order-2)*F99^3,0)+IF(impvol_order&gt;3,OFFSET(ENAVolCoef,4,impvol_order-2)*F99^4,0)+IF(impvol_order&gt;4,OFFSET(ENAVolCoef,5,impvol_order-2)*F99^5,0)</f>
        <v>0.508640739477172</v>
      </c>
      <c r="AZ99" s="87" t="n">
        <f aca="true">OFFSET(ENAVolCoef,0,impvol_order-2)+OFFSET(ENAVolCoef,1,impvol_order-2)*G99+OFFSET(ENAVolCoef,2,impvol_order-2)*G99^2+IF(impvol_order&gt;2,OFFSET(ENAVolCoef,3,impvol_order-2)*G99^3,0)+IF(impvol_order&gt;3,OFFSET(ENAVolCoef,4,impvol_order-2)*G99^4,0)+IF(impvol_order&gt;4,OFFSET(ENAVolCoef,5,impvol_order-2)*G99^5,0)</f>
        <v>0.508520529548529</v>
      </c>
      <c r="BB99" s="48" t="e">
        <f aca="false">EURO(UnderlyingPrice,$D99,IntRate,Yield,AX99,$D$6,1,0)</f>
        <v>#NAME?</v>
      </c>
      <c r="BC99" s="48" t="e">
        <f aca="false">EURO(UnderlyingPrice,$D99*(1+$P$8),IntRate,Yield,AY99,$D$6,1,0)</f>
        <v>#NAME?</v>
      </c>
      <c r="BD99" s="48" t="e">
        <f aca="false">EURO(UnderlyingPrice,$D99*(1-$P$8),IntRate,Yield,AZ99,$D$6,1,0)</f>
        <v>#NAME?</v>
      </c>
      <c r="BF99" s="80" t="e">
        <f aca="false">(BC99+BD99-2*BB99)/($P$8*$D99)^2</f>
        <v>#NAME?</v>
      </c>
      <c r="BG99" s="48" t="e">
        <f aca="false">+BF99/$D$9</f>
        <v>#NAME?</v>
      </c>
      <c r="BI99" s="79" t="e">
        <f aca="false">+BB99-L99</f>
        <v>#NAME?</v>
      </c>
      <c r="BJ99" s="65" t="e">
        <f aca="false">+BI99/BB99</f>
        <v>#NAME?</v>
      </c>
    </row>
    <row r="100" customFormat="false" ht="11.25" hidden="false" customHeight="false" outlineLevel="0" collapsed="false">
      <c r="C100" s="77" t="n">
        <v>87</v>
      </c>
      <c r="D100" s="78" t="n">
        <f aca="true">D99+(ROUNDUP(MAX(StrikeRange),1)-ROUNDDOWN(MIN(StrikeRange),1))/100</f>
        <v>6.04500000000001</v>
      </c>
      <c r="E100" s="64" t="n">
        <f aca="false">+D100/UnderlyingPrice-1</f>
        <v>0.247678018575854</v>
      </c>
      <c r="F100" s="64" t="n">
        <f aca="false">+D100*(1+$P$8)/UnderlyingPrice-1</f>
        <v>0.248301857585142</v>
      </c>
      <c r="G100" s="64" t="n">
        <f aca="false">+D100*(1-$P$8)/UnderlyingPrice-1</f>
        <v>0.247054179566566</v>
      </c>
      <c r="H100" s="64" t="n">
        <f aca="true">OFFSET(VolSkewCoef,0,impvol_order-2)+OFFSET(VolSkewCoef,1,impvol_order-2)*F100+OFFSET(VolSkewCoef,2,impvol_order-2)*F100^2+IF(impvol_order&gt;2,OFFSET(VolSkewCoef,3,impvol_order-2)*F100^3,0)+IF(impvol_order&gt;3,OFFSET(VolSkewCoef,4,impvol_order-2)*F100^4,0)+IF(impvol_order&gt;4,OFFSET(VolSkewCoef,5,impvol_order-2)*F100^5,0)</f>
        <v>0.539473035282214</v>
      </c>
      <c r="I100" s="64" t="n">
        <f aca="true">OFFSET(VolSkewCoef,0,impvol_order-2)+OFFSET(VolSkewCoef,1,impvol_order-2)*E100+OFFSET(VolSkewCoef,2,impvol_order-2)*E100^2+IF(impvol_order&gt;2,OFFSET(VolSkewCoef,3,impvol_order-2)*E100^3,0)+IF(impvol_order&gt;3,OFFSET(VolSkewCoef,4,impvol_order-2)*E100^4,0)+IF(impvol_order&gt;4,OFFSET(VolSkewCoef,5,impvol_order-2)*E100^5,0)</f>
        <v>0.539400786257347</v>
      </c>
      <c r="J100" s="64" t="n">
        <f aca="true">OFFSET(VolSkewCoef,0,impvol_order-2)+OFFSET(VolSkewCoef,1,impvol_order-2)*G100+OFFSET(VolSkewCoef,2,impvol_order-2)*G100^2+IF(impvol_order&gt;2,OFFSET(VolSkewCoef,3,impvol_order-2)*G100^3,0)+IF(impvol_order&gt;3,OFFSET(VolSkewCoef,4,impvol_order-2)*G100^4,0)+IF(impvol_order&gt;4,OFFSET(VolSkewCoef,5,impvol_order-2)*G100^5,0)</f>
        <v>0.539328590033446</v>
      </c>
      <c r="L100" s="79" t="e">
        <f aca="false">EURO(UnderlyingPrice,$D100,IntRate,Yield,$I100,$D$6,L$12,0)</f>
        <v>#NAME?</v>
      </c>
      <c r="M100" s="79" t="e">
        <f aca="false">EURO(UnderlyingPrice,$D100,IntRate,Yield,$I100,$D$6,M$12,0)</f>
        <v>#NAME?</v>
      </c>
      <c r="O100" s="79" t="e">
        <f aca="false">EURO(UnderlyingPrice,$D100*(1+$P$8),IntRate,Yield,$H100,Expiry-Today,O$12,0)</f>
        <v>#NAME?</v>
      </c>
      <c r="P100" s="79" t="e">
        <f aca="false">EURO(UnderlyingPrice,$D100*(1+$P$8),IntRate,Yield,$H100,Expiry-Today,P$12,0)</f>
        <v>#NAME?</v>
      </c>
      <c r="R100" s="79" t="e">
        <f aca="false">EURO(UnderlyingPrice,$D100*(1-$P$8),IntRate,Yield,$J100,Expiry-Today,R$12,0)</f>
        <v>#NAME?</v>
      </c>
      <c r="S100" s="79" t="e">
        <f aca="false">EURO(UnderlyingPrice,$D100*(1-$P$8),IntRate,Yield,$J100,Expiry-Today,S$12,0)</f>
        <v>#NAME?</v>
      </c>
      <c r="U100" s="80" t="e">
        <f aca="false">(O100+R100-2*L100)/($P$8*D100)^2</f>
        <v>#NAME?</v>
      </c>
      <c r="V100" s="80"/>
      <c r="W100" s="81" t="e">
        <f aca="false">U100/$D$9</f>
        <v>#NAME?</v>
      </c>
      <c r="Z100" s="80" t="n">
        <f aca="false">(1/(D100*SQRT(2*PI()*T/365.25*ATMImpVol^2)))</f>
        <v>0.201230988489244</v>
      </c>
      <c r="AA100" s="80" t="n">
        <f aca="false">LN(D100/UnderlyingPrice)+0.5*T/365.25*ATMImpVol^2</f>
        <v>0.275062629736467</v>
      </c>
      <c r="AB100" s="80" t="n">
        <f aca="false">-(AA100^2)</f>
        <v>-0.0756594502775405</v>
      </c>
      <c r="AC100" s="80" t="n">
        <f aca="false">AB100/(2*T/365.25*ATMImpVol^2)</f>
        <v>-0.351718640392392</v>
      </c>
      <c r="AD100" s="82" t="n">
        <f aca="false">EXP(AC100)</f>
        <v>0.703478024435072</v>
      </c>
      <c r="AE100" s="82" t="n">
        <f aca="false">AD100*Z100</f>
        <v>0.14156157823753</v>
      </c>
      <c r="AF100" s="82"/>
      <c r="AG100" s="83" t="n">
        <f aca="false">(LN($D100/UnderlyingPrice)+0.5*ATMImpVol^2*(T/365.25))/(ATMImpVol*SQRT(T/365.25))</f>
        <v>0.838711679175141</v>
      </c>
      <c r="AH100" s="83" t="n">
        <f aca="false">(LN(($D100*(1+$P$8))/UnderlyingPrice)+0.5*ATMImpVol^2*(T/365.25))/(ATMImpVol*SQRT(T/365.25))</f>
        <v>0.840235881266724</v>
      </c>
      <c r="AI100" s="83" t="n">
        <f aca="false">(LN($D100*(1-$P$8)/UnderlyingPrice)+0.5*ATMImpVol^2*(T/365.25))/(ATMImpVol*SQRT(T/365.25))</f>
        <v>0.837186714791907</v>
      </c>
      <c r="AJ100" s="81"/>
      <c r="AK100" s="83" t="e">
        <f aca="false">W100/(AH100-AI100)*(D100*2*$P$8)</f>
        <v>#NAME?</v>
      </c>
      <c r="AL100" s="83"/>
      <c r="AM100" s="84"/>
      <c r="AN100" s="85"/>
      <c r="AX100" s="87" t="n">
        <f aca="true">OFFSET(ENAVolCoef,0,impvol_order-2)+OFFSET(ENAVolCoef,1,impvol_order-2)*E100+OFFSET(ENAVolCoef,2,impvol_order-2)*E100^2+IF(impvol_order&gt;2,OFFSET(ENAVolCoef,3,impvol_order-2)*E100^3,0)+IF(impvol_order&gt;3,OFFSET(ENAVolCoef,4,impvol_order-2)*E100^4,0)+IF(impvol_order&gt;4,OFFSET(ENAVolCoef,5,impvol_order-2)*E100^5,0)</f>
        <v>0.509285062062391</v>
      </c>
      <c r="AY100" s="87" t="n">
        <f aca="true">OFFSET(ENAVolCoef,0,impvol_order-2)+OFFSET(ENAVolCoef,1,impvol_order-2)*F100+OFFSET(ENAVolCoef,2,impvol_order-2)*F100^2+IF(impvol_order&gt;2,OFFSET(ENAVolCoef,3,impvol_order-2)*F100^3,0)+IF(impvol_order&gt;3,OFFSET(ENAVolCoef,4,impvol_order-2)*F100^4,0)+IF(impvol_order&gt;4,OFFSET(ENAVolCoef,5,impvol_order-2)*F100^5,0)</f>
        <v>0.509346306274418</v>
      </c>
      <c r="AZ100" s="87" t="n">
        <f aca="true">OFFSET(ENAVolCoef,0,impvol_order-2)+OFFSET(ENAVolCoef,1,impvol_order-2)*G100+OFFSET(ENAVolCoef,2,impvol_order-2)*G100^2+IF(impvol_order&gt;2,OFFSET(ENAVolCoef,3,impvol_order-2)*G100^3,0)+IF(impvol_order&gt;3,OFFSET(ENAVolCoef,4,impvol_order-2)*G100^4,0)+IF(impvol_order&gt;4,OFFSET(ENAVolCoef,5,impvol_order-2)*G100^5,0)</f>
        <v>0.509223882351861</v>
      </c>
      <c r="BB100" s="48" t="e">
        <f aca="false">EURO(UnderlyingPrice,$D100,IntRate,Yield,AX100,$D$6,1,0)</f>
        <v>#NAME?</v>
      </c>
      <c r="BC100" s="48" t="e">
        <f aca="false">EURO(UnderlyingPrice,$D100*(1+$P$8),IntRate,Yield,AY100,$D$6,1,0)</f>
        <v>#NAME?</v>
      </c>
      <c r="BD100" s="48" t="e">
        <f aca="false">EURO(UnderlyingPrice,$D100*(1-$P$8),IntRate,Yield,AZ100,$D$6,1,0)</f>
        <v>#NAME?</v>
      </c>
      <c r="BF100" s="80" t="e">
        <f aca="false">(BC100+BD100-2*BB100)/($P$8*$D100)^2</f>
        <v>#NAME?</v>
      </c>
      <c r="BG100" s="48" t="e">
        <f aca="false">+BF100/$D$9</f>
        <v>#NAME?</v>
      </c>
      <c r="BI100" s="79" t="e">
        <f aca="false">+BB100-L100</f>
        <v>#NAME?</v>
      </c>
      <c r="BJ100" s="65" t="e">
        <f aca="false">+BI100/BB100</f>
        <v>#NAME?</v>
      </c>
    </row>
    <row r="101" customFormat="false" ht="11.25" hidden="false" customHeight="false" outlineLevel="0" collapsed="false">
      <c r="C101" s="77" t="n">
        <v>88</v>
      </c>
      <c r="D101" s="78" t="n">
        <f aca="true">D100+(ROUNDUP(MAX(StrikeRange),1)-ROUNDDOWN(MIN(StrikeRange),1))/100</f>
        <v>6.08000000000001</v>
      </c>
      <c r="E101" s="64" t="n">
        <f aca="false">+D101/UnderlyingPrice-1</f>
        <v>0.254901960784316</v>
      </c>
      <c r="F101" s="64" t="n">
        <f aca="false">+D101*(1+$P$8)/UnderlyingPrice-1</f>
        <v>0.255529411764708</v>
      </c>
      <c r="G101" s="64" t="n">
        <f aca="false">+D101*(1-$P$8)/UnderlyingPrice-1</f>
        <v>0.254274509803924</v>
      </c>
      <c r="H101" s="64" t="n">
        <f aca="true">OFFSET(VolSkewCoef,0,impvol_order-2)+OFFSET(VolSkewCoef,1,impvol_order-2)*F101+OFFSET(VolSkewCoef,2,impvol_order-2)*F101^2+IF(impvol_order&gt;2,OFFSET(VolSkewCoef,3,impvol_order-2)*F101^3,0)+IF(impvol_order&gt;3,OFFSET(VolSkewCoef,4,impvol_order-2)*F101^4,0)+IF(impvol_order&gt;4,OFFSET(VolSkewCoef,5,impvol_order-2)*F101^5,0)</f>
        <v>0.540313852572396</v>
      </c>
      <c r="I101" s="64" t="n">
        <f aca="true">OFFSET(VolSkewCoef,0,impvol_order-2)+OFFSET(VolSkewCoef,1,impvol_order-2)*E101+OFFSET(VolSkewCoef,2,impvol_order-2)*E101^2+IF(impvol_order&gt;2,OFFSET(VolSkewCoef,3,impvol_order-2)*E101^3,0)+IF(impvol_order&gt;3,OFFSET(VolSkewCoef,4,impvol_order-2)*E101^4,0)+IF(impvol_order&gt;4,OFFSET(VolSkewCoef,5,impvol_order-2)*E101^5,0)</f>
        <v>0.540240588114677</v>
      </c>
      <c r="J101" s="64" t="n">
        <f aca="true">OFFSET(VolSkewCoef,0,impvol_order-2)+OFFSET(VolSkewCoef,1,impvol_order-2)*G101+OFFSET(VolSkewCoef,2,impvol_order-2)*G101^2+IF(impvol_order&gt;2,OFFSET(VolSkewCoef,3,impvol_order-2)*G101^3,0)+IF(impvol_order&gt;3,OFFSET(VolSkewCoef,4,impvol_order-2)*G101^4,0)+IF(impvol_order&gt;4,OFFSET(VolSkewCoef,5,impvol_order-2)*G101^5,0)</f>
        <v>0.54016737419393</v>
      </c>
      <c r="L101" s="79" t="e">
        <f aca="false">EURO(UnderlyingPrice,$D101,IntRate,Yield,$I101,$D$6,L$12,0)</f>
        <v>#NAME?</v>
      </c>
      <c r="M101" s="79" t="e">
        <f aca="false">EURO(UnderlyingPrice,$D101,IntRate,Yield,$I101,$D$6,M$12,0)</f>
        <v>#NAME?</v>
      </c>
      <c r="O101" s="79" t="e">
        <f aca="false">EURO(UnderlyingPrice,$D101*(1+$P$8),IntRate,Yield,$H101,Expiry-Today,O$12,0)</f>
        <v>#NAME?</v>
      </c>
      <c r="P101" s="79" t="e">
        <f aca="false">EURO(UnderlyingPrice,$D101*(1+$P$8),IntRate,Yield,$H101,Expiry-Today,P$12,0)</f>
        <v>#NAME?</v>
      </c>
      <c r="R101" s="79" t="e">
        <f aca="false">EURO(UnderlyingPrice,$D101*(1-$P$8),IntRate,Yield,$J101,Expiry-Today,R$12,0)</f>
        <v>#NAME?</v>
      </c>
      <c r="S101" s="79" t="e">
        <f aca="false">EURO(UnderlyingPrice,$D101*(1-$P$8),IntRate,Yield,$J101,Expiry-Today,S$12,0)</f>
        <v>#NAME?</v>
      </c>
      <c r="U101" s="80" t="e">
        <f aca="false">(O101+R101-2*L101)/($P$8*D101)^2</f>
        <v>#NAME?</v>
      </c>
      <c r="V101" s="80"/>
      <c r="W101" s="81" t="e">
        <f aca="false">U101/$D$9</f>
        <v>#NAME?</v>
      </c>
      <c r="Z101" s="80" t="n">
        <f aca="false">(1/(D101*SQRT(2*PI()*T/365.25*ATMImpVol^2)))</f>
        <v>0.200072586417349</v>
      </c>
      <c r="AA101" s="80" t="n">
        <f aca="false">LN(D101/UnderlyingPrice)+0.5*T/365.25*ATMImpVol^2</f>
        <v>0.280835841647786</v>
      </c>
      <c r="AB101" s="80" t="n">
        <f aca="false">-(AA101^2)</f>
        <v>-0.0788687699540204</v>
      </c>
      <c r="AC101" s="80" t="n">
        <f aca="false">AB101/(2*T/365.25*ATMImpVol^2)</f>
        <v>-0.36663782826721</v>
      </c>
      <c r="AD101" s="82" t="n">
        <f aca="false">EXP(AC101)</f>
        <v>0.693060606556871</v>
      </c>
      <c r="AE101" s="82" t="n">
        <f aca="false">AD101*Z101</f>
        <v>0.13866242809781</v>
      </c>
      <c r="AF101" s="82"/>
      <c r="AG101" s="83" t="n">
        <f aca="false">(LN($D101/UnderlyingPrice)+0.5*ATMImpVol^2*(T/365.25))/(ATMImpVol*SQRT(T/365.25))</f>
        <v>0.856315161920201</v>
      </c>
      <c r="AH101" s="83" t="n">
        <f aca="false">(LN(($D101*(1+$P$8))/UnderlyingPrice)+0.5*ATMImpVol^2*(T/365.25))/(ATMImpVol*SQRT(T/365.25))</f>
        <v>0.857839364011785</v>
      </c>
      <c r="AI101" s="83" t="n">
        <f aca="false">(LN($D101*(1-$P$8)/UnderlyingPrice)+0.5*ATMImpVol^2*(T/365.25))/(ATMImpVol*SQRT(T/365.25))</f>
        <v>0.854790197536967</v>
      </c>
      <c r="AJ101" s="81"/>
      <c r="AK101" s="83" t="e">
        <f aca="false">W101/(AH101-AI101)*(D101*2*$P$8)</f>
        <v>#NAME?</v>
      </c>
      <c r="AL101" s="83"/>
      <c r="AM101" s="84"/>
      <c r="AN101" s="85"/>
      <c r="AX101" s="87" t="n">
        <f aca="true">OFFSET(ENAVolCoef,0,impvol_order-2)+OFFSET(ENAVolCoef,1,impvol_order-2)*E101+OFFSET(ENAVolCoef,2,impvol_order-2)*E101^2+IF(impvol_order&gt;2,OFFSET(ENAVolCoef,3,impvol_order-2)*E101^3,0)+IF(impvol_order&gt;3,OFFSET(ENAVolCoef,4,impvol_order-2)*E101^4,0)+IF(impvol_order&gt;4,OFFSET(ENAVolCoef,5,impvol_order-2)*E101^5,0)</f>
        <v>0.509998171495127</v>
      </c>
      <c r="AY101" s="87" t="n">
        <f aca="true">OFFSET(ENAVolCoef,0,impvol_order-2)+OFFSET(ENAVolCoef,1,impvol_order-2)*F101+OFFSET(ENAVolCoef,2,impvol_order-2)*F101^2+IF(impvol_order&gt;2,OFFSET(ENAVolCoef,3,impvol_order-2)*F101^3,0)+IF(impvol_order&gt;3,OFFSET(ENAVolCoef,4,impvol_order-2)*F101^4,0)+IF(impvol_order&gt;4,OFFSET(ENAVolCoef,5,impvol_order-2)*F101^5,0)</f>
        <v>0.510060510744112</v>
      </c>
      <c r="AZ101" s="87" t="n">
        <f aca="true">OFFSET(ENAVolCoef,0,impvol_order-2)+OFFSET(ENAVolCoef,1,impvol_order-2)*G101+OFFSET(ENAVolCoef,2,impvol_order-2)*G101^2+IF(impvol_order&gt;2,OFFSET(ENAVolCoef,3,impvol_order-2)*G101^3,0)+IF(impvol_order&gt;3,OFFSET(ENAVolCoef,4,impvol_order-2)*G101^4,0)+IF(impvol_order&gt;4,OFFSET(ENAVolCoef,5,impvol_order-2)*G101^5,0)</f>
        <v>0.509935895740302</v>
      </c>
      <c r="BB101" s="48" t="e">
        <f aca="false">EURO(UnderlyingPrice,$D101,IntRate,Yield,AX101,$D$6,1,0)</f>
        <v>#NAME?</v>
      </c>
      <c r="BC101" s="48" t="e">
        <f aca="false">EURO(UnderlyingPrice,$D101*(1+$P$8),IntRate,Yield,AY101,$D$6,1,0)</f>
        <v>#NAME?</v>
      </c>
      <c r="BD101" s="48" t="e">
        <f aca="false">EURO(UnderlyingPrice,$D101*(1-$P$8),IntRate,Yield,AZ101,$D$6,1,0)</f>
        <v>#NAME?</v>
      </c>
      <c r="BF101" s="80" t="e">
        <f aca="false">(BC101+BD101-2*BB101)/($P$8*$D101)^2</f>
        <v>#NAME?</v>
      </c>
      <c r="BG101" s="48" t="e">
        <f aca="false">+BF101/$D$9</f>
        <v>#NAME?</v>
      </c>
      <c r="BI101" s="79" t="e">
        <f aca="false">+BB101-L101</f>
        <v>#NAME?</v>
      </c>
      <c r="BJ101" s="65" t="e">
        <f aca="false">+BI101/BB101</f>
        <v>#NAME?</v>
      </c>
    </row>
    <row r="102" customFormat="false" ht="11.25" hidden="false" customHeight="false" outlineLevel="0" collapsed="false">
      <c r="C102" s="77" t="n">
        <v>89</v>
      </c>
      <c r="D102" s="78" t="n">
        <f aca="true">D101+(ROUNDUP(MAX(StrikeRange),1)-ROUNDDOWN(MIN(StrikeRange),1))/100</f>
        <v>6.11500000000001</v>
      </c>
      <c r="E102" s="64" t="n">
        <f aca="false">+D102/UnderlyingPrice-1</f>
        <v>0.262125902992779</v>
      </c>
      <c r="F102" s="64" t="n">
        <f aca="false">+D102*(1+$P$8)/UnderlyingPrice-1</f>
        <v>0.262756965944275</v>
      </c>
      <c r="G102" s="64" t="n">
        <f aca="false">+D102*(1-$P$8)/UnderlyingPrice-1</f>
        <v>0.261494840041282</v>
      </c>
      <c r="H102" s="64" t="n">
        <f aca="true">OFFSET(VolSkewCoef,0,impvol_order-2)+OFFSET(VolSkewCoef,1,impvol_order-2)*F102+OFFSET(VolSkewCoef,2,impvol_order-2)*F102^2+IF(impvol_order&gt;2,OFFSET(VolSkewCoef,3,impvol_order-2)*F102^3,0)+IF(impvol_order&gt;3,OFFSET(VolSkewCoef,4,impvol_order-2)*F102^4,0)+IF(impvol_order&gt;4,OFFSET(VolSkewCoef,5,impvol_order-2)*F102^5,0)</f>
        <v>0.541161342221749</v>
      </c>
      <c r="I102" s="64" t="n">
        <f aca="true">OFFSET(VolSkewCoef,0,impvol_order-2)+OFFSET(VolSkewCoef,1,impvol_order-2)*E102+OFFSET(VolSkewCoef,2,impvol_order-2)*E102^2+IF(impvol_order&gt;2,OFFSET(VolSkewCoef,3,impvol_order-2)*E102^3,0)+IF(impvol_order&gt;3,OFFSET(VolSkewCoef,4,impvol_order-2)*E102^4,0)+IF(impvol_order&gt;4,OFFSET(VolSkewCoef,5,impvol_order-2)*E102^5,0)</f>
        <v>0.541087088789355</v>
      </c>
      <c r="J102" s="64" t="n">
        <f aca="true">OFFSET(VolSkewCoef,0,impvol_order-2)+OFFSET(VolSkewCoef,1,impvol_order-2)*G102+OFFSET(VolSkewCoef,2,impvol_order-2)*G102^2+IF(impvol_order&gt;2,OFFSET(VolSkewCoef,3,impvol_order-2)*G102^3,0)+IF(impvol_order&gt;3,OFFSET(VolSkewCoef,4,impvol_order-2)*G102^4,0)+IF(impvol_order&gt;4,OFFSET(VolSkewCoef,5,impvol_order-2)*G102^5,0)</f>
        <v>0.541012883567037</v>
      </c>
      <c r="L102" s="79" t="e">
        <f aca="false">EURO(UnderlyingPrice,$D102,IntRate,Yield,$I102,$D$6,L$12,0)</f>
        <v>#NAME?</v>
      </c>
      <c r="M102" s="79" t="e">
        <f aca="false">EURO(UnderlyingPrice,$D102,IntRate,Yield,$I102,$D$6,M$12,0)</f>
        <v>#NAME?</v>
      </c>
      <c r="O102" s="79" t="e">
        <f aca="false">EURO(UnderlyingPrice,$D102*(1+$P$8),IntRate,Yield,$H102,Expiry-Today,O$12,0)</f>
        <v>#NAME?</v>
      </c>
      <c r="P102" s="79" t="e">
        <f aca="false">EURO(UnderlyingPrice,$D102*(1+$P$8),IntRate,Yield,$H102,Expiry-Today,P$12,0)</f>
        <v>#NAME?</v>
      </c>
      <c r="R102" s="79" t="e">
        <f aca="false">EURO(UnderlyingPrice,$D102*(1-$P$8),IntRate,Yield,$J102,Expiry-Today,R$12,0)</f>
        <v>#NAME?</v>
      </c>
      <c r="S102" s="79" t="e">
        <f aca="false">EURO(UnderlyingPrice,$D102*(1-$P$8),IntRate,Yield,$J102,Expiry-Today,S$12,0)</f>
        <v>#NAME?</v>
      </c>
      <c r="U102" s="80" t="e">
        <f aca="false">(O102+R102-2*L102)/($P$8*D102)^2</f>
        <v>#NAME?</v>
      </c>
      <c r="V102" s="80"/>
      <c r="W102" s="81" t="e">
        <f aca="false">U102/$D$9</f>
        <v>#NAME?</v>
      </c>
      <c r="Z102" s="80" t="n">
        <f aca="false">(1/(D102*SQRT(2*PI()*T/365.25*ATMImpVol^2)))</f>
        <v>0.198927444876121</v>
      </c>
      <c r="AA102" s="80" t="n">
        <f aca="false">LN(D102/UnderlyingPrice)+0.5*T/365.25*ATMImpVol^2</f>
        <v>0.286575914808846</v>
      </c>
      <c r="AB102" s="80" t="n">
        <f aca="false">-(AA102^2)</f>
        <v>-0.0821257549485271</v>
      </c>
      <c r="AC102" s="80" t="n">
        <f aca="false">AB102/(2*T/365.25*ATMImpVol^2)</f>
        <v>-0.381778598254887</v>
      </c>
      <c r="AD102" s="82" t="n">
        <f aca="false">EXP(AC102)</f>
        <v>0.682646175529957</v>
      </c>
      <c r="AE102" s="82" t="n">
        <f aca="false">AD102*Z102</f>
        <v>0.13579705945263</v>
      </c>
      <c r="AF102" s="82"/>
      <c r="AG102" s="83" t="n">
        <f aca="false">(LN($D102/UnderlyingPrice)+0.5*ATMImpVol^2*(T/365.25))/(ATMImpVol*SQRT(T/365.25))</f>
        <v>0.873817599107373</v>
      </c>
      <c r="AH102" s="83" t="n">
        <f aca="false">(LN(($D102*(1+$P$8))/UnderlyingPrice)+0.5*ATMImpVol^2*(T/365.25))/(ATMImpVol*SQRT(T/365.25))</f>
        <v>0.875341801198957</v>
      </c>
      <c r="AI102" s="83" t="n">
        <f aca="false">(LN($D102*(1-$P$8)/UnderlyingPrice)+0.5*ATMImpVol^2*(T/365.25))/(ATMImpVol*SQRT(T/365.25))</f>
        <v>0.872292634724139</v>
      </c>
      <c r="AJ102" s="81"/>
      <c r="AK102" s="83" t="e">
        <f aca="false">W102/(AH102-AI102)*(D102*2*$P$8)</f>
        <v>#NAME?</v>
      </c>
      <c r="AL102" s="83"/>
      <c r="AM102" s="84"/>
      <c r="AN102" s="85"/>
      <c r="AX102" s="87" t="n">
        <f aca="true">OFFSET(ENAVolCoef,0,impvol_order-2)+OFFSET(ENAVolCoef,1,impvol_order-2)*E102+OFFSET(ENAVolCoef,2,impvol_order-2)*E102^2+IF(impvol_order&gt;2,OFFSET(ENAVolCoef,3,impvol_order-2)*E102^3,0)+IF(impvol_order&gt;3,OFFSET(ENAVolCoef,4,impvol_order-2)*E102^4,0)+IF(impvol_order&gt;4,OFFSET(ENAVolCoef,5,impvol_order-2)*E102^5,0)</f>
        <v>0.510719697256875</v>
      </c>
      <c r="AY102" s="87" t="n">
        <f aca="true">OFFSET(ENAVolCoef,0,impvol_order-2)+OFFSET(ENAVolCoef,1,impvol_order-2)*F102+OFFSET(ENAVolCoef,2,impvol_order-2)*F102^2+IF(impvol_order&gt;2,OFFSET(ENAVolCoef,3,impvol_order-2)*F102^3,0)+IF(impvol_order&gt;3,OFFSET(ENAVolCoef,4,impvol_order-2)*F102^4,0)+IF(impvol_order&gt;4,OFFSET(ENAVolCoef,5,impvol_order-2)*F102^5,0)</f>
        <v>0.510783119719143</v>
      </c>
      <c r="AZ102" s="87" t="n">
        <f aca="true">OFFSET(ENAVolCoef,0,impvol_order-2)+OFFSET(ENAVolCoef,1,impvol_order-2)*G102+OFFSET(ENAVolCoef,2,impvol_order-2)*G102^2+IF(impvol_order&gt;2,OFFSET(ENAVolCoef,3,impvol_order-2)*G102^3,0)+IF(impvol_order&gt;3,OFFSET(ENAVolCoef,4,impvol_order-2)*G102^4,0)+IF(impvol_order&gt;4,OFFSET(ENAVolCoef,5,impvol_order-2)*G102^5,0)</f>
        <v>0.510656337245195</v>
      </c>
      <c r="BB102" s="48" t="e">
        <f aca="false">EURO(UnderlyingPrice,$D102,IntRate,Yield,AX102,$D$6,1,0)</f>
        <v>#NAME?</v>
      </c>
      <c r="BC102" s="48" t="e">
        <f aca="false">EURO(UnderlyingPrice,$D102*(1+$P$8),IntRate,Yield,AY102,$D$6,1,0)</f>
        <v>#NAME?</v>
      </c>
      <c r="BD102" s="48" t="e">
        <f aca="false">EURO(UnderlyingPrice,$D102*(1-$P$8),IntRate,Yield,AZ102,$D$6,1,0)</f>
        <v>#NAME?</v>
      </c>
      <c r="BF102" s="80" t="e">
        <f aca="false">(BC102+BD102-2*BB102)/($P$8*$D102)^2</f>
        <v>#NAME?</v>
      </c>
      <c r="BG102" s="48" t="e">
        <f aca="false">+BF102/$D$9</f>
        <v>#NAME?</v>
      </c>
      <c r="BI102" s="79" t="e">
        <f aca="false">+BB102-L102</f>
        <v>#NAME?</v>
      </c>
      <c r="BJ102" s="65" t="e">
        <f aca="false">+BI102/BB102</f>
        <v>#NAME?</v>
      </c>
    </row>
    <row r="103" customFormat="false" ht="11.25" hidden="false" customHeight="false" outlineLevel="0" collapsed="false">
      <c r="C103" s="77" t="n">
        <v>90</v>
      </c>
      <c r="D103" s="78" t="n">
        <f aca="true">D102+(ROUNDUP(MAX(StrikeRange),1)-ROUNDDOWN(MIN(StrikeRange),1))/100</f>
        <v>6.15000000000001</v>
      </c>
      <c r="E103" s="64" t="n">
        <f aca="false">+D103/UnderlyingPrice-1</f>
        <v>0.269349845201241</v>
      </c>
      <c r="F103" s="64" t="n">
        <f aca="false">+D103*(1+$P$8)/UnderlyingPrice-1</f>
        <v>0.269984520123842</v>
      </c>
      <c r="G103" s="64" t="n">
        <f aca="false">+D103*(1-$P$8)/UnderlyingPrice-1</f>
        <v>0.268715170278641</v>
      </c>
      <c r="H103" s="64" t="n">
        <f aca="true">OFFSET(VolSkewCoef,0,impvol_order-2)+OFFSET(VolSkewCoef,1,impvol_order-2)*F103+OFFSET(VolSkewCoef,2,impvol_order-2)*F103^2+IF(impvol_order&gt;2,OFFSET(VolSkewCoef,3,impvol_order-2)*F103^3,0)+IF(impvol_order&gt;3,OFFSET(VolSkewCoef,4,impvol_order-2)*F103^4,0)+IF(impvol_order&gt;4,OFFSET(VolSkewCoef,5,impvol_order-2)*F103^5,0)</f>
        <v>0.542015122278396</v>
      </c>
      <c r="I103" s="64" t="n">
        <f aca="true">OFFSET(VolSkewCoef,0,impvol_order-2)+OFFSET(VolSkewCoef,1,impvol_order-2)*E103+OFFSET(VolSkewCoef,2,impvol_order-2)*E103^2+IF(impvol_order&gt;2,OFFSET(VolSkewCoef,3,impvol_order-2)*E103^3,0)+IF(impvol_order&gt;3,OFFSET(VolSkewCoef,4,impvol_order-2)*E103^4,0)+IF(impvol_order&gt;4,OFFSET(VolSkewCoef,5,impvol_order-2)*E103^5,0)</f>
        <v>0.54193990690186</v>
      </c>
      <c r="J103" s="64" t="n">
        <f aca="true">OFFSET(VolSkewCoef,0,impvol_order-2)+OFFSET(VolSkewCoef,1,impvol_order-2)*G103+OFFSET(VolSkewCoef,2,impvol_order-2)*G103^2+IF(impvol_order&gt;2,OFFSET(VolSkewCoef,3,impvol_order-2)*G103^3,0)+IF(impvol_order&gt;3,OFFSET(VolSkewCoef,4,impvol_order-2)*G103^4,0)+IF(impvol_order&gt;4,OFFSET(VolSkewCoef,5,impvol_order-2)*G103^5,0)</f>
        <v>0.541864737345031</v>
      </c>
      <c r="L103" s="79" t="e">
        <f aca="false">EURO(UnderlyingPrice,$D103,IntRate,Yield,$I103,$D$6,L$12,0)</f>
        <v>#NAME?</v>
      </c>
      <c r="M103" s="79" t="e">
        <f aca="false">EURO(UnderlyingPrice,$D103,IntRate,Yield,$I103,$D$6,M$12,0)</f>
        <v>#NAME?</v>
      </c>
      <c r="O103" s="79" t="e">
        <f aca="false">EURO(UnderlyingPrice,$D103*(1+$P$8),IntRate,Yield,$H103,Expiry-Today,O$12,0)</f>
        <v>#NAME?</v>
      </c>
      <c r="P103" s="79" t="e">
        <f aca="false">EURO(UnderlyingPrice,$D103*(1+$P$8),IntRate,Yield,$H103,Expiry-Today,P$12,0)</f>
        <v>#NAME?</v>
      </c>
      <c r="R103" s="79" t="e">
        <f aca="false">EURO(UnderlyingPrice,$D103*(1-$P$8),IntRate,Yield,$J103,Expiry-Today,R$12,0)</f>
        <v>#NAME?</v>
      </c>
      <c r="S103" s="79" t="e">
        <f aca="false">EURO(UnderlyingPrice,$D103*(1-$P$8),IntRate,Yield,$J103,Expiry-Today,S$12,0)</f>
        <v>#NAME?</v>
      </c>
      <c r="U103" s="80" t="e">
        <f aca="false">(O103+R103-2*L103)/($P$8*D103)^2</f>
        <v>#NAME?</v>
      </c>
      <c r="V103" s="80"/>
      <c r="W103" s="81" t="e">
        <f aca="false">U103/$D$9</f>
        <v>#NAME?</v>
      </c>
      <c r="Z103" s="80" t="n">
        <f aca="false">(1/(D103*SQRT(2*PI()*T/365.25*ATMImpVol^2)))</f>
        <v>0.197795337466257</v>
      </c>
      <c r="AA103" s="80" t="n">
        <f aca="false">LN(D103/UnderlyingPrice)+0.5*T/365.25*ATMImpVol^2</f>
        <v>0.292283227488137</v>
      </c>
      <c r="AB103" s="80" t="n">
        <f aca="false">-(AA103^2)</f>
        <v>-0.0854294850708821</v>
      </c>
      <c r="AC103" s="80" t="n">
        <f aca="false">AB103/(2*T/365.25*ATMImpVol^2)</f>
        <v>-0.397136672660603</v>
      </c>
      <c r="AD103" s="82" t="n">
        <f aca="false">EXP(AC103)</f>
        <v>0.672242142231677</v>
      </c>
      <c r="AE103" s="82" t="n">
        <f aca="false">AD103*Z103</f>
        <v>0.132966361381754</v>
      </c>
      <c r="AF103" s="82"/>
      <c r="AG103" s="83" t="n">
        <f aca="false">(LN($D103/UnderlyingPrice)+0.5*ATMImpVol^2*(T/365.25))/(ATMImpVol*SQRT(T/365.25))</f>
        <v>0.89122014414016</v>
      </c>
      <c r="AH103" s="83" t="n">
        <f aca="false">(LN(($D103*(1+$P$8))/UnderlyingPrice)+0.5*ATMImpVol^2*(T/365.25))/(ATMImpVol*SQRT(T/365.25))</f>
        <v>0.892744346231744</v>
      </c>
      <c r="AI103" s="83" t="n">
        <f aca="false">(LN($D103*(1-$P$8)/UnderlyingPrice)+0.5*ATMImpVol^2*(T/365.25))/(ATMImpVol*SQRT(T/365.25))</f>
        <v>0.889695179756926</v>
      </c>
      <c r="AJ103" s="81"/>
      <c r="AK103" s="83" t="e">
        <f aca="false">W103/(AH103-AI103)*(D103*2*$P$8)</f>
        <v>#NAME?</v>
      </c>
      <c r="AL103" s="83"/>
      <c r="AM103" s="84"/>
      <c r="AN103" s="85"/>
      <c r="AX103" s="87" t="n">
        <f aca="true">OFFSET(ENAVolCoef,0,impvol_order-2)+OFFSET(ENAVolCoef,1,impvol_order-2)*E103+OFFSET(ENAVolCoef,2,impvol_order-2)*E103^2+IF(impvol_order&gt;2,OFFSET(ENAVolCoef,3,impvol_order-2)*E103^3,0)+IF(impvol_order&gt;3,OFFSET(ENAVolCoef,4,impvol_order-2)*E103^4,0)+IF(impvol_order&gt;4,OFFSET(ENAVolCoef,5,impvol_order-2)*E103^5,0)</f>
        <v>0.511449406529927</v>
      </c>
      <c r="AY103" s="87" t="n">
        <f aca="true">OFFSET(ENAVolCoef,0,impvol_order-2)+OFFSET(ENAVolCoef,1,impvol_order-2)*F103+OFFSET(ENAVolCoef,2,impvol_order-2)*F103^2+IF(impvol_order&gt;2,OFFSET(ENAVolCoef,3,impvol_order-2)*F103^3,0)+IF(impvol_order&gt;3,OFFSET(ENAVolCoef,4,impvol_order-2)*F103^4,0)+IF(impvol_order&gt;4,OFFSET(ENAVolCoef,5,impvol_order-2)*F103^5,0)</f>
        <v>0.511513900032402</v>
      </c>
      <c r="AZ103" s="87" t="n">
        <f aca="true">OFFSET(ENAVolCoef,0,impvol_order-2)+OFFSET(ENAVolCoef,1,impvol_order-2)*G103+OFFSET(ENAVolCoef,2,impvol_order-2)*G103^2+IF(impvol_order&gt;2,OFFSET(ENAVolCoef,3,impvol_order-2)*G103^3,0)+IF(impvol_order&gt;3,OFFSET(ENAVolCoef,4,impvol_order-2)*G103^4,0)+IF(impvol_order&gt;4,OFFSET(ENAVolCoef,5,impvol_order-2)*G103^5,0)</f>
        <v>0.511384974397882</v>
      </c>
      <c r="BB103" s="48" t="e">
        <f aca="false">EURO(UnderlyingPrice,$D103,IntRate,Yield,AX103,$D$6,1,0)</f>
        <v>#NAME?</v>
      </c>
      <c r="BC103" s="48" t="e">
        <f aca="false">EURO(UnderlyingPrice,$D103*(1+$P$8),IntRate,Yield,AY103,$D$6,1,0)</f>
        <v>#NAME?</v>
      </c>
      <c r="BD103" s="48" t="e">
        <f aca="false">EURO(UnderlyingPrice,$D103*(1-$P$8),IntRate,Yield,AZ103,$D$6,1,0)</f>
        <v>#NAME?</v>
      </c>
      <c r="BF103" s="80" t="e">
        <f aca="false">(BC103+BD103-2*BB103)/($P$8*$D103)^2</f>
        <v>#NAME?</v>
      </c>
      <c r="BG103" s="48" t="e">
        <f aca="false">+BF103/$D$9</f>
        <v>#NAME?</v>
      </c>
      <c r="BI103" s="79" t="e">
        <f aca="false">+BB103-L103</f>
        <v>#NAME?</v>
      </c>
      <c r="BJ103" s="65" t="e">
        <f aca="false">+BI103/BB103</f>
        <v>#NAME?</v>
      </c>
    </row>
    <row r="104" customFormat="false" ht="11.25" hidden="false" customHeight="false" outlineLevel="0" collapsed="false">
      <c r="C104" s="77" t="n">
        <v>91</v>
      </c>
      <c r="D104" s="78" t="n">
        <f aca="true">D103+(ROUNDUP(MAX(StrikeRange),1)-ROUNDDOWN(MIN(StrikeRange),1))/100</f>
        <v>6.18500000000001</v>
      </c>
      <c r="E104" s="64" t="n">
        <f aca="false">+D104/UnderlyingPrice-1</f>
        <v>0.276573787409703</v>
      </c>
      <c r="F104" s="64" t="n">
        <f aca="false">+D104*(1+$P$8)/UnderlyingPrice-1</f>
        <v>0.277212074303408</v>
      </c>
      <c r="G104" s="64" t="n">
        <f aca="false">+D104*(1-$P$8)/UnderlyingPrice-1</f>
        <v>0.275935500515999</v>
      </c>
      <c r="H104" s="64" t="n">
        <f aca="true">OFFSET(VolSkewCoef,0,impvol_order-2)+OFFSET(VolSkewCoef,1,impvol_order-2)*F104+OFFSET(VolSkewCoef,2,impvol_order-2)*F104^2+IF(impvol_order&gt;2,OFFSET(VolSkewCoef,3,impvol_order-2)*F104^3,0)+IF(impvol_order&gt;3,OFFSET(VolSkewCoef,4,impvol_order-2)*F104^4,0)+IF(impvol_order&gt;4,OFFSET(VolSkewCoef,5,impvol_order-2)*F104^5,0)</f>
        <v>0.542874810790463</v>
      </c>
      <c r="I104" s="64" t="n">
        <f aca="true">OFFSET(VolSkewCoef,0,impvol_order-2)+OFFSET(VolSkewCoef,1,impvol_order-2)*E104+OFFSET(VolSkewCoef,2,impvol_order-2)*E104^2+IF(impvol_order&gt;2,OFFSET(VolSkewCoef,3,impvol_order-2)*E104^3,0)+IF(impvol_order&gt;3,OFFSET(VolSkewCoef,4,impvol_order-2)*E104^4,0)+IF(impvol_order&gt;4,OFFSET(VolSkewCoef,5,impvol_order-2)*E104^5,0)</f>
        <v>0.542798661072672</v>
      </c>
      <c r="J104" s="64" t="n">
        <f aca="true">OFFSET(VolSkewCoef,0,impvol_order-2)+OFFSET(VolSkewCoef,1,impvol_order-2)*G104+OFFSET(VolSkewCoef,2,impvol_order-2)*G104^2+IF(impvol_order&gt;2,OFFSET(VolSkewCoef,3,impvol_order-2)*G104^3,0)+IF(impvol_order&gt;3,OFFSET(VolSkewCoef,4,impvol_order-2)*G104^4,0)+IF(impvol_order&gt;4,OFFSET(VolSkewCoef,5,impvol_order-2)*G104^5,0)</f>
        <v>0.542722554720174</v>
      </c>
      <c r="L104" s="79" t="e">
        <f aca="false">EURO(UnderlyingPrice,$D104,IntRate,Yield,$I104,$D$6,L$12,0)</f>
        <v>#NAME?</v>
      </c>
      <c r="M104" s="79" t="e">
        <f aca="false">EURO(UnderlyingPrice,$D104,IntRate,Yield,$I104,$D$6,M$12,0)</f>
        <v>#NAME?</v>
      </c>
      <c r="O104" s="79" t="e">
        <f aca="false">EURO(UnderlyingPrice,$D104*(1+$P$8),IntRate,Yield,$H104,Expiry-Today,O$12,0)</f>
        <v>#NAME?</v>
      </c>
      <c r="P104" s="79" t="e">
        <f aca="false">EURO(UnderlyingPrice,$D104*(1+$P$8),IntRate,Yield,$H104,Expiry-Today,P$12,0)</f>
        <v>#NAME?</v>
      </c>
      <c r="R104" s="79" t="e">
        <f aca="false">EURO(UnderlyingPrice,$D104*(1-$P$8),IntRate,Yield,$J104,Expiry-Today,R$12,0)</f>
        <v>#NAME?</v>
      </c>
      <c r="S104" s="79" t="e">
        <f aca="false">EURO(UnderlyingPrice,$D104*(1-$P$8),IntRate,Yield,$J104,Expiry-Today,S$12,0)</f>
        <v>#NAME?</v>
      </c>
      <c r="U104" s="80" t="e">
        <f aca="false">(O104+R104-2*L104)/($P$8*D104)^2</f>
        <v>#NAME?</v>
      </c>
      <c r="V104" s="80"/>
      <c r="W104" s="81" t="e">
        <f aca="false">U104/$D$9</f>
        <v>#NAME?</v>
      </c>
      <c r="Z104" s="80" t="n">
        <f aca="false">(1/(D104*SQRT(2*PI()*T/365.25*ATMImpVol^2)))</f>
        <v>0.196676042913093</v>
      </c>
      <c r="AA104" s="80" t="n">
        <f aca="false">LN(D104/UnderlyingPrice)+0.5*T/365.25*ATMImpVol^2</f>
        <v>0.297958151514162</v>
      </c>
      <c r="AB104" s="80" t="n">
        <f aca="false">-(AA104^2)</f>
        <v>-0.0887790600537362</v>
      </c>
      <c r="AC104" s="80" t="n">
        <f aca="false">AB104/(2*T/365.25*ATMImpVol^2)</f>
        <v>-0.412707866404943</v>
      </c>
      <c r="AD104" s="82" t="n">
        <f aca="false">EXP(AC104)</f>
        <v>0.661855604845798</v>
      </c>
      <c r="AE104" s="82" t="n">
        <f aca="false">AD104*Z104</f>
        <v>0.130171141340923</v>
      </c>
      <c r="AF104" s="82"/>
      <c r="AG104" s="83" t="n">
        <f aca="false">(LN($D104/UnderlyingPrice)+0.5*ATMImpVol^2*(T/365.25))/(ATMImpVol*SQRT(T/365.25))</f>
        <v>0.908523930785473</v>
      </c>
      <c r="AH104" s="83" t="n">
        <f aca="false">(LN(($D104*(1+$P$8))/UnderlyingPrice)+0.5*ATMImpVol^2*(T/365.25))/(ATMImpVol*SQRT(T/365.25))</f>
        <v>0.910048132877056</v>
      </c>
      <c r="AI104" s="83" t="n">
        <f aca="false">(LN($D104*(1-$P$8)/UnderlyingPrice)+0.5*ATMImpVol^2*(T/365.25))/(ATMImpVol*SQRT(T/365.25))</f>
        <v>0.906998966402238</v>
      </c>
      <c r="AJ104" s="81"/>
      <c r="AK104" s="83" t="e">
        <f aca="false">W104/(AH104-AI104)*(D104*2*$P$8)</f>
        <v>#NAME?</v>
      </c>
      <c r="AL104" s="83"/>
      <c r="AM104" s="84"/>
      <c r="AN104" s="85"/>
      <c r="AX104" s="87" t="n">
        <f aca="true">OFFSET(ENAVolCoef,0,impvol_order-2)+OFFSET(ENAVolCoef,1,impvol_order-2)*E104+OFFSET(ENAVolCoef,2,impvol_order-2)*E104^2+IF(impvol_order&gt;2,OFFSET(ENAVolCoef,3,impvol_order-2)*E104^3,0)+IF(impvol_order&gt;3,OFFSET(ENAVolCoef,4,impvol_order-2)*E104^4,0)+IF(impvol_order&gt;4,OFFSET(ENAVolCoef,5,impvol_order-2)*E104^5,0)</f>
        <v>0.512187066496572</v>
      </c>
      <c r="AY104" s="87" t="n">
        <f aca="true">OFFSET(ENAVolCoef,0,impvol_order-2)+OFFSET(ENAVolCoef,1,impvol_order-2)*F104+OFFSET(ENAVolCoef,2,impvol_order-2)*F104^2+IF(impvol_order&gt;2,OFFSET(ENAVolCoef,3,impvol_order-2)*F104^3,0)+IF(impvol_order&gt;3,OFFSET(ENAVolCoef,4,impvol_order-2)*F104^4,0)+IF(impvol_order&gt;4,OFFSET(ENAVolCoef,5,impvol_order-2)*F104^5,0)</f>
        <v>0.512252618516777</v>
      </c>
      <c r="AZ104" s="87" t="n">
        <f aca="true">OFFSET(ENAVolCoef,0,impvol_order-2)+OFFSET(ENAVolCoef,1,impvol_order-2)*G104+OFFSET(ENAVolCoef,2,impvol_order-2)*G104^2+IF(impvol_order&gt;2,OFFSET(ENAVolCoef,3,impvol_order-2)*G104^3,0)+IF(impvol_order&gt;3,OFFSET(ENAVolCoef,4,impvol_order-2)*G104^4,0)+IF(impvol_order&gt;4,OFFSET(ENAVolCoef,5,impvol_order-2)*G104^5,0)</f>
        <v>0.512121574729706</v>
      </c>
      <c r="BB104" s="48" t="e">
        <f aca="false">EURO(UnderlyingPrice,$D104,IntRate,Yield,AX104,$D$6,1,0)</f>
        <v>#NAME?</v>
      </c>
      <c r="BC104" s="48" t="e">
        <f aca="false">EURO(UnderlyingPrice,$D104*(1+$P$8),IntRate,Yield,AY104,$D$6,1,0)</f>
        <v>#NAME?</v>
      </c>
      <c r="BD104" s="48" t="e">
        <f aca="false">EURO(UnderlyingPrice,$D104*(1-$P$8),IntRate,Yield,AZ104,$D$6,1,0)</f>
        <v>#NAME?</v>
      </c>
      <c r="BF104" s="80" t="e">
        <f aca="false">(BC104+BD104-2*BB104)/($P$8*$D104)^2</f>
        <v>#NAME?</v>
      </c>
      <c r="BG104" s="48" t="e">
        <f aca="false">+BF104/$D$9</f>
        <v>#NAME?</v>
      </c>
      <c r="BI104" s="79" t="e">
        <f aca="false">+BB104-L104</f>
        <v>#NAME?</v>
      </c>
      <c r="BJ104" s="65" t="e">
        <f aca="false">+BI104/BB104</f>
        <v>#NAME?</v>
      </c>
    </row>
    <row r="105" customFormat="false" ht="11.25" hidden="false" customHeight="false" outlineLevel="0" collapsed="false">
      <c r="C105" s="77" t="n">
        <v>92</v>
      </c>
      <c r="D105" s="78" t="n">
        <f aca="true">D104+(ROUNDUP(MAX(StrikeRange),1)-ROUNDDOWN(MIN(StrikeRange),1))/100</f>
        <v>6.22000000000001</v>
      </c>
      <c r="E105" s="64" t="n">
        <f aca="false">+D105/UnderlyingPrice-1</f>
        <v>0.283797729618166</v>
      </c>
      <c r="F105" s="64" t="n">
        <f aca="false">+D105*(1+$P$8)/UnderlyingPrice-1</f>
        <v>0.284439628482975</v>
      </c>
      <c r="G105" s="64" t="n">
        <f aca="false">+D105*(1-$P$8)/UnderlyingPrice-1</f>
        <v>0.283155830753357</v>
      </c>
      <c r="H105" s="64" t="n">
        <f aca="true">OFFSET(VolSkewCoef,0,impvol_order-2)+OFFSET(VolSkewCoef,1,impvol_order-2)*F105+OFFSET(VolSkewCoef,2,impvol_order-2)*F105^2+IF(impvol_order&gt;2,OFFSET(VolSkewCoef,3,impvol_order-2)*F105^3,0)+IF(impvol_order&gt;3,OFFSET(VolSkewCoef,4,impvol_order-2)*F105^4,0)+IF(impvol_order&gt;4,OFFSET(VolSkewCoef,5,impvol_order-2)*F105^5,0)</f>
        <v>0.543740025806075</v>
      </c>
      <c r="I105" s="64" t="n">
        <f aca="true">OFFSET(VolSkewCoef,0,impvol_order-2)+OFFSET(VolSkewCoef,1,impvol_order-2)*E105+OFFSET(VolSkewCoef,2,impvol_order-2)*E105^2+IF(impvol_order&gt;2,OFFSET(VolSkewCoef,3,impvol_order-2)*E105^3,0)+IF(impvol_order&gt;3,OFFSET(VolSkewCoef,4,impvol_order-2)*E105^4,0)+IF(impvol_order&gt;4,OFFSET(VolSkewCoef,5,impvol_order-2)*E105^5,0)</f>
        <v>0.543662969922273</v>
      </c>
      <c r="J105" s="64" t="n">
        <f aca="true">OFFSET(VolSkewCoef,0,impvol_order-2)+OFFSET(VolSkewCoef,1,impvol_order-2)*G105+OFFSET(VolSkewCoef,2,impvol_order-2)*G105^2+IF(impvol_order&gt;2,OFFSET(VolSkewCoef,3,impvol_order-2)*G105^3,0)+IF(impvol_order&gt;3,OFFSET(VolSkewCoef,4,impvol_order-2)*G105^4,0)+IF(impvol_order&gt;4,OFFSET(VolSkewCoef,5,impvol_order-2)*G105^5,0)</f>
        <v>0.54358595488473</v>
      </c>
      <c r="L105" s="79" t="e">
        <f aca="false">EURO(UnderlyingPrice,$D105,IntRate,Yield,$I105,$D$6,L$12,0)</f>
        <v>#NAME?</v>
      </c>
      <c r="M105" s="79" t="e">
        <f aca="false">EURO(UnderlyingPrice,$D105,IntRate,Yield,$I105,$D$6,M$12,0)</f>
        <v>#NAME?</v>
      </c>
      <c r="O105" s="79" t="e">
        <f aca="false">EURO(UnderlyingPrice,$D105*(1+$P$8),IntRate,Yield,$H105,Expiry-Today,O$12,0)</f>
        <v>#NAME?</v>
      </c>
      <c r="P105" s="79" t="e">
        <f aca="false">EURO(UnderlyingPrice,$D105*(1+$P$8),IntRate,Yield,$H105,Expiry-Today,P$12,0)</f>
        <v>#NAME?</v>
      </c>
      <c r="R105" s="79" t="e">
        <f aca="false">EURO(UnderlyingPrice,$D105*(1-$P$8),IntRate,Yield,$J105,Expiry-Today,R$12,0)</f>
        <v>#NAME?</v>
      </c>
      <c r="S105" s="79" t="e">
        <f aca="false">EURO(UnderlyingPrice,$D105*(1-$P$8),IntRate,Yield,$J105,Expiry-Today,S$12,0)</f>
        <v>#NAME?</v>
      </c>
      <c r="U105" s="80" t="e">
        <f aca="false">(O105+R105-2*L105)/($P$8*D105)^2</f>
        <v>#NAME?</v>
      </c>
      <c r="V105" s="80"/>
      <c r="W105" s="81" t="e">
        <f aca="false">U105/$D$9</f>
        <v>#NAME?</v>
      </c>
      <c r="Z105" s="80" t="n">
        <f aca="false">(1/(D105*SQRT(2*PI()*T/365.25*ATMImpVol^2)))</f>
        <v>0.195569344922424</v>
      </c>
      <c r="AA105" s="80" t="n">
        <f aca="false">LN(D105/UnderlyingPrice)+0.5*T/365.25*ATMImpVol^2</f>
        <v>0.303601052420799</v>
      </c>
      <c r="AB105" s="80" t="n">
        <f aca="false">-(AA105^2)</f>
        <v>-0.0921735990310165</v>
      </c>
      <c r="AC105" s="80" t="n">
        <f aca="false">AB105/(2*T/365.25*ATMImpVol^2)</f>
        <v>-0.428488084599344</v>
      </c>
      <c r="AD105" s="82" t="n">
        <f aca="false">EXP(AC105)</f>
        <v>0.651493353312263</v>
      </c>
      <c r="AE105" s="82" t="n">
        <f aca="false">AD105*Z105</f>
        <v>0.127412128328593</v>
      </c>
      <c r="AF105" s="82"/>
      <c r="AG105" s="83" t="n">
        <f aca="false">(LN($D105/UnderlyingPrice)+0.5*ATMImpVol^2*(T/365.25))/(ATMImpVol*SQRT(T/365.25))</f>
        <v>0.925730073616866</v>
      </c>
      <c r="AH105" s="83" t="n">
        <f aca="false">(LN(($D105*(1+$P$8))/UnderlyingPrice)+0.5*ATMImpVol^2*(T/365.25))/(ATMImpVol*SQRT(T/365.25))</f>
        <v>0.92725427570845</v>
      </c>
      <c r="AI105" s="83" t="n">
        <f aca="false">(LN($D105*(1-$P$8)/UnderlyingPrice)+0.5*ATMImpVol^2*(T/365.25))/(ATMImpVol*SQRT(T/365.25))</f>
        <v>0.924205109233632</v>
      </c>
      <c r="AJ105" s="81"/>
      <c r="AK105" s="83" t="e">
        <f aca="false">W105/(AH105-AI105)*(D105*2*$P$8)</f>
        <v>#NAME?</v>
      </c>
      <c r="AL105" s="83"/>
      <c r="AM105" s="84"/>
      <c r="AN105" s="85"/>
      <c r="AX105" s="87" t="n">
        <f aca="true">OFFSET(ENAVolCoef,0,impvol_order-2)+OFFSET(ENAVolCoef,1,impvol_order-2)*E105+OFFSET(ENAVolCoef,2,impvol_order-2)*E105^2+IF(impvol_order&gt;2,OFFSET(ENAVolCoef,3,impvol_order-2)*E105^3,0)+IF(impvol_order&gt;3,OFFSET(ENAVolCoef,4,impvol_order-2)*E105^4,0)+IF(impvol_order&gt;4,OFFSET(ENAVolCoef,5,impvol_order-2)*E105^5,0)</f>
        <v>0.512932444339101</v>
      </c>
      <c r="AY105" s="87" t="n">
        <f aca="true">OFFSET(ENAVolCoef,0,impvol_order-2)+OFFSET(ENAVolCoef,1,impvol_order-2)*F105+OFFSET(ENAVolCoef,2,impvol_order-2)*F105^2+IF(impvol_order&gt;2,OFFSET(ENAVolCoef,3,impvol_order-2)*F105^3,0)+IF(impvol_order&gt;3,OFFSET(ENAVolCoef,4,impvol_order-2)*F105^4,0)+IF(impvol_order&gt;4,OFFSET(ENAVolCoef,5,impvol_order-2)*F105^5,0)</f>
        <v>0.512999042005158</v>
      </c>
      <c r="AZ105" s="87" t="n">
        <f aca="true">OFFSET(ENAVolCoef,0,impvol_order-2)+OFFSET(ENAVolCoef,1,impvol_order-2)*G105+OFFSET(ENAVolCoef,2,impvol_order-2)*G105^2+IF(impvol_order&gt;2,OFFSET(ENAVolCoef,3,impvol_order-2)*G105^3,0)+IF(impvol_order&gt;3,OFFSET(ENAVolCoef,4,impvol_order-2)*G105^4,0)+IF(impvol_order&gt;4,OFFSET(ENAVolCoef,5,impvol_order-2)*G105^5,0)</f>
        <v>0.51286590577201</v>
      </c>
      <c r="BB105" s="48" t="e">
        <f aca="false">EURO(UnderlyingPrice,$D105,IntRate,Yield,AX105,$D$6,1,0)</f>
        <v>#NAME?</v>
      </c>
      <c r="BC105" s="48" t="e">
        <f aca="false">EURO(UnderlyingPrice,$D105*(1+$P$8),IntRate,Yield,AY105,$D$6,1,0)</f>
        <v>#NAME?</v>
      </c>
      <c r="BD105" s="48" t="e">
        <f aca="false">EURO(UnderlyingPrice,$D105*(1-$P$8),IntRate,Yield,AZ105,$D$6,1,0)</f>
        <v>#NAME?</v>
      </c>
      <c r="BF105" s="80" t="e">
        <f aca="false">(BC105+BD105-2*BB105)/($P$8*$D105)^2</f>
        <v>#NAME?</v>
      </c>
      <c r="BG105" s="48" t="e">
        <f aca="false">+BF105/$D$9</f>
        <v>#NAME?</v>
      </c>
      <c r="BI105" s="79" t="e">
        <f aca="false">+BB105-L105</f>
        <v>#NAME?</v>
      </c>
      <c r="BJ105" s="65" t="e">
        <f aca="false">+BI105/BB105</f>
        <v>#NAME?</v>
      </c>
    </row>
    <row r="106" customFormat="false" ht="11.25" hidden="false" customHeight="false" outlineLevel="0" collapsed="false">
      <c r="C106" s="77" t="n">
        <v>93</v>
      </c>
      <c r="D106" s="78" t="n">
        <f aca="true">D105+(ROUNDUP(MAX(StrikeRange),1)-ROUNDDOWN(MIN(StrikeRange),1))/100</f>
        <v>6.25500000000001</v>
      </c>
      <c r="E106" s="64" t="n">
        <f aca="false">+D106/UnderlyingPrice-1</f>
        <v>0.291021671826628</v>
      </c>
      <c r="F106" s="64" t="n">
        <f aca="false">+D106*(1+$P$8)/UnderlyingPrice-1</f>
        <v>0.291667182662541</v>
      </c>
      <c r="G106" s="64" t="n">
        <f aca="false">+D106*(1-$P$8)/UnderlyingPrice-1</f>
        <v>0.290376160990715</v>
      </c>
      <c r="H106" s="64" t="n">
        <f aca="true">OFFSET(VolSkewCoef,0,impvol_order-2)+OFFSET(VolSkewCoef,1,impvol_order-2)*F106+OFFSET(VolSkewCoef,2,impvol_order-2)*F106^2+IF(impvol_order&gt;2,OFFSET(VolSkewCoef,3,impvol_order-2)*F106^3,0)+IF(impvol_order&gt;3,OFFSET(VolSkewCoef,4,impvol_order-2)*F106^4,0)+IF(impvol_order&gt;4,OFFSET(VolSkewCoef,5,impvol_order-2)*F106^5,0)</f>
        <v>0.544610385373355</v>
      </c>
      <c r="I106" s="64" t="n">
        <f aca="true">OFFSET(VolSkewCoef,0,impvol_order-2)+OFFSET(VolSkewCoef,1,impvol_order-2)*E106+OFFSET(VolSkewCoef,2,impvol_order-2)*E106^2+IF(impvol_order&gt;2,OFFSET(VolSkewCoef,3,impvol_order-2)*E106^3,0)+IF(impvol_order&gt;3,OFFSET(VolSkewCoef,4,impvol_order-2)*E106^4,0)+IF(impvol_order&gt;4,OFFSET(VolSkewCoef,5,impvol_order-2)*E106^5,0)</f>
        <v>0.544532452071141</v>
      </c>
      <c r="J106" s="64" t="n">
        <f aca="true">OFFSET(VolSkewCoef,0,impvol_order-2)+OFFSET(VolSkewCoef,1,impvol_order-2)*G106+OFFSET(VolSkewCoef,2,impvol_order-2)*G106^2+IF(impvol_order&gt;2,OFFSET(VolSkewCoef,3,impvol_order-2)*G106^3,0)+IF(impvol_order&gt;3,OFFSET(VolSkewCoef,4,impvol_order-2)*G106^4,0)+IF(impvol_order&gt;4,OFFSET(VolSkewCoef,5,impvol_order-2)*G106^5,0)</f>
        <v>0.544454557030963</v>
      </c>
      <c r="L106" s="79" t="e">
        <f aca="false">EURO(UnderlyingPrice,$D106,IntRate,Yield,$I106,$D$6,L$12,0)</f>
        <v>#NAME?</v>
      </c>
      <c r="M106" s="79" t="e">
        <f aca="false">EURO(UnderlyingPrice,$D106,IntRate,Yield,$I106,$D$6,M$12,0)</f>
        <v>#NAME?</v>
      </c>
      <c r="O106" s="79" t="e">
        <f aca="false">EURO(UnderlyingPrice,$D106*(1+$P$8),IntRate,Yield,$H106,Expiry-Today,O$12,0)</f>
        <v>#NAME?</v>
      </c>
      <c r="P106" s="79" t="e">
        <f aca="false">EURO(UnderlyingPrice,$D106*(1+$P$8),IntRate,Yield,$H106,Expiry-Today,P$12,0)</f>
        <v>#NAME?</v>
      </c>
      <c r="R106" s="79" t="e">
        <f aca="false">EURO(UnderlyingPrice,$D106*(1-$P$8),IntRate,Yield,$J106,Expiry-Today,R$12,0)</f>
        <v>#NAME?</v>
      </c>
      <c r="S106" s="79" t="e">
        <f aca="false">EURO(UnderlyingPrice,$D106*(1-$P$8),IntRate,Yield,$J106,Expiry-Today,S$12,0)</f>
        <v>#NAME?</v>
      </c>
      <c r="U106" s="80" t="e">
        <f aca="false">(O106+R106-2*L106)/($P$8*D106)^2</f>
        <v>#NAME?</v>
      </c>
      <c r="V106" s="80"/>
      <c r="W106" s="81" t="e">
        <f aca="false">U106/$D$9</f>
        <v>#NAME?</v>
      </c>
      <c r="Z106" s="80" t="n">
        <f aca="false">(1/(D106*SQRT(2*PI()*T/365.25*ATMImpVol^2)))</f>
        <v>0.194475032041164</v>
      </c>
      <c r="AA106" s="80" t="n">
        <f aca="false">LN(D106/UnderlyingPrice)+0.5*T/365.25*ATMImpVol^2</f>
        <v>0.309212289588585</v>
      </c>
      <c r="AB106" s="80" t="n">
        <f aca="false">-(AA106^2)</f>
        <v>-0.0956122400326149</v>
      </c>
      <c r="AC106" s="80" t="n">
        <f aca="false">AB106/(2*T/365.25*ATMImpVol^2)</f>
        <v>-0.444473320197054</v>
      </c>
      <c r="AD106" s="82" t="n">
        <f aca="false">EXP(AC106)</f>
        <v>0.641161874130989</v>
      </c>
      <c r="AE106" s="82" t="n">
        <f aca="false">AD106*Z106</f>
        <v>0.124689976015197</v>
      </c>
      <c r="AF106" s="82"/>
      <c r="AG106" s="83" t="n">
        <f aca="false">(LN($D106/UnderlyingPrice)+0.5*ATMImpVol^2*(T/365.25))/(ATMImpVol*SQRT(T/365.25))</f>
        <v>0.942839668445335</v>
      </c>
      <c r="AH106" s="83" t="n">
        <f aca="false">(LN(($D106*(1+$P$8))/UnderlyingPrice)+0.5*ATMImpVol^2*(T/365.25))/(ATMImpVol*SQRT(T/365.25))</f>
        <v>0.944363870536919</v>
      </c>
      <c r="AI106" s="83" t="n">
        <f aca="false">(LN($D106*(1-$P$8)/UnderlyingPrice)+0.5*ATMImpVol^2*(T/365.25))/(ATMImpVol*SQRT(T/365.25))</f>
        <v>0.941314704062101</v>
      </c>
      <c r="AJ106" s="81"/>
      <c r="AK106" s="83" t="e">
        <f aca="false">W106/(AH106-AI106)*(D106*2*$P$8)</f>
        <v>#NAME?</v>
      </c>
      <c r="AL106" s="83"/>
      <c r="AM106" s="84"/>
      <c r="AN106" s="85"/>
      <c r="AX106" s="87" t="n">
        <f aca="true">OFFSET(ENAVolCoef,0,impvol_order-2)+OFFSET(ENAVolCoef,1,impvol_order-2)*E106+OFFSET(ENAVolCoef,2,impvol_order-2)*E106^2+IF(impvol_order&gt;2,OFFSET(ENAVolCoef,3,impvol_order-2)*E106^3,0)+IF(impvol_order&gt;3,OFFSET(ENAVolCoef,4,impvol_order-2)*E106^4,0)+IF(impvol_order&gt;4,OFFSET(ENAVolCoef,5,impvol_order-2)*E106^5,0)</f>
        <v>0.513685307239806</v>
      </c>
      <c r="AY106" s="87" t="n">
        <f aca="true">OFFSET(ENAVolCoef,0,impvol_order-2)+OFFSET(ENAVolCoef,1,impvol_order-2)*F106+OFFSET(ENAVolCoef,2,impvol_order-2)*F106^2+IF(impvol_order&gt;2,OFFSET(ENAVolCoef,3,impvol_order-2)*F106^3,0)+IF(impvol_order&gt;3,OFFSET(ENAVolCoef,4,impvol_order-2)*F106^4,0)+IF(impvol_order&gt;4,OFFSET(ENAVolCoef,5,impvol_order-2)*F106^5,0)</f>
        <v>0.513752937330434</v>
      </c>
      <c r="AZ106" s="87" t="n">
        <f aca="true">OFFSET(ENAVolCoef,0,impvol_order-2)+OFFSET(ENAVolCoef,1,impvol_order-2)*G106+OFFSET(ENAVolCoef,2,impvol_order-2)*G106^2+IF(impvol_order&gt;2,OFFSET(ENAVolCoef,3,impvol_order-2)*G106^3,0)+IF(impvol_order&gt;3,OFFSET(ENAVolCoef,4,impvol_order-2)*G106^4,0)+IF(impvol_order&gt;4,OFFSET(ENAVolCoef,5,impvol_order-2)*G106^5,0)</f>
        <v>0.513617735056135</v>
      </c>
      <c r="BB106" s="48" t="e">
        <f aca="false">EURO(UnderlyingPrice,$D106,IntRate,Yield,AX106,$D$6,1,0)</f>
        <v>#NAME?</v>
      </c>
      <c r="BC106" s="48" t="e">
        <f aca="false">EURO(UnderlyingPrice,$D106*(1+$P$8),IntRate,Yield,AY106,$D$6,1,0)</f>
        <v>#NAME?</v>
      </c>
      <c r="BD106" s="48" t="e">
        <f aca="false">EURO(UnderlyingPrice,$D106*(1-$P$8),IntRate,Yield,AZ106,$D$6,1,0)</f>
        <v>#NAME?</v>
      </c>
      <c r="BF106" s="80" t="e">
        <f aca="false">(BC106+BD106-2*BB106)/($P$8*$D106)^2</f>
        <v>#NAME?</v>
      </c>
      <c r="BG106" s="48" t="e">
        <f aca="false">+BF106/$D$9</f>
        <v>#NAME?</v>
      </c>
      <c r="BI106" s="79" t="e">
        <f aca="false">+BB106-L106</f>
        <v>#NAME?</v>
      </c>
      <c r="BJ106" s="65" t="e">
        <f aca="false">+BI106/BB106</f>
        <v>#NAME?</v>
      </c>
    </row>
    <row r="107" customFormat="false" ht="11.25" hidden="false" customHeight="false" outlineLevel="0" collapsed="false">
      <c r="C107" s="77" t="n">
        <v>94</v>
      </c>
      <c r="D107" s="78" t="n">
        <f aca="true">D106+(ROUNDUP(MAX(StrikeRange),1)-ROUNDDOWN(MIN(StrikeRange),1))/100</f>
        <v>6.29000000000001</v>
      </c>
      <c r="E107" s="64" t="n">
        <f aca="false">+D107/UnderlyingPrice-1</f>
        <v>0.298245614035091</v>
      </c>
      <c r="F107" s="64" t="n">
        <f aca="false">+D107*(1+$P$8)/UnderlyingPrice-1</f>
        <v>0.298894736842108</v>
      </c>
      <c r="G107" s="64" t="n">
        <f aca="false">+D107*(1-$P$8)/UnderlyingPrice-1</f>
        <v>0.297596491228073</v>
      </c>
      <c r="H107" s="64" t="n">
        <f aca="true">OFFSET(VolSkewCoef,0,impvol_order-2)+OFFSET(VolSkewCoef,1,impvol_order-2)*F107+OFFSET(VolSkewCoef,2,impvol_order-2)*F107^2+IF(impvol_order&gt;2,OFFSET(VolSkewCoef,3,impvol_order-2)*F107^3,0)+IF(impvol_order&gt;3,OFFSET(VolSkewCoef,4,impvol_order-2)*F107^4,0)+IF(impvol_order&gt;4,OFFSET(VolSkewCoef,5,impvol_order-2)*F107^5,0)</f>
        <v>0.54548550754043</v>
      </c>
      <c r="I107" s="64" t="n">
        <f aca="true">OFFSET(VolSkewCoef,0,impvol_order-2)+OFFSET(VolSkewCoef,1,impvol_order-2)*E107+OFFSET(VolSkewCoef,2,impvol_order-2)*E107^2+IF(impvol_order&gt;2,OFFSET(VolSkewCoef,3,impvol_order-2)*E107^3,0)+IF(impvol_order&gt;3,OFFSET(VolSkewCoef,4,impvol_order-2)*E107^4,0)+IF(impvol_order&gt;4,OFFSET(VolSkewCoef,5,impvol_order-2)*E107^5,0)</f>
        <v>0.545406726139757</v>
      </c>
      <c r="J107" s="64" t="n">
        <f aca="true">OFFSET(VolSkewCoef,0,impvol_order-2)+OFFSET(VolSkewCoef,1,impvol_order-2)*G107+OFFSET(VolSkewCoef,2,impvol_order-2)*G107^2+IF(impvol_order&gt;2,OFFSET(VolSkewCoef,3,impvol_order-2)*G107^3,0)+IF(impvol_order&gt;3,OFFSET(VolSkewCoef,4,impvol_order-2)*G107^4,0)+IF(impvol_order&gt;4,OFFSET(VolSkewCoef,5,impvol_order-2)*G107^5,0)</f>
        <v>0.545327980351137</v>
      </c>
      <c r="L107" s="79" t="e">
        <f aca="false">EURO(UnderlyingPrice,$D107,IntRate,Yield,$I107,$D$6,L$12,0)</f>
        <v>#NAME?</v>
      </c>
      <c r="M107" s="79" t="e">
        <f aca="false">EURO(UnderlyingPrice,$D107,IntRate,Yield,$I107,$D$6,M$12,0)</f>
        <v>#NAME?</v>
      </c>
      <c r="O107" s="79" t="e">
        <f aca="false">EURO(UnderlyingPrice,$D107*(1+$P$8),IntRate,Yield,$H107,Expiry-Today,O$12,0)</f>
        <v>#NAME?</v>
      </c>
      <c r="P107" s="79" t="e">
        <f aca="false">EURO(UnderlyingPrice,$D107*(1+$P$8),IntRate,Yield,$H107,Expiry-Today,P$12,0)</f>
        <v>#NAME?</v>
      </c>
      <c r="R107" s="79" t="e">
        <f aca="false">EURO(UnderlyingPrice,$D107*(1-$P$8),IntRate,Yield,$J107,Expiry-Today,R$12,0)</f>
        <v>#NAME?</v>
      </c>
      <c r="S107" s="79" t="e">
        <f aca="false">EURO(UnderlyingPrice,$D107*(1-$P$8),IntRate,Yield,$J107,Expiry-Today,S$12,0)</f>
        <v>#NAME?</v>
      </c>
      <c r="U107" s="80" t="e">
        <f aca="false">(O107+R107-2*L107)/($P$8*D107)^2</f>
        <v>#NAME?</v>
      </c>
      <c r="V107" s="80"/>
      <c r="W107" s="81" t="e">
        <f aca="false">U107/$D$9</f>
        <v>#NAME?</v>
      </c>
      <c r="Z107" s="80" t="n">
        <f aca="false">(1/(D107*SQRT(2*PI()*T/365.25*ATMImpVol^2)))</f>
        <v>0.193392897522652</v>
      </c>
      <c r="AA107" s="80" t="n">
        <f aca="false">LN(D107/UnderlyingPrice)+0.5*T/365.25*ATMImpVol^2</f>
        <v>0.31479221638206</v>
      </c>
      <c r="AB107" s="80" t="n">
        <f aca="false">-(AA107^2)</f>
        <v>-0.0990941394947296</v>
      </c>
      <c r="AC107" s="80" t="n">
        <f aca="false">AB107/(2*T/365.25*ATMImpVol^2)</f>
        <v>-0.460659651716853</v>
      </c>
      <c r="AD107" s="82" t="n">
        <f aca="false">EXP(AC107)</f>
        <v>0.630867355484656</v>
      </c>
      <c r="AE107" s="82" t="n">
        <f aca="false">AD107*Z107</f>
        <v>0.12200526582963</v>
      </c>
      <c r="AF107" s="82"/>
      <c r="AG107" s="83" t="n">
        <f aca="false">(LN($D107/UnderlyingPrice)+0.5*ATMImpVol^2*(T/365.25))/(ATMImpVol*SQRT(T/365.25))</f>
        <v>0.959853792738095</v>
      </c>
      <c r="AH107" s="83" t="n">
        <f aca="false">(LN(($D107*(1+$P$8))/UnderlyingPrice)+0.5*ATMImpVol^2*(T/365.25))/(ATMImpVol*SQRT(T/365.25))</f>
        <v>0.961377994829678</v>
      </c>
      <c r="AI107" s="83" t="n">
        <f aca="false">(LN($D107*(1-$P$8)/UnderlyingPrice)+0.5*ATMImpVol^2*(T/365.25))/(ATMImpVol*SQRT(T/365.25))</f>
        <v>0.95832882835486</v>
      </c>
      <c r="AJ107" s="81"/>
      <c r="AK107" s="83" t="e">
        <f aca="false">W107/(AH107-AI107)*(D107*2*$P$8)</f>
        <v>#NAME?</v>
      </c>
      <c r="AL107" s="83"/>
      <c r="AM107" s="84"/>
      <c r="AN107" s="85"/>
      <c r="AX107" s="87" t="n">
        <f aca="true">OFFSET(ENAVolCoef,0,impvol_order-2)+OFFSET(ENAVolCoef,1,impvol_order-2)*E107+OFFSET(ENAVolCoef,2,impvol_order-2)*E107^2+IF(impvol_order&gt;2,OFFSET(ENAVolCoef,3,impvol_order-2)*E107^3,0)+IF(impvol_order&gt;3,OFFSET(ENAVolCoef,4,impvol_order-2)*E107^4,0)+IF(impvol_order&gt;4,OFFSET(ENAVolCoef,5,impvol_order-2)*E107^5,0)</f>
        <v>0.514445422380976</v>
      </c>
      <c r="AY107" s="87" t="n">
        <f aca="true">OFFSET(ENAVolCoef,0,impvol_order-2)+OFFSET(ENAVolCoef,1,impvol_order-2)*F107+OFFSET(ENAVolCoef,2,impvol_order-2)*F107^2+IF(impvol_order&gt;2,OFFSET(ENAVolCoef,3,impvol_order-2)*F107^3,0)+IF(impvol_order&gt;3,OFFSET(ENAVolCoef,4,impvol_order-2)*F107^4,0)+IF(impvol_order&gt;4,OFFSET(ENAVolCoef,5,impvol_order-2)*F107^5,0)</f>
        <v>0.514514071325494</v>
      </c>
      <c r="AZ107" s="87" t="n">
        <f aca="true">OFFSET(ENAVolCoef,0,impvol_order-2)+OFFSET(ENAVolCoef,1,impvol_order-2)*G107+OFFSET(ENAVolCoef,2,impvol_order-2)*G107^2+IF(impvol_order&gt;2,OFFSET(ENAVolCoef,3,impvol_order-2)*G107^3,0)+IF(impvol_order&gt;3,OFFSET(ENAVolCoef,4,impvol_order-2)*G107^4,0)+IF(impvol_order&gt;4,OFFSET(ENAVolCoef,5,impvol_order-2)*G107^5,0)</f>
        <v>0.514376830113426</v>
      </c>
      <c r="BB107" s="48" t="e">
        <f aca="false">EURO(UnderlyingPrice,$D107,IntRate,Yield,AX107,$D$6,1,0)</f>
        <v>#NAME?</v>
      </c>
      <c r="BC107" s="48" t="e">
        <f aca="false">EURO(UnderlyingPrice,$D107*(1+$P$8),IntRate,Yield,AY107,$D$6,1,0)</f>
        <v>#NAME?</v>
      </c>
      <c r="BD107" s="48" t="e">
        <f aca="false">EURO(UnderlyingPrice,$D107*(1-$P$8),IntRate,Yield,AZ107,$D$6,1,0)</f>
        <v>#NAME?</v>
      </c>
      <c r="BF107" s="80" t="e">
        <f aca="false">(BC107+BD107-2*BB107)/($P$8*$D107)^2</f>
        <v>#NAME?</v>
      </c>
      <c r="BG107" s="48" t="e">
        <f aca="false">+BF107/$D$9</f>
        <v>#NAME?</v>
      </c>
      <c r="BI107" s="79" t="e">
        <f aca="false">+BB107-L107</f>
        <v>#NAME?</v>
      </c>
      <c r="BJ107" s="65" t="e">
        <f aca="false">+BI107/BB107</f>
        <v>#NAME?</v>
      </c>
    </row>
    <row r="108" customFormat="false" ht="11.25" hidden="false" customHeight="false" outlineLevel="0" collapsed="false">
      <c r="C108" s="77" t="n">
        <v>95</v>
      </c>
      <c r="D108" s="78" t="n">
        <f aca="true">D107+(ROUNDUP(MAX(StrikeRange),1)-ROUNDDOWN(MIN(StrikeRange),1))/100</f>
        <v>6.32500000000001</v>
      </c>
      <c r="E108" s="64" t="n">
        <f aca="false">+D108/UnderlyingPrice-1</f>
        <v>0.305469556243553</v>
      </c>
      <c r="F108" s="64" t="n">
        <f aca="false">+D108*(1+$P$8)/UnderlyingPrice-1</f>
        <v>0.306122291021675</v>
      </c>
      <c r="G108" s="64" t="n">
        <f aca="false">+D108*(1-$P$8)/UnderlyingPrice-1</f>
        <v>0.304816821465431</v>
      </c>
      <c r="H108" s="64" t="n">
        <f aca="true">OFFSET(VolSkewCoef,0,impvol_order-2)+OFFSET(VolSkewCoef,1,impvol_order-2)*F108+OFFSET(VolSkewCoef,2,impvol_order-2)*F108^2+IF(impvol_order&gt;2,OFFSET(VolSkewCoef,3,impvol_order-2)*F108^3,0)+IF(impvol_order&gt;3,OFFSET(VolSkewCoef,4,impvol_order-2)*F108^4,0)+IF(impvol_order&gt;4,OFFSET(VolSkewCoef,5,impvol_order-2)*F108^5,0)</f>
        <v>0.546365010355423</v>
      </c>
      <c r="I108" s="64" t="n">
        <f aca="true">OFFSET(VolSkewCoef,0,impvol_order-2)+OFFSET(VolSkewCoef,1,impvol_order-2)*E108+OFFSET(VolSkewCoef,2,impvol_order-2)*E108^2+IF(impvol_order&gt;2,OFFSET(VolSkewCoef,3,impvol_order-2)*E108^3,0)+IF(impvol_order&gt;3,OFFSET(VolSkewCoef,4,impvol_order-2)*E108^4,0)+IF(impvol_order&gt;4,OFFSET(VolSkewCoef,5,impvol_order-2)*E108^5,0)</f>
        <v>0.546285410748602</v>
      </c>
      <c r="J108" s="64" t="n">
        <f aca="true">OFFSET(VolSkewCoef,0,impvol_order-2)+OFFSET(VolSkewCoef,1,impvol_order-2)*G108+OFFSET(VolSkewCoef,2,impvol_order-2)*G108^2+IF(impvol_order&gt;2,OFFSET(VolSkewCoef,3,impvol_order-2)*G108^3,0)+IF(impvol_order&gt;3,OFFSET(VolSkewCoef,4,impvol_order-2)*G108^4,0)+IF(impvol_order&gt;4,OFFSET(VolSkewCoef,5,impvol_order-2)*G108^5,0)</f>
        <v>0.546205844037513</v>
      </c>
      <c r="L108" s="79" t="e">
        <f aca="false">EURO(UnderlyingPrice,$D108,IntRate,Yield,$I108,$D$6,L$12,0)</f>
        <v>#NAME?</v>
      </c>
      <c r="M108" s="79" t="e">
        <f aca="false">EURO(UnderlyingPrice,$D108,IntRate,Yield,$I108,$D$6,M$12,0)</f>
        <v>#NAME?</v>
      </c>
      <c r="O108" s="79" t="e">
        <f aca="false">EURO(UnderlyingPrice,$D108*(1+$P$8),IntRate,Yield,$H108,Expiry-Today,O$12,0)</f>
        <v>#NAME?</v>
      </c>
      <c r="P108" s="79" t="e">
        <f aca="false">EURO(UnderlyingPrice,$D108*(1+$P$8),IntRate,Yield,$H108,Expiry-Today,P$12,0)</f>
        <v>#NAME?</v>
      </c>
      <c r="R108" s="79" t="e">
        <f aca="false">EURO(UnderlyingPrice,$D108*(1-$P$8),IntRate,Yield,$J108,Expiry-Today,R$12,0)</f>
        <v>#NAME?</v>
      </c>
      <c r="S108" s="79" t="e">
        <f aca="false">EURO(UnderlyingPrice,$D108*(1-$P$8),IntRate,Yield,$J108,Expiry-Today,S$12,0)</f>
        <v>#NAME?</v>
      </c>
      <c r="U108" s="80" t="e">
        <f aca="false">(O108+R108-2*L108)/($P$8*D108)^2</f>
        <v>#NAME?</v>
      </c>
      <c r="V108" s="80"/>
      <c r="W108" s="81" t="e">
        <f aca="false">U108/$D$9</f>
        <v>#NAME?</v>
      </c>
      <c r="Z108" s="80" t="n">
        <f aca="false">(1/(D108*SQRT(2*PI()*T/365.25*ATMImpVol^2)))</f>
        <v>0.192322739196439</v>
      </c>
      <c r="AA108" s="80" t="n">
        <f aca="false">LN(D108/UnderlyingPrice)+0.5*T/365.25*ATMImpVol^2</f>
        <v>0.320341180283295</v>
      </c>
      <c r="AB108" s="80" t="n">
        <f aca="false">-(AA108^2)</f>
        <v>-0.102618471785294</v>
      </c>
      <c r="AC108" s="80" t="n">
        <f aca="false">AB108/(2*T/365.25*ATMImpVol^2)</f>
        <v>-0.477043241036909</v>
      </c>
      <c r="AD108" s="82" t="n">
        <f aca="false">EXP(AC108)</f>
        <v>0.620615692647148</v>
      </c>
      <c r="AE108" s="82" t="n">
        <f aca="false">AD108*Z108</f>
        <v>0.119358509998195</v>
      </c>
      <c r="AF108" s="82"/>
      <c r="AG108" s="83" t="n">
        <f aca="false">(LN($D108/UnderlyingPrice)+0.5*ATMImpVol^2*(T/365.25))/(ATMImpVol*SQRT(T/365.25))</f>
        <v>0.97677350602574</v>
      </c>
      <c r="AH108" s="83" t="n">
        <f aca="false">(LN(($D108*(1+$P$8))/UnderlyingPrice)+0.5*ATMImpVol^2*(T/365.25))/(ATMImpVol*SQRT(T/365.25))</f>
        <v>0.978297708117324</v>
      </c>
      <c r="AI108" s="83" t="n">
        <f aca="false">(LN($D108*(1-$P$8)/UnderlyingPrice)+0.5*ATMImpVol^2*(T/365.25))/(ATMImpVol*SQRT(T/365.25))</f>
        <v>0.975248541642506</v>
      </c>
      <c r="AJ108" s="81"/>
      <c r="AK108" s="83" t="e">
        <f aca="false">W108/(AH108-AI108)*(D108*2*$P$8)</f>
        <v>#NAME?</v>
      </c>
      <c r="AL108" s="83"/>
      <c r="AM108" s="84"/>
      <c r="AN108" s="85"/>
      <c r="AX108" s="87" t="n">
        <f aca="true">OFFSET(ENAVolCoef,0,impvol_order-2)+OFFSET(ENAVolCoef,1,impvol_order-2)*E108+OFFSET(ENAVolCoef,2,impvol_order-2)*E108^2+IF(impvol_order&gt;2,OFFSET(ENAVolCoef,3,impvol_order-2)*E108^3,0)+IF(impvol_order&gt;3,OFFSET(ENAVolCoef,4,impvol_order-2)*E108^4,0)+IF(impvol_order&gt;4,OFFSET(ENAVolCoef,5,impvol_order-2)*E108^5,0)</f>
        <v>0.515212556944902</v>
      </c>
      <c r="AY108" s="87" t="n">
        <f aca="true">OFFSET(ENAVolCoef,0,impvol_order-2)+OFFSET(ENAVolCoef,1,impvol_order-2)*F108+OFFSET(ENAVolCoef,2,impvol_order-2)*F108^2+IF(impvol_order&gt;2,OFFSET(ENAVolCoef,3,impvol_order-2)*F108^3,0)+IF(impvol_order&gt;3,OFFSET(ENAVolCoef,4,impvol_order-2)*F108^4,0)+IF(impvol_order&gt;4,OFFSET(ENAVolCoef,5,impvol_order-2)*F108^5,0)</f>
        <v>0.515282210823229</v>
      </c>
      <c r="AZ108" s="87" t="n">
        <f aca="true">OFFSET(ENAVolCoef,0,impvol_order-2)+OFFSET(ENAVolCoef,1,impvol_order-2)*G108+OFFSET(ENAVolCoef,2,impvol_order-2)*G108^2+IF(impvol_order&gt;2,OFFSET(ENAVolCoef,3,impvol_order-2)*G108^3,0)+IF(impvol_order&gt;3,OFFSET(ENAVolCoef,4,impvol_order-2)*G108^4,0)+IF(impvol_order&gt;4,OFFSET(ENAVolCoef,5,impvol_order-2)*G108^5,0)</f>
        <v>0.515142958475224</v>
      </c>
      <c r="BB108" s="48" t="e">
        <f aca="false">EURO(UnderlyingPrice,$D108,IntRate,Yield,AX108,$D$6,1,0)</f>
        <v>#NAME?</v>
      </c>
      <c r="BC108" s="48" t="e">
        <f aca="false">EURO(UnderlyingPrice,$D108*(1+$P$8),IntRate,Yield,AY108,$D$6,1,0)</f>
        <v>#NAME?</v>
      </c>
      <c r="BD108" s="48" t="e">
        <f aca="false">EURO(UnderlyingPrice,$D108*(1-$P$8),IntRate,Yield,AZ108,$D$6,1,0)</f>
        <v>#NAME?</v>
      </c>
      <c r="BF108" s="80" t="e">
        <f aca="false">(BC108+BD108-2*BB108)/($P$8*$D108)^2</f>
        <v>#NAME?</v>
      </c>
      <c r="BG108" s="48" t="e">
        <f aca="false">+BF108/$D$9</f>
        <v>#NAME?</v>
      </c>
      <c r="BI108" s="79" t="e">
        <f aca="false">+BB108-L108</f>
        <v>#NAME?</v>
      </c>
      <c r="BJ108" s="65" t="e">
        <f aca="false">+BI108/BB108</f>
        <v>#NAME?</v>
      </c>
    </row>
    <row r="109" customFormat="false" ht="11.25" hidden="false" customHeight="false" outlineLevel="0" collapsed="false">
      <c r="C109" s="77" t="n">
        <v>96</v>
      </c>
      <c r="D109" s="78" t="n">
        <f aca="true">D108+(ROUNDUP(MAX(StrikeRange),1)-ROUNDDOWN(MIN(StrikeRange),1))/100</f>
        <v>6.36000000000001</v>
      </c>
      <c r="E109" s="64" t="n">
        <f aca="false">+D109/UnderlyingPrice-1</f>
        <v>0.312693498452015</v>
      </c>
      <c r="F109" s="64" t="n">
        <f aca="false">+D109*(1+$P$8)/UnderlyingPrice-1</f>
        <v>0.313349845201241</v>
      </c>
      <c r="G109" s="64" t="n">
        <f aca="false">+D109*(1-$P$8)/UnderlyingPrice-1</f>
        <v>0.312037151702789</v>
      </c>
      <c r="H109" s="64" t="n">
        <f aca="true">OFFSET(VolSkewCoef,0,impvol_order-2)+OFFSET(VolSkewCoef,1,impvol_order-2)*F109+OFFSET(VolSkewCoef,2,impvol_order-2)*F109^2+IF(impvol_order&gt;2,OFFSET(VolSkewCoef,3,impvol_order-2)*F109^3,0)+IF(impvol_order&gt;3,OFFSET(VolSkewCoef,4,impvol_order-2)*F109^4,0)+IF(impvol_order&gt;4,OFFSET(VolSkewCoef,5,impvol_order-2)*F109^5,0)</f>
        <v>0.54724851186646</v>
      </c>
      <c r="I109" s="64" t="n">
        <f aca="true">OFFSET(VolSkewCoef,0,impvol_order-2)+OFFSET(VolSkewCoef,1,impvol_order-2)*E109+OFFSET(VolSkewCoef,2,impvol_order-2)*E109^2+IF(impvol_order&gt;2,OFFSET(VolSkewCoef,3,impvol_order-2)*E109^3,0)+IF(impvol_order&gt;3,OFFSET(VolSkewCoef,4,impvol_order-2)*E109^4,0)+IF(impvol_order&gt;4,OFFSET(VolSkewCoef,5,impvol_order-2)*E109^5,0)</f>
        <v>0.547168124518154</v>
      </c>
      <c r="J109" s="64" t="n">
        <f aca="true">OFFSET(VolSkewCoef,0,impvol_order-2)+OFFSET(VolSkewCoef,1,impvol_order-2)*G109+OFFSET(VolSkewCoef,2,impvol_order-2)*G109^2+IF(impvol_order&gt;2,OFFSET(VolSkewCoef,3,impvol_order-2)*G109^3,0)+IF(impvol_order&gt;3,OFFSET(VolSkewCoef,4,impvol_order-2)*G109^4,0)+IF(impvol_order&gt;4,OFFSET(VolSkewCoef,5,impvol_order-2)*G109^5,0)</f>
        <v>0.547087767282357</v>
      </c>
      <c r="L109" s="79" t="e">
        <f aca="false">EURO(UnderlyingPrice,$D109,IntRate,Yield,$I109,$D$6,L$12,0)</f>
        <v>#NAME?</v>
      </c>
      <c r="M109" s="79" t="e">
        <f aca="false">EURO(UnderlyingPrice,$D109,IntRate,Yield,$I109,$D$6,M$12,0)</f>
        <v>#NAME?</v>
      </c>
      <c r="O109" s="79" t="e">
        <f aca="false">EURO(UnderlyingPrice,$D109*(1+$P$8),IntRate,Yield,$H109,Expiry-Today,O$12,0)</f>
        <v>#NAME?</v>
      </c>
      <c r="P109" s="79" t="e">
        <f aca="false">EURO(UnderlyingPrice,$D109*(1+$P$8),IntRate,Yield,$H109,Expiry-Today,P$12,0)</f>
        <v>#NAME?</v>
      </c>
      <c r="R109" s="79" t="e">
        <f aca="false">EURO(UnderlyingPrice,$D109*(1-$P$8),IntRate,Yield,$J109,Expiry-Today,R$12,0)</f>
        <v>#NAME?</v>
      </c>
      <c r="S109" s="79" t="e">
        <f aca="false">EURO(UnderlyingPrice,$D109*(1-$P$8),IntRate,Yield,$J109,Expiry-Today,S$12,0)</f>
        <v>#NAME?</v>
      </c>
      <c r="U109" s="80" t="e">
        <f aca="false">(O109+R109-2*L109)/($P$8*D109)^2</f>
        <v>#NAME?</v>
      </c>
      <c r="V109" s="80"/>
      <c r="W109" s="81" t="e">
        <f aca="false">U109/$D$9</f>
        <v>#NAME?</v>
      </c>
      <c r="Z109" s="80" t="n">
        <f aca="false">(1/(D109*SQRT(2*PI()*T/365.25*ATMImpVol^2)))</f>
        <v>0.191264359342371</v>
      </c>
      <c r="AA109" s="80" t="n">
        <f aca="false">LN(D109/UnderlyingPrice)+0.5*T/365.25*ATMImpVol^2</f>
        <v>0.325859523021741</v>
      </c>
      <c r="AB109" s="80" t="n">
        <f aca="false">-(AA109^2)</f>
        <v>-0.106184428743957</v>
      </c>
      <c r="AC109" s="80" t="n">
        <f aca="false">AB109/(2*T/365.25*ATMImpVol^2)</f>
        <v>-0.493620331256277</v>
      </c>
      <c r="AD109" s="82" t="n">
        <f aca="false">EXP(AC109)</f>
        <v>0.610412493645884</v>
      </c>
      <c r="AE109" s="82" t="n">
        <f aca="false">AD109*Z109</f>
        <v>0.116750154531759</v>
      </c>
      <c r="AF109" s="82"/>
      <c r="AG109" s="83" t="n">
        <f aca="false">(LN($D109/UnderlyingPrice)+0.5*ATMImpVol^2*(T/365.25))/(ATMImpVol*SQRT(T/365.25))</f>
        <v>0.993599850298174</v>
      </c>
      <c r="AH109" s="83" t="n">
        <f aca="false">(LN(($D109*(1+$P$8))/UnderlyingPrice)+0.5*ATMImpVol^2*(T/365.25))/(ATMImpVol*SQRT(T/365.25))</f>
        <v>0.995124052389757</v>
      </c>
      <c r="AI109" s="83" t="n">
        <f aca="false">(LN($D109*(1-$P$8)/UnderlyingPrice)+0.5*ATMImpVol^2*(T/365.25))/(ATMImpVol*SQRT(T/365.25))</f>
        <v>0.992074885914939</v>
      </c>
      <c r="AJ109" s="81"/>
      <c r="AK109" s="83" t="e">
        <f aca="false">W109/(AH109-AI109)*(D109*2*$P$8)</f>
        <v>#NAME?</v>
      </c>
      <c r="AL109" s="83"/>
      <c r="AM109" s="84"/>
      <c r="AN109" s="85"/>
      <c r="AX109" s="87" t="n">
        <f aca="true">OFFSET(ENAVolCoef,0,impvol_order-2)+OFFSET(ENAVolCoef,1,impvol_order-2)*E109+OFFSET(ENAVolCoef,2,impvol_order-2)*E109^2+IF(impvol_order&gt;2,OFFSET(ENAVolCoef,3,impvol_order-2)*E109^3,0)+IF(impvol_order&gt;3,OFFSET(ENAVolCoef,4,impvol_order-2)*E109^4,0)+IF(impvol_order&gt;4,OFFSET(ENAVolCoef,5,impvol_order-2)*E109^5,0)</f>
        <v>0.515986478113875</v>
      </c>
      <c r="AY109" s="87" t="n">
        <f aca="true">OFFSET(ENAVolCoef,0,impvol_order-2)+OFFSET(ENAVolCoef,1,impvol_order-2)*F109+OFFSET(ENAVolCoef,2,impvol_order-2)*F109^2+IF(impvol_order&gt;2,OFFSET(ENAVolCoef,3,impvol_order-2)*F109^3,0)+IF(impvol_order&gt;3,OFFSET(ENAVolCoef,4,impvol_order-2)*F109^4,0)+IF(impvol_order&gt;4,OFFSET(ENAVolCoef,5,impvol_order-2)*F109^5,0)</f>
        <v>0.516057122656527</v>
      </c>
      <c r="AZ109" s="87" t="n">
        <f aca="true">OFFSET(ENAVolCoef,0,impvol_order-2)+OFFSET(ENAVolCoef,1,impvol_order-2)*G109+OFFSET(ENAVolCoef,2,impvol_order-2)*G109^2+IF(impvol_order&gt;2,OFFSET(ENAVolCoef,3,impvol_order-2)*G109^3,0)+IF(impvol_order&gt;3,OFFSET(ENAVolCoef,4,impvol_order-2)*G109^4,0)+IF(impvol_order&gt;4,OFFSET(ENAVolCoef,5,impvol_order-2)*G109^5,0)</f>
        <v>0.515915887672871</v>
      </c>
      <c r="BB109" s="48" t="e">
        <f aca="false">EURO(UnderlyingPrice,$D109,IntRate,Yield,AX109,$D$6,1,0)</f>
        <v>#NAME?</v>
      </c>
      <c r="BC109" s="48" t="e">
        <f aca="false">EURO(UnderlyingPrice,$D109*(1+$P$8),IntRate,Yield,AY109,$D$6,1,0)</f>
        <v>#NAME?</v>
      </c>
      <c r="BD109" s="48" t="e">
        <f aca="false">EURO(UnderlyingPrice,$D109*(1-$P$8),IntRate,Yield,AZ109,$D$6,1,0)</f>
        <v>#NAME?</v>
      </c>
      <c r="BF109" s="80" t="e">
        <f aca="false">(BC109+BD109-2*BB109)/($P$8*$D109)^2</f>
        <v>#NAME?</v>
      </c>
      <c r="BG109" s="48" t="e">
        <f aca="false">+BF109/$D$9</f>
        <v>#NAME?</v>
      </c>
      <c r="BI109" s="79" t="e">
        <f aca="false">+BB109-L109</f>
        <v>#NAME?</v>
      </c>
      <c r="BJ109" s="65" t="e">
        <f aca="false">+BI109/BB109</f>
        <v>#NAME?</v>
      </c>
    </row>
    <row r="110" customFormat="false" ht="11.25" hidden="false" customHeight="false" outlineLevel="0" collapsed="false">
      <c r="C110" s="77" t="n">
        <v>97</v>
      </c>
      <c r="D110" s="78" t="n">
        <f aca="true">D109+(ROUNDUP(MAX(StrikeRange),1)-ROUNDDOWN(MIN(StrikeRange),1))/100</f>
        <v>6.39500000000001</v>
      </c>
      <c r="E110" s="64" t="n">
        <f aca="false">+D110/UnderlyingPrice-1</f>
        <v>0.319917440660478</v>
      </c>
      <c r="F110" s="64" t="n">
        <f aca="false">+D110*(1+$P$8)/UnderlyingPrice-1</f>
        <v>0.320577399380808</v>
      </c>
      <c r="G110" s="64" t="n">
        <f aca="false">+D110*(1-$P$8)/UnderlyingPrice-1</f>
        <v>0.319257481940147</v>
      </c>
      <c r="H110" s="64" t="n">
        <f aca="true">OFFSET(VolSkewCoef,0,impvol_order-2)+OFFSET(VolSkewCoef,1,impvol_order-2)*F110+OFFSET(VolSkewCoef,2,impvol_order-2)*F110^2+IF(impvol_order&gt;2,OFFSET(VolSkewCoef,3,impvol_order-2)*F110^3,0)+IF(impvol_order&gt;3,OFFSET(VolSkewCoef,4,impvol_order-2)*F110^4,0)+IF(impvol_order&gt;4,OFFSET(VolSkewCoef,5,impvol_order-2)*F110^5,0)</f>
        <v>0.548135630121666</v>
      </c>
      <c r="I110" s="64" t="n">
        <f aca="true">OFFSET(VolSkewCoef,0,impvol_order-2)+OFFSET(VolSkewCoef,1,impvol_order-2)*E110+OFFSET(VolSkewCoef,2,impvol_order-2)*E110^2+IF(impvol_order&gt;2,OFFSET(VolSkewCoef,3,impvol_order-2)*E110^3,0)+IF(impvol_order&gt;3,OFFSET(VolSkewCoef,4,impvol_order-2)*E110^4,0)+IF(impvol_order&gt;4,OFFSET(VolSkewCoef,5,impvol_order-2)*E110^5,0)</f>
        <v>0.548054486068895</v>
      </c>
      <c r="J110" s="64" t="n">
        <f aca="true">OFFSET(VolSkewCoef,0,impvol_order-2)+OFFSET(VolSkewCoef,1,impvol_order-2)*G110+OFFSET(VolSkewCoef,2,impvol_order-2)*G110^2+IF(impvol_order&gt;2,OFFSET(VolSkewCoef,3,impvol_order-2)*G110^3,0)+IF(impvol_order&gt;3,OFFSET(VolSkewCoef,4,impvol_order-2)*G110^4,0)+IF(impvol_order&gt;4,OFFSET(VolSkewCoef,5,impvol_order-2)*G110^5,0)</f>
        <v>0.54797336927793</v>
      </c>
      <c r="L110" s="79" t="e">
        <f aca="false">EURO(UnderlyingPrice,$D110,IntRate,Yield,$I110,$D$6,L$12,0)</f>
        <v>#NAME?</v>
      </c>
      <c r="M110" s="79" t="e">
        <f aca="false">EURO(UnderlyingPrice,$D110,IntRate,Yield,$I110,$D$6,M$12,0)</f>
        <v>#NAME?</v>
      </c>
      <c r="O110" s="79" t="e">
        <f aca="false">EURO(UnderlyingPrice,$D110*(1+$P$8),IntRate,Yield,$H110,Expiry-Today,O$12,0)</f>
        <v>#NAME?</v>
      </c>
      <c r="P110" s="79" t="e">
        <f aca="false">EURO(UnderlyingPrice,$D110*(1+$P$8),IntRate,Yield,$H110,Expiry-Today,P$12,0)</f>
        <v>#NAME?</v>
      </c>
      <c r="R110" s="79" t="e">
        <f aca="false">EURO(UnderlyingPrice,$D110*(1-$P$8),IntRate,Yield,$J110,Expiry-Today,R$12,0)</f>
        <v>#NAME?</v>
      </c>
      <c r="S110" s="79" t="e">
        <f aca="false">EURO(UnderlyingPrice,$D110*(1-$P$8),IntRate,Yield,$J110,Expiry-Today,S$12,0)</f>
        <v>#NAME?</v>
      </c>
      <c r="U110" s="80" t="e">
        <f aca="false">(O110+R110-2*L110)/($P$8*D110)^2</f>
        <v>#NAME?</v>
      </c>
      <c r="V110" s="80"/>
      <c r="W110" s="81" t="e">
        <f aca="false">U110/$D$9</f>
        <v>#NAME?</v>
      </c>
      <c r="Z110" s="80" t="n">
        <f aca="false">(1/(D110*SQRT(2*PI()*T/365.25*ATMImpVol^2)))</f>
        <v>0.1902175645688</v>
      </c>
      <c r="AA110" s="80" t="n">
        <f aca="false">LN(D110/UnderlyingPrice)+0.5*T/365.25*ATMImpVol^2</f>
        <v>0.331347580700517</v>
      </c>
      <c r="AB110" s="80" t="n">
        <f aca="false">-(AA110^2)</f>
        <v>-0.109791219236085</v>
      </c>
      <c r="AC110" s="80" t="n">
        <f aca="false">AB110/(2*T/365.25*ATMImpVol^2)</f>
        <v>-0.510387244621602</v>
      </c>
      <c r="AD110" s="82" t="n">
        <f aca="false">EXP(AC110)</f>
        <v>0.600263085147941</v>
      </c>
      <c r="AE110" s="82" t="n">
        <f aca="false">AD110*Z110</f>
        <v>0.114180582157396</v>
      </c>
      <c r="AF110" s="82"/>
      <c r="AG110" s="83" t="n">
        <f aca="false">(LN($D110/UnderlyingPrice)+0.5*ATMImpVol^2*(T/365.25))/(ATMImpVol*SQRT(T/365.25))</f>
        <v>1.01033385038966</v>
      </c>
      <c r="AH110" s="83" t="n">
        <f aca="false">(LN(($D110*(1+$P$8))/UnderlyingPrice)+0.5*ATMImpVol^2*(T/365.25))/(ATMImpVol*SQRT(T/365.25))</f>
        <v>1.01185805248125</v>
      </c>
      <c r="AI110" s="83" t="n">
        <f aca="false">(LN($D110*(1-$P$8)/UnderlyingPrice)+0.5*ATMImpVol^2*(T/365.25))/(ATMImpVol*SQRT(T/365.25))</f>
        <v>1.00880888600643</v>
      </c>
      <c r="AJ110" s="81"/>
      <c r="AK110" s="83" t="e">
        <f aca="false">W110/(AH110-AI110)*(D110*2*$P$8)</f>
        <v>#NAME?</v>
      </c>
      <c r="AL110" s="83"/>
      <c r="AM110" s="84"/>
      <c r="AN110" s="85"/>
      <c r="AX110" s="87" t="n">
        <f aca="true">OFFSET(ENAVolCoef,0,impvol_order-2)+OFFSET(ENAVolCoef,1,impvol_order-2)*E110+OFFSET(ENAVolCoef,2,impvol_order-2)*E110^2+IF(impvol_order&gt;2,OFFSET(ENAVolCoef,3,impvol_order-2)*E110^3,0)+IF(impvol_order&gt;3,OFFSET(ENAVolCoef,4,impvol_order-2)*E110^4,0)+IF(impvol_order&gt;4,OFFSET(ENAVolCoef,5,impvol_order-2)*E110^5,0)</f>
        <v>0.516766953070185</v>
      </c>
      <c r="AY110" s="87" t="n">
        <f aca="true">OFFSET(ENAVolCoef,0,impvol_order-2)+OFFSET(ENAVolCoef,1,impvol_order-2)*F110+OFFSET(ENAVolCoef,2,impvol_order-2)*F110^2+IF(impvol_order&gt;2,OFFSET(ENAVolCoef,3,impvol_order-2)*F110^3,0)+IF(impvol_order&gt;3,OFFSET(ENAVolCoef,4,impvol_order-2)*F110^4,0)+IF(impvol_order&gt;4,OFFSET(ENAVolCoef,5,impvol_order-2)*F110^5,0)</f>
        <v>0.516838573658278</v>
      </c>
      <c r="AZ110" s="87" t="n">
        <f aca="true">OFFSET(ENAVolCoef,0,impvol_order-2)+OFFSET(ENAVolCoef,1,impvol_order-2)*G110+OFFSET(ENAVolCoef,2,impvol_order-2)*G110^2+IF(impvol_order&gt;2,OFFSET(ENAVolCoef,3,impvol_order-2)*G110^3,0)+IF(impvol_order&gt;3,OFFSET(ENAVolCoef,4,impvol_order-2)*G110^4,0)+IF(impvol_order&gt;4,OFFSET(ENAVolCoef,5,impvol_order-2)*G110^5,0)</f>
        <v>0.516695385237712</v>
      </c>
      <c r="BB110" s="48" t="e">
        <f aca="false">EURO(UnderlyingPrice,$D110,IntRate,Yield,AX110,$D$6,1,0)</f>
        <v>#NAME?</v>
      </c>
      <c r="BC110" s="48" t="e">
        <f aca="false">EURO(UnderlyingPrice,$D110*(1+$P$8),IntRate,Yield,AY110,$D$6,1,0)</f>
        <v>#NAME?</v>
      </c>
      <c r="BD110" s="48" t="e">
        <f aca="false">EURO(UnderlyingPrice,$D110*(1-$P$8),IntRate,Yield,AZ110,$D$6,1,0)</f>
        <v>#NAME?</v>
      </c>
      <c r="BF110" s="80" t="e">
        <f aca="false">(BC110+BD110-2*BB110)/($P$8*$D110)^2</f>
        <v>#NAME?</v>
      </c>
      <c r="BG110" s="48" t="e">
        <f aca="false">+BF110/$D$9</f>
        <v>#NAME?</v>
      </c>
      <c r="BI110" s="79" t="e">
        <f aca="false">+BB110-L110</f>
        <v>#NAME?</v>
      </c>
      <c r="BJ110" s="65" t="e">
        <f aca="false">+BI110/BB110</f>
        <v>#NAME?</v>
      </c>
    </row>
    <row r="111" customFormat="false" ht="11.25" hidden="false" customHeight="false" outlineLevel="0" collapsed="false">
      <c r="C111" s="77" t="n">
        <v>98</v>
      </c>
      <c r="D111" s="78" t="n">
        <f aca="true">D110+(ROUNDUP(MAX(StrikeRange),1)-ROUNDDOWN(MIN(StrikeRange),1))/100</f>
        <v>6.43000000000001</v>
      </c>
      <c r="E111" s="64" t="n">
        <f aca="false">+D111/UnderlyingPrice-1</f>
        <v>0.32714138286894</v>
      </c>
      <c r="F111" s="64" t="n">
        <f aca="false">+D111*(1+$P$8)/UnderlyingPrice-1</f>
        <v>0.327804953560374</v>
      </c>
      <c r="G111" s="64" t="n">
        <f aca="false">+D111*(1-$P$8)/UnderlyingPrice-1</f>
        <v>0.326477812177506</v>
      </c>
      <c r="H111" s="64" t="n">
        <f aca="true">OFFSET(VolSkewCoef,0,impvol_order-2)+OFFSET(VolSkewCoef,1,impvol_order-2)*F111+OFFSET(VolSkewCoef,2,impvol_order-2)*F111^2+IF(impvol_order&gt;2,OFFSET(VolSkewCoef,3,impvol_order-2)*F111^3,0)+IF(impvol_order&gt;3,OFFSET(VolSkewCoef,4,impvol_order-2)*F111^4,0)+IF(impvol_order&gt;4,OFFSET(VolSkewCoef,5,impvol_order-2)*F111^5,0)</f>
        <v>0.549025983169164</v>
      </c>
      <c r="I111" s="64" t="n">
        <f aca="true">OFFSET(VolSkewCoef,0,impvol_order-2)+OFFSET(VolSkewCoef,1,impvol_order-2)*E111+OFFSET(VolSkewCoef,2,impvol_order-2)*E111^2+IF(impvol_order&gt;2,OFFSET(VolSkewCoef,3,impvol_order-2)*E111^3,0)+IF(impvol_order&gt;3,OFFSET(VolSkewCoef,4,impvol_order-2)*E111^4,0)+IF(impvol_order&gt;4,OFFSET(VolSkewCoef,5,impvol_order-2)*E111^5,0)</f>
        <v>0.548944114021305</v>
      </c>
      <c r="J111" s="64" t="n">
        <f aca="true">OFFSET(VolSkewCoef,0,impvol_order-2)+OFFSET(VolSkewCoef,1,impvol_order-2)*G111+OFFSET(VolSkewCoef,2,impvol_order-2)*G111^2+IF(impvol_order&gt;2,OFFSET(VolSkewCoef,3,impvol_order-2)*G111^3,0)+IF(impvol_order&gt;3,OFFSET(VolSkewCoef,4,impvol_order-2)*G111^4,0)+IF(impvol_order&gt;4,OFFSET(VolSkewCoef,5,impvol_order-2)*G111^5,0)</f>
        <v>0.548862269216498</v>
      </c>
      <c r="L111" s="79" t="e">
        <f aca="false">EURO(UnderlyingPrice,$D111,IntRate,Yield,$I111,$D$6,L$12,0)</f>
        <v>#NAME?</v>
      </c>
      <c r="M111" s="79" t="e">
        <f aca="false">EURO(UnderlyingPrice,$D111,IntRate,Yield,$I111,$D$6,M$12,0)</f>
        <v>#NAME?</v>
      </c>
      <c r="O111" s="79" t="e">
        <f aca="false">EURO(UnderlyingPrice,$D111*(1+$P$8),IntRate,Yield,$H111,Expiry-Today,O$12,0)</f>
        <v>#NAME?</v>
      </c>
      <c r="P111" s="79" t="e">
        <f aca="false">EURO(UnderlyingPrice,$D111*(1+$P$8),IntRate,Yield,$H111,Expiry-Today,P$12,0)</f>
        <v>#NAME?</v>
      </c>
      <c r="R111" s="79" t="e">
        <f aca="false">EURO(UnderlyingPrice,$D111*(1-$P$8),IntRate,Yield,$J111,Expiry-Today,R$12,0)</f>
        <v>#NAME?</v>
      </c>
      <c r="S111" s="79" t="e">
        <f aca="false">EURO(UnderlyingPrice,$D111*(1-$P$8),IntRate,Yield,$J111,Expiry-Today,S$12,0)</f>
        <v>#NAME?</v>
      </c>
      <c r="U111" s="80" t="e">
        <f aca="false">(O111+R111-2*L111)/($P$8*D111)^2</f>
        <v>#NAME?</v>
      </c>
      <c r="V111" s="80"/>
      <c r="W111" s="81" t="e">
        <f aca="false">U111/$D$9</f>
        <v>#NAME?</v>
      </c>
      <c r="Z111" s="80" t="n">
        <f aca="false">(1/(D111*SQRT(2*PI()*T/365.25*ATMImpVol^2)))</f>
        <v>0.189182165694787</v>
      </c>
      <c r="AA111" s="80" t="n">
        <f aca="false">LN(D111/UnderlyingPrice)+0.5*T/365.25*ATMImpVol^2</f>
        <v>0.336805683919239</v>
      </c>
      <c r="AB111" s="80" t="n">
        <f aca="false">-(AA111^2)</f>
        <v>-0.113438068720306</v>
      </c>
      <c r="AC111" s="80" t="n">
        <f aca="false">AB111/(2*T/365.25*ATMImpVol^2)</f>
        <v>-0.52734038051673</v>
      </c>
      <c r="AD111" s="82" t="n">
        <f aca="false">EXP(AC111)</f>
        <v>0.590172518541396</v>
      </c>
      <c r="AE111" s="82" t="n">
        <f aca="false">AD111*Z111</f>
        <v>0.111650115191208</v>
      </c>
      <c r="AF111" s="82"/>
      <c r="AG111" s="83" t="n">
        <f aca="false">(LN($D111/UnderlyingPrice)+0.5*ATMImpVol^2*(T/365.25))/(ATMImpVol*SQRT(T/365.25))</f>
        <v>1.0269765143534</v>
      </c>
      <c r="AH111" s="83" t="n">
        <f aca="false">(LN(($D111*(1+$P$8))/UnderlyingPrice)+0.5*ATMImpVol^2*(T/365.25))/(ATMImpVol*SQRT(T/365.25))</f>
        <v>1.02850071644498</v>
      </c>
      <c r="AI111" s="83" t="n">
        <f aca="false">(LN($D111*(1-$P$8)/UnderlyingPrice)+0.5*ATMImpVol^2*(T/365.25))/(ATMImpVol*SQRT(T/365.25))</f>
        <v>1.02545154997017</v>
      </c>
      <c r="AJ111" s="81"/>
      <c r="AK111" s="83" t="e">
        <f aca="false">W111/(AH111-AI111)*(D111*2*$P$8)</f>
        <v>#NAME?</v>
      </c>
      <c r="AL111" s="83"/>
      <c r="AM111" s="84"/>
      <c r="AN111" s="85"/>
      <c r="AX111" s="87" t="n">
        <f aca="true">OFFSET(ENAVolCoef,0,impvol_order-2)+OFFSET(ENAVolCoef,1,impvol_order-2)*E111+OFFSET(ENAVolCoef,2,impvol_order-2)*E111^2+IF(impvol_order&gt;2,OFFSET(ENAVolCoef,3,impvol_order-2)*E111^3,0)+IF(impvol_order&gt;3,OFFSET(ENAVolCoef,4,impvol_order-2)*E111^4,0)+IF(impvol_order&gt;4,OFFSET(ENAVolCoef,5,impvol_order-2)*E111^5,0)</f>
        <v>0.517553748996123</v>
      </c>
      <c r="AY111" s="87" t="n">
        <f aca="true">OFFSET(ENAVolCoef,0,impvol_order-2)+OFFSET(ENAVolCoef,1,impvol_order-2)*F111+OFFSET(ENAVolCoef,2,impvol_order-2)*F111^2+IF(impvol_order&gt;2,OFFSET(ENAVolCoef,3,impvol_order-2)*F111^3,0)+IF(impvol_order&gt;3,OFFSET(ENAVolCoef,4,impvol_order-2)*F111^4,0)+IF(impvol_order&gt;4,OFFSET(ENAVolCoef,5,impvol_order-2)*F111^5,0)</f>
        <v>0.517626330661371</v>
      </c>
      <c r="AZ111" s="87" t="n">
        <f aca="true">OFFSET(ENAVolCoef,0,impvol_order-2)+OFFSET(ENAVolCoef,1,impvol_order-2)*G111+OFFSET(ENAVolCoef,2,impvol_order-2)*G111^2+IF(impvol_order&gt;2,OFFSET(ENAVolCoef,3,impvol_order-2)*G111^3,0)+IF(impvol_order&gt;3,OFFSET(ENAVolCoef,4,impvol_order-2)*G111^4,0)+IF(impvol_order&gt;4,OFFSET(ENAVolCoef,5,impvol_order-2)*G111^5,0)</f>
        <v>0.517481218701087</v>
      </c>
      <c r="BB111" s="48" t="e">
        <f aca="false">EURO(UnderlyingPrice,$D111,IntRate,Yield,AX111,$D$6,1,0)</f>
        <v>#NAME?</v>
      </c>
      <c r="BC111" s="48" t="e">
        <f aca="false">EURO(UnderlyingPrice,$D111*(1+$P$8),IntRate,Yield,AY111,$D$6,1,0)</f>
        <v>#NAME?</v>
      </c>
      <c r="BD111" s="48" t="e">
        <f aca="false">EURO(UnderlyingPrice,$D111*(1-$P$8),IntRate,Yield,AZ111,$D$6,1,0)</f>
        <v>#NAME?</v>
      </c>
      <c r="BF111" s="80" t="e">
        <f aca="false">(BC111+BD111-2*BB111)/($P$8*$D111)^2</f>
        <v>#NAME?</v>
      </c>
      <c r="BG111" s="48" t="e">
        <f aca="false">+BF111/$D$9</f>
        <v>#NAME?</v>
      </c>
      <c r="BI111" s="79" t="e">
        <f aca="false">+BB111-L111</f>
        <v>#NAME?</v>
      </c>
      <c r="BJ111" s="65" t="e">
        <f aca="false">+BI111/BB111</f>
        <v>#NAME?</v>
      </c>
    </row>
    <row r="112" customFormat="false" ht="11.25" hidden="false" customHeight="false" outlineLevel="0" collapsed="false">
      <c r="C112" s="77" t="n">
        <v>99</v>
      </c>
      <c r="D112" s="78" t="n">
        <f aca="true">D111+(ROUNDUP(MAX(StrikeRange),1)-ROUNDDOWN(MIN(StrikeRange),1))/100</f>
        <v>6.46500000000001</v>
      </c>
      <c r="E112" s="64" t="n">
        <f aca="false">+D112/UnderlyingPrice-1</f>
        <v>0.334365325077402</v>
      </c>
      <c r="F112" s="64" t="n">
        <f aca="false">+D112*(1+$P$8)/UnderlyingPrice-1</f>
        <v>0.335032507739941</v>
      </c>
      <c r="G112" s="64" t="n">
        <f aca="false">+D112*(1-$P$8)/UnderlyingPrice-1</f>
        <v>0.333698142414864</v>
      </c>
      <c r="H112" s="64" t="n">
        <f aca="true">OFFSET(VolSkewCoef,0,impvol_order-2)+OFFSET(VolSkewCoef,1,impvol_order-2)*F112+OFFSET(VolSkewCoef,2,impvol_order-2)*F112^2+IF(impvol_order&gt;2,OFFSET(VolSkewCoef,3,impvol_order-2)*F112^3,0)+IF(impvol_order&gt;3,OFFSET(VolSkewCoef,4,impvol_order-2)*F112^4,0)+IF(impvol_order&gt;4,OFFSET(VolSkewCoef,5,impvol_order-2)*F112^5,0)</f>
        <v>0.54991918905708</v>
      </c>
      <c r="I112" s="64" t="n">
        <f aca="true">OFFSET(VolSkewCoef,0,impvol_order-2)+OFFSET(VolSkewCoef,1,impvol_order-2)*E112+OFFSET(VolSkewCoef,2,impvol_order-2)*E112^2+IF(impvol_order&gt;2,OFFSET(VolSkewCoef,3,impvol_order-2)*E112^3,0)+IF(impvol_order&gt;3,OFFSET(VolSkewCoef,4,impvol_order-2)*E112^4,0)+IF(impvol_order&gt;4,OFFSET(VolSkewCoef,5,impvol_order-2)*E112^5,0)</f>
        <v>0.549836626995863</v>
      </c>
      <c r="J112" s="64" t="n">
        <f aca="true">OFFSET(VolSkewCoef,0,impvol_order-2)+OFFSET(VolSkewCoef,1,impvol_order-2)*G112+OFFSET(VolSkewCoef,2,impvol_order-2)*G112^2+IF(impvol_order&gt;2,OFFSET(VolSkewCoef,3,impvol_order-2)*G112^3,0)+IF(impvol_order&gt;3,OFFSET(VolSkewCoef,4,impvol_order-2)*G112^4,0)+IF(impvol_order&gt;4,OFFSET(VolSkewCoef,5,impvol_order-2)*G112^5,0)</f>
        <v>0.549754086290322</v>
      </c>
      <c r="L112" s="79" t="e">
        <f aca="false">EURO(UnderlyingPrice,$D112,IntRate,Yield,$I112,$D$6,L$12,0)</f>
        <v>#NAME?</v>
      </c>
      <c r="M112" s="79" t="e">
        <f aca="false">EURO(UnderlyingPrice,$D112,IntRate,Yield,$I112,$D$6,M$12,0)</f>
        <v>#NAME?</v>
      </c>
      <c r="O112" s="79" t="e">
        <f aca="false">EURO(UnderlyingPrice,$D112*(1+$P$8),IntRate,Yield,$H112,Expiry-Today,O$12,0)</f>
        <v>#NAME?</v>
      </c>
      <c r="P112" s="79" t="e">
        <f aca="false">EURO(UnderlyingPrice,$D112*(1+$P$8),IntRate,Yield,$H112,Expiry-Today,P$12,0)</f>
        <v>#NAME?</v>
      </c>
      <c r="R112" s="79" t="e">
        <f aca="false">EURO(UnderlyingPrice,$D112*(1-$P$8),IntRate,Yield,$J112,Expiry-Today,R$12,0)</f>
        <v>#NAME?</v>
      </c>
      <c r="S112" s="79" t="e">
        <f aca="false">EURO(UnderlyingPrice,$D112*(1-$P$8),IntRate,Yield,$J112,Expiry-Today,S$12,0)</f>
        <v>#NAME?</v>
      </c>
      <c r="U112" s="80" t="e">
        <f aca="false">(O112+R112-2*L112)/($P$8*D112)^2</f>
        <v>#NAME?</v>
      </c>
      <c r="V112" s="80"/>
      <c r="W112" s="81" t="e">
        <f aca="false">U112/$D$9</f>
        <v>#NAME?</v>
      </c>
      <c r="Z112" s="80" t="n">
        <f aca="false">(1/(D112*SQRT(2*PI()*T/365.25*ATMImpVol^2)))</f>
        <v>0.188157977636114</v>
      </c>
      <c r="AA112" s="80" t="n">
        <f aca="false">LN(D112/UnderlyingPrice)+0.5*T/365.25*ATMImpVol^2</f>
        <v>0.342234157893531</v>
      </c>
      <c r="AB112" s="80" t="n">
        <f aca="false">-(AA112^2)</f>
        <v>-0.117124218829095</v>
      </c>
      <c r="AC112" s="80" t="n">
        <f aca="false">AB112/(2*T/365.25*ATMImpVol^2)</f>
        <v>-0.544476213512998</v>
      </c>
      <c r="AD112" s="82" t="n">
        <f aca="false">EXP(AC112)</f>
        <v>0.580145576184907</v>
      </c>
      <c r="AE112" s="82" t="n">
        <f aca="false">AD112*Z112</f>
        <v>0.10915901834949</v>
      </c>
      <c r="AF112" s="82"/>
      <c r="AG112" s="83" t="n">
        <f aca="false">(LN($D112/UnderlyingPrice)+0.5*ATMImpVol^2*(T/365.25))/(ATMImpVol*SQRT(T/365.25))</f>
        <v>1.04352883382588</v>
      </c>
      <c r="AH112" s="83" t="n">
        <f aca="false">(LN(($D112*(1+$P$8))/UnderlyingPrice)+0.5*ATMImpVol^2*(T/365.25))/(ATMImpVol*SQRT(T/365.25))</f>
        <v>1.04505303591746</v>
      </c>
      <c r="AI112" s="83" t="n">
        <f aca="false">(LN($D112*(1-$P$8)/UnderlyingPrice)+0.5*ATMImpVol^2*(T/365.25))/(ATMImpVol*SQRT(T/365.25))</f>
        <v>1.04200386944264</v>
      </c>
      <c r="AJ112" s="81"/>
      <c r="AK112" s="83" t="e">
        <f aca="false">W112/(AH112-AI112)*(D112*2*$P$8)</f>
        <v>#NAME?</v>
      </c>
      <c r="AL112" s="83"/>
      <c r="AM112" s="84"/>
      <c r="AN112" s="85"/>
      <c r="AX112" s="87" t="n">
        <f aca="true">OFFSET(ENAVolCoef,0,impvol_order-2)+OFFSET(ENAVolCoef,1,impvol_order-2)*E112+OFFSET(ENAVolCoef,2,impvol_order-2)*E112^2+IF(impvol_order&gt;2,OFFSET(ENAVolCoef,3,impvol_order-2)*E112^3,0)+IF(impvol_order&gt;3,OFFSET(ENAVolCoef,4,impvol_order-2)*E112^4,0)+IF(impvol_order&gt;4,OFFSET(ENAVolCoef,5,impvol_order-2)*E112^5,0)</f>
        <v>0.51834663307398</v>
      </c>
      <c r="AY112" s="87" t="n">
        <f aca="true">OFFSET(ENAVolCoef,0,impvol_order-2)+OFFSET(ENAVolCoef,1,impvol_order-2)*F112+OFFSET(ENAVolCoef,2,impvol_order-2)*F112^2+IF(impvol_order&gt;2,OFFSET(ENAVolCoef,3,impvol_order-2)*F112^3,0)+IF(impvol_order&gt;3,OFFSET(ENAVolCoef,4,impvol_order-2)*F112^4,0)+IF(impvol_order&gt;4,OFFSET(ENAVolCoef,5,impvol_order-2)*F112^5,0)</f>
        <v>0.518420160498695</v>
      </c>
      <c r="AZ112" s="87" t="n">
        <f aca="true">OFFSET(ENAVolCoef,0,impvol_order-2)+OFFSET(ENAVolCoef,1,impvol_order-2)*G112+OFFSET(ENAVolCoef,2,impvol_order-2)*G112^2+IF(impvol_order&gt;2,OFFSET(ENAVolCoef,3,impvol_order-2)*G112^3,0)+IF(impvol_order&gt;3,OFFSET(ENAVolCoef,4,impvol_order-2)*G112^4,0)+IF(impvol_order&gt;4,OFFSET(ENAVolCoef,5,impvol_order-2)*G112^5,0)</f>
        <v>0.51827315559434</v>
      </c>
      <c r="BB112" s="48" t="e">
        <f aca="false">EURO(UnderlyingPrice,$D112,IntRate,Yield,AX112,$D$6,1,0)</f>
        <v>#NAME?</v>
      </c>
      <c r="BC112" s="48" t="e">
        <f aca="false">EURO(UnderlyingPrice,$D112*(1+$P$8),IntRate,Yield,AY112,$D$6,1,0)</f>
        <v>#NAME?</v>
      </c>
      <c r="BD112" s="48" t="e">
        <f aca="false">EURO(UnderlyingPrice,$D112*(1-$P$8),IntRate,Yield,AZ112,$D$6,1,0)</f>
        <v>#NAME?</v>
      </c>
      <c r="BF112" s="80" t="e">
        <f aca="false">(BC112+BD112-2*BB112)/($P$8*$D112)^2</f>
        <v>#NAME?</v>
      </c>
      <c r="BG112" s="48" t="e">
        <f aca="false">+BF112/$D$9</f>
        <v>#NAME?</v>
      </c>
      <c r="BI112" s="79" t="e">
        <f aca="false">+BB112-L112</f>
        <v>#NAME?</v>
      </c>
      <c r="BJ112" s="65" t="e">
        <f aca="false">+BI112/BB112</f>
        <v>#NAME?</v>
      </c>
    </row>
    <row r="113" customFormat="false" ht="11.25" hidden="false" customHeight="false" outlineLevel="0" collapsed="false">
      <c r="C113" s="77" t="n">
        <v>100</v>
      </c>
      <c r="D113" s="78" t="n">
        <f aca="true">D112+(ROUNDUP(MAX(StrikeRange),1)-ROUNDDOWN(MIN(StrikeRange),1))/100</f>
        <v>6.50000000000001</v>
      </c>
      <c r="E113" s="64" t="n">
        <f aca="false">+D113/UnderlyingPrice-1</f>
        <v>0.341589267285865</v>
      </c>
      <c r="F113" s="64" t="n">
        <f aca="false">+D113*(1+$P$8)/UnderlyingPrice-1</f>
        <v>0.342260061919508</v>
      </c>
      <c r="G113" s="64" t="n">
        <f aca="false">+D113*(1-$P$8)/UnderlyingPrice-1</f>
        <v>0.340918472652222</v>
      </c>
      <c r="H113" s="64" t="n">
        <f aca="true">OFFSET(VolSkewCoef,0,impvol_order-2)+OFFSET(VolSkewCoef,1,impvol_order-2)*F113+OFFSET(VolSkewCoef,2,impvol_order-2)*F113^2+IF(impvol_order&gt;2,OFFSET(VolSkewCoef,3,impvol_order-2)*F113^3,0)+IF(impvol_order&gt;3,OFFSET(VolSkewCoef,4,impvol_order-2)*F113^4,0)+IF(impvol_order&gt;4,OFFSET(VolSkewCoef,5,impvol_order-2)*F113^5,0)</f>
        <v>0.550814865833539</v>
      </c>
      <c r="I113" s="64" t="n">
        <f aca="true">OFFSET(VolSkewCoef,0,impvol_order-2)+OFFSET(VolSkewCoef,1,impvol_order-2)*E113+OFFSET(VolSkewCoef,2,impvol_order-2)*E113^2+IF(impvol_order&gt;2,OFFSET(VolSkewCoef,3,impvol_order-2)*E113^3,0)+IF(impvol_order&gt;3,OFFSET(VolSkewCoef,4,impvol_order-2)*E113^4,0)+IF(impvol_order&gt;4,OFFSET(VolSkewCoef,5,impvol_order-2)*E113^5,0)</f>
        <v>0.550731643613051</v>
      </c>
      <c r="J113" s="64" t="n">
        <f aca="true">OFFSET(VolSkewCoef,0,impvol_order-2)+OFFSET(VolSkewCoef,1,impvol_order-2)*G113+OFFSET(VolSkewCoef,2,impvol_order-2)*G113^2+IF(impvol_order&gt;2,OFFSET(VolSkewCoef,3,impvol_order-2)*G113^3,0)+IF(impvol_order&gt;3,OFFSET(VolSkewCoef,4,impvol_order-2)*G113^4,0)+IF(impvol_order&gt;4,OFFSET(VolSkewCoef,5,impvol_order-2)*G113^5,0)</f>
        <v>0.550648439691667</v>
      </c>
      <c r="L113" s="79" t="e">
        <f aca="false">EURO(UnderlyingPrice,$D113,IntRate,Yield,$I113,$D$6,L$12,0)</f>
        <v>#NAME?</v>
      </c>
      <c r="M113" s="79" t="e">
        <f aca="false">EURO(UnderlyingPrice,$D113,IntRate,Yield,$I113,$D$6,M$12,0)</f>
        <v>#NAME?</v>
      </c>
      <c r="O113" s="79" t="e">
        <f aca="false">EURO(UnderlyingPrice,$D113*(1+$P$8),IntRate,Yield,$H113,Expiry-Today,O$12,0)</f>
        <v>#NAME?</v>
      </c>
      <c r="P113" s="79" t="e">
        <f aca="false">EURO(UnderlyingPrice,$D113*(1+$P$8),IntRate,Yield,$H113,Expiry-Today,P$12,0)</f>
        <v>#NAME?</v>
      </c>
      <c r="R113" s="79" t="e">
        <f aca="false">EURO(UnderlyingPrice,$D113*(1-$P$8),IntRate,Yield,$J113,Expiry-Today,R$12,0)</f>
        <v>#NAME?</v>
      </c>
      <c r="S113" s="79" t="e">
        <f aca="false">EURO(UnderlyingPrice,$D113*(1-$P$8),IntRate,Yield,$J113,Expiry-Today,S$12,0)</f>
        <v>#NAME?</v>
      </c>
      <c r="U113" s="80" t="e">
        <f aca="false">(O113+R113-2*L113)/($P$8*D113)^2</f>
        <v>#NAME?</v>
      </c>
      <c r="V113" s="80"/>
      <c r="W113" s="81" t="e">
        <f aca="false">U113/$D$9</f>
        <v>#NAME?</v>
      </c>
      <c r="Z113" s="80" t="n">
        <f aca="false">(1/(D113*SQRT(2*PI()*T/365.25*ATMImpVol^2)))</f>
        <v>0.187144819294997</v>
      </c>
      <c r="AA113" s="80" t="n">
        <f aca="false">LN(D113/UnderlyingPrice)+0.5*T/365.25*ATMImpVol^2</f>
        <v>0.347633322571302</v>
      </c>
      <c r="AB113" s="80" t="n">
        <f aca="false">-(AA113^2)</f>
        <v>-0.120848926961963</v>
      </c>
      <c r="AC113" s="80" t="n">
        <f aca="false">AB113/(2*T/365.25*ATMImpVol^2)</f>
        <v>-0.561791291478081</v>
      </c>
      <c r="AD113" s="82" t="n">
        <f aca="false">EXP(AC113)</f>
        <v>0.570186777800037</v>
      </c>
      <c r="AE113" s="82" t="n">
        <f aca="false">AD113*Z113</f>
        <v>0.106707501495784</v>
      </c>
      <c r="AF113" s="82"/>
      <c r="AG113" s="83" t="n">
        <f aca="false">(LN($D113/UnderlyingPrice)+0.5*ATMImpVol^2*(T/365.25))/(ATMImpVol*SQRT(T/365.25))</f>
        <v>1.05999178438145</v>
      </c>
      <c r="AH113" s="83" t="n">
        <f aca="false">(LN(($D113*(1+$P$8))/UnderlyingPrice)+0.5*ATMImpVol^2*(T/365.25))/(ATMImpVol*SQRT(T/365.25))</f>
        <v>1.06151598647303</v>
      </c>
      <c r="AI113" s="83" t="n">
        <f aca="false">(LN($D113*(1-$P$8)/UnderlyingPrice)+0.5*ATMImpVol^2*(T/365.25))/(ATMImpVol*SQRT(T/365.25))</f>
        <v>1.05846681999821</v>
      </c>
      <c r="AJ113" s="81"/>
      <c r="AK113" s="83" t="e">
        <f aca="false">W113/(AH113-AI113)*(D113*2*$P$8)</f>
        <v>#NAME?</v>
      </c>
      <c r="AL113" s="83"/>
      <c r="AM113" s="84"/>
      <c r="AN113" s="85"/>
      <c r="AX113" s="87" t="n">
        <f aca="true">OFFSET(ENAVolCoef,0,impvol_order-2)+OFFSET(ENAVolCoef,1,impvol_order-2)*E113+OFFSET(ENAVolCoef,2,impvol_order-2)*E113^2+IF(impvol_order&gt;2,OFFSET(ENAVolCoef,3,impvol_order-2)*E113^3,0)+IF(impvol_order&gt;3,OFFSET(ENAVolCoef,4,impvol_order-2)*E113^4,0)+IF(impvol_order&gt;4,OFFSET(ENAVolCoef,5,impvol_order-2)*E113^5,0)</f>
        <v>0.519145372486046</v>
      </c>
      <c r="AY113" s="87" t="n">
        <f aca="true">OFFSET(ENAVolCoef,0,impvol_order-2)+OFFSET(ENAVolCoef,1,impvol_order-2)*F113+OFFSET(ENAVolCoef,2,impvol_order-2)*F113^2+IF(impvol_order&gt;2,OFFSET(ENAVolCoef,3,impvol_order-2)*F113^3,0)+IF(impvol_order&gt;3,OFFSET(ENAVolCoef,4,impvol_order-2)*F113^4,0)+IF(impvol_order&gt;4,OFFSET(ENAVolCoef,5,impvol_order-2)*F113^5,0)</f>
        <v>0.519219830003141</v>
      </c>
      <c r="AZ113" s="87" t="n">
        <f aca="true">OFFSET(ENAVolCoef,0,impvol_order-2)+OFFSET(ENAVolCoef,1,impvol_order-2)*G113+OFFSET(ENAVolCoef,2,impvol_order-2)*G113^2+IF(impvol_order&gt;2,OFFSET(ENAVolCoef,3,impvol_order-2)*G113^3,0)+IF(impvol_order&gt;3,OFFSET(ENAVolCoef,4,impvol_order-2)*G113^4,0)+IF(impvol_order&gt;4,OFFSET(ENAVolCoef,5,impvol_order-2)*G113^5,0)</f>
        <v>0.519070963448813</v>
      </c>
      <c r="BB113" s="48" t="e">
        <f aca="false">EURO(UnderlyingPrice,$D113,IntRate,Yield,AX113,$D$6,1,0)</f>
        <v>#NAME?</v>
      </c>
      <c r="BC113" s="48" t="e">
        <f aca="false">EURO(UnderlyingPrice,$D113*(1+$P$8),IntRate,Yield,AY113,$D$6,1,0)</f>
        <v>#NAME?</v>
      </c>
      <c r="BD113" s="48" t="e">
        <f aca="false">EURO(UnderlyingPrice,$D113*(1-$P$8),IntRate,Yield,AZ113,$D$6,1,0)</f>
        <v>#NAME?</v>
      </c>
      <c r="BF113" s="80" t="e">
        <f aca="false">(BC113+BD113-2*BB113)/($P$8*$D113)^2</f>
        <v>#NAME?</v>
      </c>
      <c r="BG113" s="48" t="e">
        <f aca="false">+BF113/$D$9</f>
        <v>#NAME?</v>
      </c>
      <c r="BI113" s="79" t="e">
        <f aca="false">+BB113-L113</f>
        <v>#NAME?</v>
      </c>
      <c r="BJ113" s="65" t="e">
        <f aca="false">+BI113/BB113</f>
        <v>#NAME?</v>
      </c>
    </row>
    <row r="114" customFormat="false" ht="11.25" hidden="false" customHeight="false" outlineLevel="0" collapsed="false">
      <c r="C114" s="99" t="s">
        <v>118</v>
      </c>
      <c r="D114" s="78" t="n">
        <f aca="false">MinStrike</f>
        <v>3</v>
      </c>
      <c r="E114" s="64" t="n">
        <f aca="false">+D114/UnderlyingPrice-1</f>
        <v>-0.380804953560372</v>
      </c>
      <c r="F114" s="64" t="n">
        <f aca="false">+D114*(1+$P$8)/UnderlyingPrice-1</f>
        <v>-0.380495356037152</v>
      </c>
      <c r="G114" s="64" t="n">
        <f aca="false">+D114*(1-$P$8)/UnderlyingPrice-1</f>
        <v>-0.381114551083591</v>
      </c>
      <c r="H114" s="64" t="n">
        <f aca="true">OFFSET(VolSkewCoef,0,impvol_order-2)+OFFSET(VolSkewCoef,1,impvol_order-2)*F114+OFFSET(VolSkewCoef,2,impvol_order-2)*F114^2+IF(impvol_order&gt;2,OFFSET(VolSkewCoef,3,impvol_order-2)*F114^3,0)+IF(impvol_order&gt;3,OFFSET(VolSkewCoef,4,impvol_order-2)*F114^4,0)+IF(impvol_order&gt;4,OFFSET(VolSkewCoef,5,impvol_order-2)*F114^5,0)</f>
        <v>0.535239704698497</v>
      </c>
      <c r="I114" s="64" t="n">
        <f aca="true">OFFSET(VolSkewCoef,0,impvol_order-2)+OFFSET(VolSkewCoef,1,impvol_order-2)*E114+OFFSET(VolSkewCoef,2,impvol_order-2)*E114^2+IF(impvol_order&gt;2,OFFSET(VolSkewCoef,3,impvol_order-2)*E114^3,0)+IF(impvol_order&gt;3,OFFSET(VolSkewCoef,4,impvol_order-2)*E114^4,0)+IF(impvol_order&gt;4,OFFSET(VolSkewCoef,5,impvol_order-2)*E114^5,0)</f>
        <v>0.535292081269758</v>
      </c>
      <c r="J114" s="64" t="n">
        <f aca="true">OFFSET(VolSkewCoef,0,impvol_order-2)+OFFSET(VolSkewCoef,1,impvol_order-2)*G114+OFFSET(VolSkewCoef,2,impvol_order-2)*G114^2+IF(impvol_order&gt;2,OFFSET(VolSkewCoef,3,impvol_order-2)*G114^3,0)+IF(impvol_order&gt;3,OFFSET(VolSkewCoef,4,impvol_order-2)*G114^4,0)+IF(impvol_order&gt;4,OFFSET(VolSkewCoef,5,impvol_order-2)*G114^5,0)</f>
        <v>0.535344531788353</v>
      </c>
      <c r="L114" s="79"/>
      <c r="M114" s="79"/>
      <c r="O114" s="79"/>
      <c r="P114" s="79"/>
      <c r="R114" s="80" t="n">
        <f aca="false">(1/($D114*SQRT(2*PI()*T/365.25*$I$114^2)))</f>
        <v>0.391592564816607</v>
      </c>
      <c r="S114" s="80" t="n">
        <f aca="false">LN($D114/UnderlyingPrice)+0.5*T/365.25*$I$114^2</f>
        <v>-0.421674410468315</v>
      </c>
      <c r="T114" s="80" t="n">
        <f aca="false">-(S114^2)</f>
        <v>-0.177809308443801</v>
      </c>
      <c r="U114" s="80" t="n">
        <f aca="false">T114/(2*T/365.25*$I$114^2)</f>
        <v>-0.770931426003196</v>
      </c>
      <c r="V114" s="80"/>
      <c r="W114" s="100" t="e">
        <f aca="false">(Alpha1*R114)*EXP(Gamma2^2*U114)</f>
        <v>#NAME?</v>
      </c>
      <c r="Z114" s="80" t="n">
        <f aca="false">(1/($D114*SQRT(2*PI()*T/365.25*ATMImpVol^2)))</f>
        <v>0.405480441805827</v>
      </c>
      <c r="AA114" s="80" t="n">
        <f aca="false">LN($D114/UnderlyingPrice)+0.5*T/365.25*ATMImpVol^2</f>
        <v>-0.425556565662182</v>
      </c>
      <c r="AB114" s="80" t="n">
        <f aca="false">-(AA114^2)</f>
        <v>-0.181098390578191</v>
      </c>
      <c r="AC114" s="80" t="n">
        <f aca="false">AB114/(2*T/365.25*ATMImpVol^2)</f>
        <v>-0.841873414064703</v>
      </c>
      <c r="AD114" s="82" t="n">
        <f aca="false">EXP(AC114)</f>
        <v>0.430902507972691</v>
      </c>
      <c r="AE114" s="82" t="n">
        <f aca="false">AD114*Z114</f>
        <v>0.174722539308006</v>
      </c>
      <c r="AF114" s="82"/>
      <c r="AG114" s="83" t="n">
        <f aca="false">MinStandard</f>
        <v>-1.29759270502319</v>
      </c>
      <c r="AH114" s="83" t="n">
        <f aca="false">(LN(($D114*(1+$P$8))/UnderlyingPrice)+0.5*ATMImpVol^2*(T/365.25))/(ATMImpVol*SQRT(T/365.25))</f>
        <v>-1.29606850293161</v>
      </c>
      <c r="AI114" s="83" t="n">
        <f aca="false">(LN($D114*(1-$P$8)/UnderlyingPrice)+0.5*ATMImpVol^2*(T/365.25))/(ATMImpVol*SQRT(T/365.25))</f>
        <v>-1.29911766940643</v>
      </c>
      <c r="AJ114" s="81"/>
      <c r="AK114" s="83" t="e">
        <f aca="false">W114/(AH114-AI114)*(D114*2*$P$8)</f>
        <v>#NAME?</v>
      </c>
      <c r="AL114" s="81"/>
      <c r="AM114" s="84"/>
      <c r="AN114" s="85"/>
      <c r="AX114" s="87" t="n">
        <f aca="true">OFFSET(ENAVolCoef,0,impvol_order-2)+OFFSET(ENAVolCoef,1,impvol_order-2)*E114+OFFSET(ENAVolCoef,2,impvol_order-2)*E114^2+IF(impvol_order&gt;2,OFFSET(ENAVolCoef,3,impvol_order-2)*E114^3,0)+IF(impvol_order&gt;3,OFFSET(ENAVolCoef,4,impvol_order-2)*E114^4,0)+IF(impvol_order&gt;4,OFFSET(ENAVolCoef,5,impvol_order-2)*E114^5,0)</f>
        <v>0.505901959223215</v>
      </c>
      <c r="AY114" s="87" t="n">
        <f aca="true">OFFSET(ENAVolCoef,0,impvol_order-2)+OFFSET(ENAVolCoef,1,impvol_order-2)*F114+OFFSET(ENAVolCoef,2,impvol_order-2)*F114^2+IF(impvol_order&gt;2,OFFSET(ENAVolCoef,3,impvol_order-2)*F114^3,0)+IF(impvol_order&gt;3,OFFSET(ENAVolCoef,4,impvol_order-2)*F114^4,0)+IF(impvol_order&gt;4,OFFSET(ENAVolCoef,5,impvol_order-2)*F114^5,0)</f>
        <v>0.505862353591043</v>
      </c>
      <c r="AZ114" s="87" t="n">
        <f aca="true">OFFSET(ENAVolCoef,0,impvol_order-2)+OFFSET(ENAVolCoef,1,impvol_order-2)*G114+OFFSET(ENAVolCoef,2,impvol_order-2)*G114^2+IF(impvol_order&gt;2,OFFSET(ENAVolCoef,3,impvol_order-2)*G114^3,0)+IF(impvol_order&gt;3,OFFSET(ENAVolCoef,4,impvol_order-2)*G114^4,0)+IF(impvol_order&gt;4,OFFSET(ENAVolCoef,5,impvol_order-2)*G114^5,0)</f>
        <v>0.505941617944894</v>
      </c>
      <c r="BB114" s="48" t="e">
        <f aca="false">EURO(UnderlyingPrice,$D114,IntRate,Yield,AX114,$D$6,1,0)</f>
        <v>#NAME?</v>
      </c>
      <c r="BC114" s="48" t="e">
        <f aca="false">EURO(UnderlyingPrice,$D114*(1+$P$8),IntRate,Yield,AY114,$D$6,1,0)</f>
        <v>#NAME?</v>
      </c>
      <c r="BD114" s="48" t="e">
        <f aca="false">EURO(UnderlyingPrice,$D114*(1-$P$8),IntRate,Yield,AZ114,$D$6,1,0)</f>
        <v>#NAME?</v>
      </c>
      <c r="BF114" s="80" t="e">
        <f aca="false">(BC114+BD114-2*BB114)/($P$8*$D114)^2</f>
        <v>#NAME?</v>
      </c>
      <c r="BG114" s="48" t="e">
        <f aca="false">+BF114/$D$9</f>
        <v>#NAME?</v>
      </c>
      <c r="BI114" s="79"/>
    </row>
    <row r="115" customFormat="false" ht="11.25" hidden="false" customHeight="false" outlineLevel="0" collapsed="false">
      <c r="C115" s="99" t="n">
        <v>3</v>
      </c>
      <c r="D115" s="78" t="n">
        <f aca="true">+D114-LTFactor*(ROUNDUP(MAX(StrikeRange),1)-ROUNDDOWN(MIN(StrikeRange),1))/100</f>
        <v>2.895</v>
      </c>
      <c r="E115" s="64" t="n">
        <f aca="false">+D115/UnderlyingPrice-1</f>
        <v>-0.402476780185759</v>
      </c>
      <c r="F115" s="64" t="n">
        <f aca="false">+D115*(1+$P$8)/UnderlyingPrice-1</f>
        <v>-0.402178018575851</v>
      </c>
      <c r="G115" s="64" t="n">
        <f aca="false">+D115*(1-$P$8)/UnderlyingPrice-1</f>
        <v>-0.402775541795666</v>
      </c>
      <c r="H115" s="64" t="n">
        <f aca="true">OFFSET(VolSkewCoef,0,impvol_order-2)+OFFSET(VolSkewCoef,1,impvol_order-2)*F115+OFFSET(VolSkewCoef,2,impvol_order-2)*F115^2+IF(impvol_order&gt;2,OFFSET(VolSkewCoef,3,impvol_order-2)*F115^3,0)+IF(impvol_order&gt;3,OFFSET(VolSkewCoef,4,impvol_order-2)*F115^4,0)+IF(impvol_order&gt;4,OFFSET(VolSkewCoef,5,impvol_order-2)*F115^5,0)</f>
        <v>0.539088306459162</v>
      </c>
      <c r="I115" s="64" t="n">
        <f aca="true">OFFSET(VolSkewCoef,0,impvol_order-2)+OFFSET(VolSkewCoef,1,impvol_order-2)*E115+OFFSET(VolSkewCoef,2,impvol_order-2)*E115^2+IF(impvol_order&gt;2,OFFSET(VolSkewCoef,3,impvol_order-2)*E115^3,0)+IF(impvol_order&gt;3,OFFSET(VolSkewCoef,4,impvol_order-2)*E115^4,0)+IF(impvol_order&gt;4,OFFSET(VolSkewCoef,5,impvol_order-2)*E115^5,0)</f>
        <v>0.539143916240263</v>
      </c>
      <c r="J115" s="64" t="n">
        <f aca="true">OFFSET(VolSkewCoef,0,impvol_order-2)+OFFSET(VolSkewCoef,1,impvol_order-2)*G115+OFFSET(VolSkewCoef,2,impvol_order-2)*G115^2+IF(impvol_order&gt;2,OFFSET(VolSkewCoef,3,impvol_order-2)*G115^3,0)+IF(impvol_order&gt;3,OFFSET(VolSkewCoef,4,impvol_order-2)*G115^4,0)+IF(impvol_order&gt;4,OFFSET(VolSkewCoef,5,impvol_order-2)*G115^5,0)</f>
        <v>0.539199596839918</v>
      </c>
      <c r="L115" s="79"/>
      <c r="M115" s="79"/>
      <c r="O115" s="79"/>
      <c r="P115" s="79"/>
      <c r="R115" s="80" t="n">
        <f aca="false">(1/($D115*SQRT(2*PI()*T/365.25*$I$114^2)))</f>
        <v>0.405795403955033</v>
      </c>
      <c r="S115" s="80" t="n">
        <f aca="false">LN($D115/UnderlyingPrice)+0.5*T/365.25*$I$114^2</f>
        <v>-0.457301588111466</v>
      </c>
      <c r="T115" s="80" t="n">
        <f aca="false">-(S115^2)</f>
        <v>-0.209124742489269</v>
      </c>
      <c r="U115" s="80" t="n">
        <f aca="false">T115/(2*T/365.25*$I$114^2)</f>
        <v>-0.906706388719573</v>
      </c>
      <c r="V115" s="80"/>
      <c r="W115" s="100" t="e">
        <f aca="false">(Alpha1*R115)*EXP(Gamma2^2*U115)</f>
        <v>#NAME?</v>
      </c>
      <c r="Z115" s="80" t="n">
        <f aca="false">(1/(D115*SQRT(2*PI()*T/365.25*ATMImpVol^2)))</f>
        <v>0.420186986327282</v>
      </c>
      <c r="AA115" s="80" t="n">
        <f aca="false">LN(D115/UnderlyingPrice)+0.5*T/365.25*ATMImpVol^2</f>
        <v>-0.461183743305333</v>
      </c>
      <c r="AB115" s="80" t="n">
        <f aca="false">-(AA115^2)</f>
        <v>-0.212690445089119</v>
      </c>
      <c r="AC115" s="80" t="n">
        <f aca="false">AB115/(2*T/365.25*ATMImpVol^2)</f>
        <v>-0.988735629148554</v>
      </c>
      <c r="AD115" s="82" t="n">
        <f aca="false">EXP(AC115)</f>
        <v>0.372046798891967</v>
      </c>
      <c r="AE115" s="82" t="n">
        <f aca="false">AD115*Z115</f>
        <v>0.156329223199128</v>
      </c>
      <c r="AF115" s="82"/>
      <c r="AG115" s="101" t="n">
        <f aca="false">AG114-LTFactor*(MaxStandard-MinStandard)/100</f>
        <v>-1.36832023970533</v>
      </c>
      <c r="AH115" s="83" t="n">
        <f aca="false">(LN(($D115*(1+$P$8))/UnderlyingPrice)+0.5*ATMImpVol^2*(T/365.25))/(ATMImpVol*SQRT(T/365.25))</f>
        <v>-1.40470168954073</v>
      </c>
      <c r="AI115" s="83" t="n">
        <f aca="false">(LN($D115*(1-$P$8)/UnderlyingPrice)+0.5*ATMImpVol^2*(T/365.25))/(ATMImpVol*SQRT(T/365.25))</f>
        <v>-1.40775085601555</v>
      </c>
      <c r="AJ115" s="81"/>
      <c r="AK115" s="83" t="e">
        <f aca="false">W115/(AH115-AI115)*(D115*2*$P$8)</f>
        <v>#NAME?</v>
      </c>
      <c r="AL115" s="81"/>
      <c r="AM115" s="84"/>
      <c r="AN115" s="85"/>
      <c r="AX115" s="87" t="n">
        <f aca="true">OFFSET(ENAVolCoef,0,impvol_order-2)+OFFSET(ENAVolCoef,1,impvol_order-2)*E115+OFFSET(ENAVolCoef,2,impvol_order-2)*E115^2+IF(impvol_order&gt;2,OFFSET(ENAVolCoef,3,impvol_order-2)*E115^3,0)+IF(impvol_order&gt;3,OFFSET(ENAVolCoef,4,impvol_order-2)*E115^4,0)+IF(impvol_order&gt;4,OFFSET(ENAVolCoef,5,impvol_order-2)*E115^5,0)</f>
        <v>0.508807328367361</v>
      </c>
      <c r="AY115" s="87" t="n">
        <f aca="true">OFFSET(ENAVolCoef,0,impvol_order-2)+OFFSET(ENAVolCoef,1,impvol_order-2)*F115+OFFSET(ENAVolCoef,2,impvol_order-2)*F115^2+IF(impvol_order&gt;2,OFFSET(ENAVolCoef,3,impvol_order-2)*F115^3,0)+IF(impvol_order&gt;3,OFFSET(ENAVolCoef,4,impvol_order-2)*F115^4,0)+IF(impvol_order&gt;4,OFFSET(ENAVolCoef,5,impvol_order-2)*F115^5,0)</f>
        <v>0.508765479108017</v>
      </c>
      <c r="AZ115" s="87" t="n">
        <f aca="true">OFFSET(ENAVolCoef,0,impvol_order-2)+OFFSET(ENAVolCoef,1,impvol_order-2)*G115+OFFSET(ENAVolCoef,2,impvol_order-2)*G115^2+IF(impvol_order&gt;2,OFFSET(ENAVolCoef,3,impvol_order-2)*G115^3,0)+IF(impvol_order&gt;3,OFFSET(ENAVolCoef,4,impvol_order-2)*G115^4,0)+IF(impvol_order&gt;4,OFFSET(ENAVolCoef,5,impvol_order-2)*G115^5,0)</f>
        <v>0.508849228259624</v>
      </c>
      <c r="BB115" s="48" t="e">
        <f aca="false">EURO(UnderlyingPrice,$D115,IntRate,Yield,AX115,$D$6,1,0)</f>
        <v>#NAME?</v>
      </c>
      <c r="BC115" s="48" t="e">
        <f aca="false">EURO(UnderlyingPrice,$D115*(1+$P$8),IntRate,Yield,AY115,$D$6,1,0)</f>
        <v>#NAME?</v>
      </c>
      <c r="BD115" s="48" t="e">
        <f aca="false">EURO(UnderlyingPrice,$D115*(1-$P$8),IntRate,Yield,AZ115,$D$6,1,0)</f>
        <v>#NAME?</v>
      </c>
      <c r="BF115" s="80" t="e">
        <f aca="false">(BC115+BD115-2*BB115)/($P$8*$D115)^2</f>
        <v>#NAME?</v>
      </c>
      <c r="BG115" s="48" t="e">
        <f aca="false">+BF115/$D$9</f>
        <v>#NAME?</v>
      </c>
      <c r="BI115" s="79"/>
    </row>
    <row r="116" customFormat="false" ht="11.25" hidden="false" customHeight="false" outlineLevel="0" collapsed="false">
      <c r="C116" s="99"/>
      <c r="D116" s="78" t="n">
        <f aca="true">+D115-LTFactor*(ROUNDUP(MAX(StrikeRange),1)-ROUNDDOWN(MIN(StrikeRange),1))/100</f>
        <v>2.79</v>
      </c>
      <c r="E116" s="64" t="n">
        <f aca="false">+D116/UnderlyingPrice-1</f>
        <v>-0.424148606811146</v>
      </c>
      <c r="F116" s="64" t="n">
        <f aca="false">+D116*(1+$P$8)/UnderlyingPrice-1</f>
        <v>-0.423860681114551</v>
      </c>
      <c r="G116" s="64" t="n">
        <f aca="false">+D116*(1-$P$8)/UnderlyingPrice-1</f>
        <v>-0.42443653250774</v>
      </c>
      <c r="H116" s="64" t="n">
        <f aca="true">OFFSET(VolSkewCoef,0,impvol_order-2)+OFFSET(VolSkewCoef,1,impvol_order-2)*F116+OFFSET(VolSkewCoef,2,impvol_order-2)*F116^2+IF(impvol_order&gt;2,OFFSET(VolSkewCoef,3,impvol_order-2)*F116^3,0)+IF(impvol_order&gt;3,OFFSET(VolSkewCoef,4,impvol_order-2)*F116^4,0)+IF(impvol_order&gt;4,OFFSET(VolSkewCoef,5,impvol_order-2)*F116^5,0)</f>
        <v>0.543309778038174</v>
      </c>
      <c r="I116" s="64" t="n">
        <f aca="true">OFFSET(VolSkewCoef,0,impvol_order-2)+OFFSET(VolSkewCoef,1,impvol_order-2)*E116+OFFSET(VolSkewCoef,2,impvol_order-2)*E116^2+IF(impvol_order&gt;2,OFFSET(VolSkewCoef,3,impvol_order-2)*E116^3,0)+IF(impvol_order&gt;3,OFFSET(VolSkewCoef,4,impvol_order-2)*E116^4,0)+IF(impvol_order&gt;4,OFFSET(VolSkewCoef,5,impvol_order-2)*E116^5,0)</f>
        <v>0.543368390393666</v>
      </c>
      <c r="J116" s="64" t="n">
        <f aca="true">OFFSET(VolSkewCoef,0,impvol_order-2)+OFFSET(VolSkewCoef,1,impvol_order-2)*G116+OFFSET(VolSkewCoef,2,impvol_order-2)*G116^2+IF(impvol_order&gt;2,OFFSET(VolSkewCoef,3,impvol_order-2)*G116^3,0)+IF(impvol_order&gt;3,OFFSET(VolSkewCoef,4,impvol_order-2)*G116^4,0)+IF(impvol_order&gt;4,OFFSET(VolSkewCoef,5,impvol_order-2)*G116^5,0)</f>
        <v>0.543427070341346</v>
      </c>
      <c r="L116" s="79"/>
      <c r="M116" s="79"/>
      <c r="O116" s="79"/>
      <c r="P116" s="79"/>
      <c r="R116" s="80" t="n">
        <f aca="false">(1/($D116*SQRT(2*PI()*T/365.25*$I$114^2)))</f>
        <v>0.421067273996352</v>
      </c>
      <c r="S116" s="80" t="n">
        <f aca="false">LN($D116/UnderlyingPrice)+0.5*T/365.25*$I$114^2</f>
        <v>-0.49424510330315</v>
      </c>
      <c r="T116" s="80" t="n">
        <f aca="false">-(S116^2)</f>
        <v>-0.244278222139141</v>
      </c>
      <c r="U116" s="80" t="n">
        <f aca="false">T116/(2*T/365.25*$I$114^2)</f>
        <v>-1.05912204362898</v>
      </c>
      <c r="V116" s="80"/>
      <c r="W116" s="100" t="e">
        <f aca="false">(Alpha1*R116)*EXP(Gamma2^2*U116)</f>
        <v>#NAME?</v>
      </c>
      <c r="Z116" s="80" t="n">
        <f aca="false">(1/(D116*SQRT(2*PI()*T/365.25*ATMImpVol^2)))</f>
        <v>0.436000475060029</v>
      </c>
      <c r="AA116" s="80" t="n">
        <f aca="false">LN(D116/UnderlyingPrice)+0.5*T/365.25*ATMImpVol^2</f>
        <v>-0.498127258497017</v>
      </c>
      <c r="AB116" s="80" t="n">
        <f aca="false">-(AA116^2)</f>
        <v>-0.248130765657754</v>
      </c>
      <c r="AC116" s="80" t="n">
        <f aca="false">AB116/(2*T/365.25*ATMImpVol^2)</f>
        <v>-1.15348730682723</v>
      </c>
      <c r="AD116" s="82" t="n">
        <f aca="false">EXP(AC116)</f>
        <v>0.315534482934073</v>
      </c>
      <c r="AE116" s="82" t="n">
        <f aca="false">AD116*Z116</f>
        <v>0.137573184457077</v>
      </c>
      <c r="AF116" s="82"/>
      <c r="AG116" s="101" t="n">
        <f aca="false">AG115-LTFactor*(MaxStandard-MinStandard)/100</f>
        <v>-1.43904777438747</v>
      </c>
      <c r="AH116" s="83" t="n">
        <f aca="false">(LN(($D116*(1+$P$8))/UnderlyingPrice)+0.5*ATMImpVol^2*(T/365.25))/(ATMImpVol*SQRT(T/365.25))</f>
        <v>-1.51734860813791</v>
      </c>
      <c r="AI116" s="83" t="n">
        <f aca="false">(LN($D116*(1-$P$8)/UnderlyingPrice)+0.5*ATMImpVol^2*(T/365.25))/(ATMImpVol*SQRT(T/365.25))</f>
        <v>-1.52039777461273</v>
      </c>
      <c r="AJ116" s="81"/>
      <c r="AK116" s="83" t="e">
        <f aca="false">W116/(AH116-AI116)*(D116*2*$P$8)</f>
        <v>#NAME?</v>
      </c>
      <c r="AL116" s="81"/>
      <c r="AM116" s="84"/>
      <c r="AN116" s="85"/>
      <c r="AX116" s="87" t="n">
        <f aca="true">OFFSET(ENAVolCoef,0,impvol_order-2)+OFFSET(ENAVolCoef,1,impvol_order-2)*E116+OFFSET(ENAVolCoef,2,impvol_order-2)*E116^2+IF(impvol_order&gt;2,OFFSET(ENAVolCoef,3,impvol_order-2)*E116^3,0)+IF(impvol_order&gt;3,OFFSET(ENAVolCoef,4,impvol_order-2)*E116^4,0)+IF(impvol_order&gt;4,OFFSET(ENAVolCoef,5,impvol_order-2)*E116^5,0)</f>
        <v>0.511979122176609</v>
      </c>
      <c r="AY116" s="87" t="n">
        <f aca="true">OFFSET(ENAVolCoef,0,impvol_order-2)+OFFSET(ENAVolCoef,1,impvol_order-2)*F116+OFFSET(ENAVolCoef,2,impvol_order-2)*F116^2+IF(impvol_order&gt;2,OFFSET(ENAVolCoef,3,impvol_order-2)*F116^3,0)+IF(impvol_order&gt;3,OFFSET(ENAVolCoef,4,impvol_order-2)*F116^4,0)+IF(impvol_order&gt;4,OFFSET(ENAVolCoef,5,impvol_order-2)*F116^5,0)</f>
        <v>0.511935209036608</v>
      </c>
      <c r="AZ116" s="87" t="n">
        <f aca="true">OFFSET(ENAVolCoef,0,impvol_order-2)+OFFSET(ENAVolCoef,1,impvol_order-2)*G116+OFFSET(ENAVolCoef,2,impvol_order-2)*G116^2+IF(impvol_order&gt;2,OFFSET(ENAVolCoef,3,impvol_order-2)*G116^3,0)+IF(impvol_order&gt;3,OFFSET(ENAVolCoef,4,impvol_order-2)*G116^4,0)+IF(impvol_order&gt;4,OFFSET(ENAVolCoef,5,impvol_order-2)*G116^5,0)</f>
        <v>0.512023083452839</v>
      </c>
      <c r="BB116" s="48" t="e">
        <f aca="false">EURO(UnderlyingPrice,$D116,IntRate,Yield,AX116,$D$6,1,0)</f>
        <v>#NAME?</v>
      </c>
      <c r="BC116" s="48" t="e">
        <f aca="false">EURO(UnderlyingPrice,$D116*(1+$P$8),IntRate,Yield,AY116,$D$6,1,0)</f>
        <v>#NAME?</v>
      </c>
      <c r="BD116" s="48" t="e">
        <f aca="false">EURO(UnderlyingPrice,$D116*(1-$P$8),IntRate,Yield,AZ116,$D$6,1,0)</f>
        <v>#NAME?</v>
      </c>
      <c r="BF116" s="80" t="e">
        <f aca="false">(BC116+BD116-2*BB116)/($P$8*$D116)^2</f>
        <v>#NAME?</v>
      </c>
      <c r="BG116" s="48" t="e">
        <f aca="false">+BF116/$D$9</f>
        <v>#NAME?</v>
      </c>
      <c r="BI116" s="79"/>
    </row>
    <row r="117" customFormat="false" ht="11.25" hidden="false" customHeight="false" outlineLevel="0" collapsed="false">
      <c r="C117" s="99"/>
      <c r="D117" s="78" t="n">
        <f aca="true">+D116-LTFactor*(ROUNDUP(MAX(StrikeRange),1)-ROUNDDOWN(MIN(StrikeRange),1))/100</f>
        <v>2.685</v>
      </c>
      <c r="E117" s="64" t="n">
        <f aca="false">+D117/UnderlyingPrice-1</f>
        <v>-0.445820433436532</v>
      </c>
      <c r="F117" s="64" t="n">
        <f aca="false">+D117*(1+$P$8)/UnderlyingPrice-1</f>
        <v>-0.445543343653251</v>
      </c>
      <c r="G117" s="64" t="n">
        <f aca="false">+D117*(1-$P$8)/UnderlyingPrice-1</f>
        <v>-0.446097523219814</v>
      </c>
      <c r="H117" s="64" t="n">
        <f aca="true">OFFSET(VolSkewCoef,0,impvol_order-2)+OFFSET(VolSkewCoef,1,impvol_order-2)*F117+OFFSET(VolSkewCoef,2,impvol_order-2)*F117^2+IF(impvol_order&gt;2,OFFSET(VolSkewCoef,3,impvol_order-2)*F117^3,0)+IF(impvol_order&gt;3,OFFSET(VolSkewCoef,4,impvol_order-2)*F117^4,0)+IF(impvol_order&gt;4,OFFSET(VolSkewCoef,5,impvol_order-2)*F117^5,0)</f>
        <v>0.547914432136163</v>
      </c>
      <c r="I117" s="64" t="n">
        <f aca="true">OFFSET(VolSkewCoef,0,impvol_order-2)+OFFSET(VolSkewCoef,1,impvol_order-2)*E117+OFFSET(VolSkewCoef,2,impvol_order-2)*E117^2+IF(impvol_order&gt;2,OFFSET(VolSkewCoef,3,impvol_order-2)*E117^3,0)+IF(impvol_order&gt;3,OFFSET(VolSkewCoef,4,impvol_order-2)*E117^4,0)+IF(impvol_order&gt;4,OFFSET(VolSkewCoef,5,impvol_order-2)*E117^5,0)</f>
        <v>0.547975800977006</v>
      </c>
      <c r="J117" s="64" t="n">
        <f aca="true">OFFSET(VolSkewCoef,0,impvol_order-2)+OFFSET(VolSkewCoef,1,impvol_order-2)*G117+OFFSET(VolSkewCoef,2,impvol_order-2)*G117^2+IF(impvol_order&gt;2,OFFSET(VolSkewCoef,3,impvol_order-2)*G117^3,0)+IF(impvol_order&gt;3,OFFSET(VolSkewCoef,4,impvol_order-2)*G117^4,0)+IF(impvol_order&gt;4,OFFSET(VolSkewCoef,5,impvol_order-2)*G117^5,0)</f>
        <v>0.548037234101523</v>
      </c>
      <c r="L117" s="79"/>
      <c r="M117" s="79"/>
      <c r="O117" s="79"/>
      <c r="P117" s="79"/>
      <c r="R117" s="80" t="n">
        <f aca="false">(1/($D117*SQRT(2*PI()*T/365.25*$I$114^2)))</f>
        <v>0.437533591973863</v>
      </c>
      <c r="S117" s="80" t="n">
        <f aca="false">LN($D117/UnderlyingPrice)+0.5*T/365.25*$I$114^2</f>
        <v>-0.532605971175596</v>
      </c>
      <c r="T117" s="80" t="n">
        <f aca="false">-(S117^2)</f>
        <v>-0.2836691205319</v>
      </c>
      <c r="U117" s="80" t="n">
        <f aca="false">T117/(2*T/365.25*$I$114^2)</f>
        <v>-1.22990996095039</v>
      </c>
      <c r="V117" s="80"/>
      <c r="W117" s="100" t="e">
        <f aca="false">(Alpha1*R117)*EXP(Gamma2^2*U117)</f>
        <v>#NAME?</v>
      </c>
      <c r="Z117" s="80" t="n">
        <f aca="false">(1/(D117*SQRT(2*PI()*T/365.25*ATMImpVol^2)))</f>
        <v>0.453050772967405</v>
      </c>
      <c r="AA117" s="80" t="n">
        <f aca="false">LN(D117/UnderlyingPrice)+0.5*T/365.25*ATMImpVol^2</f>
        <v>-0.536488126369463</v>
      </c>
      <c r="AB117" s="80" t="n">
        <f aca="false">-(AA117^2)</f>
        <v>-0.287819509735417</v>
      </c>
      <c r="AC117" s="80" t="n">
        <f aca="false">AB117/(2*T/365.25*ATMImpVol^2)</f>
        <v>-1.33798866197415</v>
      </c>
      <c r="AD117" s="82" t="n">
        <f aca="false">EXP(AC117)</f>
        <v>0.262372858731518</v>
      </c>
      <c r="AE117" s="82" t="n">
        <f aca="false">AD117*Z117</f>
        <v>0.118868226453982</v>
      </c>
      <c r="AF117" s="82"/>
      <c r="AG117" s="101" t="n">
        <f aca="false">AG116-LTFactor*(MaxStandard-MinStandard)/100</f>
        <v>-1.50977530906961</v>
      </c>
      <c r="AH117" s="83" t="n">
        <f aca="false">(LN(($D117*(1+$P$8))/UnderlyingPrice)+0.5*ATMImpVol^2*(T/365.25))/(ATMImpVol*SQRT(T/365.25))</f>
        <v>-1.63431727065212</v>
      </c>
      <c r="AI117" s="83" t="n">
        <f aca="false">(LN($D117*(1-$P$8)/UnderlyingPrice)+0.5*ATMImpVol^2*(T/365.25))/(ATMImpVol*SQRT(T/365.25))</f>
        <v>-1.63736643712694</v>
      </c>
      <c r="AJ117" s="81"/>
      <c r="AK117" s="83" t="e">
        <f aca="false">W117/(AH117-AI117)*(D117*2*$P$8)</f>
        <v>#NAME?</v>
      </c>
      <c r="AL117" s="81"/>
      <c r="AM117" s="84"/>
      <c r="AN117" s="85"/>
      <c r="AX117" s="87" t="n">
        <f aca="true">OFFSET(ENAVolCoef,0,impvol_order-2)+OFFSET(ENAVolCoef,1,impvol_order-2)*E117+OFFSET(ENAVolCoef,2,impvol_order-2)*E117^2+IF(impvol_order&gt;2,OFFSET(ENAVolCoef,3,impvol_order-2)*E117^3,0)+IF(impvol_order&gt;3,OFFSET(ENAVolCoef,4,impvol_order-2)*E117^4,0)+IF(impvol_order&gt;4,OFFSET(ENAVolCoef,5,impvol_order-2)*E117^5,0)</f>
        <v>0.515423626729114</v>
      </c>
      <c r="AY117" s="87" t="n">
        <f aca="true">OFFSET(ENAVolCoef,0,impvol_order-2)+OFFSET(ENAVolCoef,1,impvol_order-2)*F117+OFFSET(ENAVolCoef,2,impvol_order-2)*F117^2+IF(impvol_order&gt;2,OFFSET(ENAVolCoef,3,impvol_order-2)*F117^3,0)+IF(impvol_order&gt;3,OFFSET(ENAVolCoef,4,impvol_order-2)*F117^4,0)+IF(impvol_order&gt;4,OFFSET(ENAVolCoef,5,impvol_order-2)*F117^5,0)</f>
        <v>0.515377838888802</v>
      </c>
      <c r="AZ117" s="87" t="n">
        <f aca="true">OFFSET(ENAVolCoef,0,impvol_order-2)+OFFSET(ENAVolCoef,1,impvol_order-2)*G117+OFFSET(ENAVolCoef,2,impvol_order-2)*G117^2+IF(impvol_order&gt;2,OFFSET(ENAVolCoef,3,impvol_order-2)*G117^3,0)+IF(impvol_order&gt;3,OFFSET(ENAVolCoef,4,impvol_order-2)*G117^4,0)+IF(impvol_order&gt;4,OFFSET(ENAVolCoef,5,impvol_order-2)*G117^5,0)</f>
        <v>0.515469460178288</v>
      </c>
      <c r="BB117" s="48" t="e">
        <f aca="false">EURO(UnderlyingPrice,$D117,IntRate,Yield,AX117,$D$6,1,0)</f>
        <v>#NAME?</v>
      </c>
      <c r="BC117" s="48" t="e">
        <f aca="false">EURO(UnderlyingPrice,$D117*(1+$P$8),IntRate,Yield,AY117,$D$6,1,0)</f>
        <v>#NAME?</v>
      </c>
      <c r="BD117" s="48" t="e">
        <f aca="false">EURO(UnderlyingPrice,$D117*(1-$P$8),IntRate,Yield,AZ117,$D$6,1,0)</f>
        <v>#NAME?</v>
      </c>
      <c r="BF117" s="80" t="e">
        <f aca="false">(BC117+BD117-2*BB117)/($P$8*$D117)^2</f>
        <v>#NAME?</v>
      </c>
      <c r="BG117" s="48" t="e">
        <f aca="false">+BF117/$D$9</f>
        <v>#NAME?</v>
      </c>
      <c r="BI117" s="79"/>
    </row>
    <row r="118" customFormat="false" ht="11.25" hidden="false" customHeight="false" outlineLevel="0" collapsed="false">
      <c r="C118" s="99"/>
      <c r="D118" s="78" t="n">
        <f aca="true">+D117-LTFactor*(ROUNDUP(MAX(StrikeRange),1)-ROUNDDOWN(MIN(StrikeRange),1))/100</f>
        <v>2.58</v>
      </c>
      <c r="E118" s="64" t="n">
        <f aca="false">+D118/UnderlyingPrice-1</f>
        <v>-0.467492260061919</v>
      </c>
      <c r="F118" s="64" t="n">
        <f aca="false">+D118*(1+$P$8)/UnderlyingPrice-1</f>
        <v>-0.46722600619195</v>
      </c>
      <c r="G118" s="64" t="n">
        <f aca="false">+D118*(1-$P$8)/UnderlyingPrice-1</f>
        <v>-0.467758513931889</v>
      </c>
      <c r="H118" s="64" t="n">
        <f aca="true">OFFSET(VolSkewCoef,0,impvol_order-2)+OFFSET(VolSkewCoef,1,impvol_order-2)*F118+OFFSET(VolSkewCoef,2,impvol_order-2)*F118^2+IF(impvol_order&gt;2,OFFSET(VolSkewCoef,3,impvol_order-2)*F118^3,0)+IF(impvol_order&gt;3,OFFSET(VolSkewCoef,4,impvol_order-2)*F118^4,0)+IF(impvol_order&gt;4,OFFSET(VolSkewCoef,5,impvol_order-2)*F118^5,0)</f>
        <v>0.55291258145376</v>
      </c>
      <c r="I118" s="64" t="n">
        <f aca="true">OFFSET(VolSkewCoef,0,impvol_order-2)+OFFSET(VolSkewCoef,1,impvol_order-2)*E118+OFFSET(VolSkewCoef,2,impvol_order-2)*E118^2+IF(impvol_order&gt;2,OFFSET(VolSkewCoef,3,impvol_order-2)*E118^3,0)+IF(impvol_order&gt;3,OFFSET(VolSkewCoef,4,impvol_order-2)*E118^4,0)+IF(impvol_order&gt;4,OFFSET(VolSkewCoef,5,impvol_order-2)*E118^5,0)</f>
        <v>0.552976445237317</v>
      </c>
      <c r="J118" s="64" t="n">
        <f aca="true">OFFSET(VolSkewCoef,0,impvol_order-2)+OFFSET(VolSkewCoef,1,impvol_order-2)*G118+OFFSET(VolSkewCoef,2,impvol_order-2)*G118^2+IF(impvol_order&gt;2,OFFSET(VolSkewCoef,3,impvol_order-2)*G118^3,0)+IF(impvol_order&gt;3,OFFSET(VolSkewCoef,4,impvol_order-2)*G118^4,0)+IF(impvol_order&gt;4,OFFSET(VolSkewCoef,5,impvol_order-2)*G118^5,0)</f>
        <v>0.553040369929338</v>
      </c>
      <c r="L118" s="79"/>
      <c r="M118" s="79"/>
      <c r="O118" s="79"/>
      <c r="P118" s="79"/>
      <c r="R118" s="80" t="n">
        <f aca="false">(1/($D118*SQRT(2*PI()*T/365.25*$I$114^2)))</f>
        <v>0.455340191647218</v>
      </c>
      <c r="S118" s="80" t="n">
        <f aca="false">LN($D118/UnderlyingPrice)+0.5*T/365.25*$I$114^2</f>
        <v>-0.572497300202898</v>
      </c>
      <c r="T118" s="80" t="n">
        <f aca="false">-(S118^2)</f>
        <v>-0.327753158739607</v>
      </c>
      <c r="U118" s="80" t="n">
        <f aca="false">T118/(2*T/365.25*$I$114^2)</f>
        <v>-1.42104601978158</v>
      </c>
      <c r="V118" s="80"/>
      <c r="W118" s="100" t="e">
        <f aca="false">(Alpha1*R118)*EXP(Gamma2^2*U118)</f>
        <v>#NAME?</v>
      </c>
      <c r="Z118" s="80" t="n">
        <f aca="false">(1/(D118*SQRT(2*PI()*T/365.25*ATMImpVol^2)))</f>
        <v>0.471488885820729</v>
      </c>
      <c r="AA118" s="80" t="n">
        <f aca="false">LN(D118/UnderlyingPrice)+0.5*T/365.25*ATMImpVol^2</f>
        <v>-0.576379455396766</v>
      </c>
      <c r="AB118" s="80" t="n">
        <f aca="false">-(AA118^2)</f>
        <v>-0.332213276603472</v>
      </c>
      <c r="AC118" s="80" t="n">
        <f aca="false">AB118/(2*T/365.25*ATMImpVol^2)</f>
        <v>-1.54436229101126</v>
      </c>
      <c r="AD118" s="82" t="n">
        <f aca="false">EXP(AC118)</f>
        <v>0.213447945503884</v>
      </c>
      <c r="AE118" s="82" t="n">
        <f aca="false">AD118*Z118</f>
        <v>0.10063833400635</v>
      </c>
      <c r="AF118" s="82"/>
      <c r="AG118" s="101" t="n">
        <f aca="false">AG117-LTFactor*(MaxStandard-MinStandard)/100</f>
        <v>-1.58050284375175</v>
      </c>
      <c r="AH118" s="83" t="n">
        <f aca="false">(LN(($D118*(1+$P$8))/UnderlyingPrice)+0.5*ATMImpVol^2*(T/365.25))/(ATMImpVol*SQRT(T/365.25))</f>
        <v>-1.75595256362184</v>
      </c>
      <c r="AI118" s="83" t="n">
        <f aca="false">(LN($D118*(1-$P$8)/UnderlyingPrice)+0.5*ATMImpVol^2*(T/365.25))/(ATMImpVol*SQRT(T/365.25))</f>
        <v>-1.75900173009666</v>
      </c>
      <c r="AJ118" s="81"/>
      <c r="AK118" s="83" t="e">
        <f aca="false">W118/(AH118-AI118)*(D118*2*$P$8)</f>
        <v>#NAME?</v>
      </c>
      <c r="AL118" s="81"/>
      <c r="AM118" s="84"/>
      <c r="AN118" s="85"/>
      <c r="AX118" s="87" t="n">
        <f aca="true">OFFSET(ENAVolCoef,0,impvol_order-2)+OFFSET(ENAVolCoef,1,impvol_order-2)*E118+OFFSET(ENAVolCoef,2,impvol_order-2)*E118^2+IF(impvol_order&gt;2,OFFSET(ENAVolCoef,3,impvol_order-2)*E118^3,0)+IF(impvol_order&gt;3,OFFSET(ENAVolCoef,4,impvol_order-2)*E118^4,0)+IF(impvol_order&gt;4,OFFSET(ENAVolCoef,5,impvol_order-2)*E118^5,0)</f>
        <v>0.519147128103027</v>
      </c>
      <c r="AY118" s="87" t="n">
        <f aca="true">OFFSET(ENAVolCoef,0,impvol_order-2)+OFFSET(ENAVolCoef,1,impvol_order-2)*F118+OFFSET(ENAVolCoef,2,impvol_order-2)*F118^2+IF(impvol_order&gt;2,OFFSET(ENAVolCoef,3,impvol_order-2)*F118^3,0)+IF(impvol_order&gt;3,OFFSET(ENAVolCoef,4,impvol_order-2)*F118^4,0)+IF(impvol_order&gt;4,OFFSET(ENAVolCoef,5,impvol_order-2)*F118^5,0)</f>
        <v>0.519099664176583</v>
      </c>
      <c r="AZ118" s="87" t="n">
        <f aca="true">OFFSET(ENAVolCoef,0,impvol_order-2)+OFFSET(ENAVolCoef,1,impvol_order-2)*G118+OFFSET(ENAVolCoef,2,impvol_order-2)*G118^2+IF(impvol_order&gt;2,OFFSET(ENAVolCoef,3,impvol_order-2)*G118^3,0)+IF(impvol_order&gt;3,OFFSET(ENAVolCoef,4,impvol_order-2)*G118^4,0)+IF(impvol_order&gt;4,OFFSET(ENAVolCoef,5,impvol_order-2)*G118^5,0)</f>
        <v>0.519194635089722</v>
      </c>
      <c r="BB118" s="48" t="e">
        <f aca="false">EURO(UnderlyingPrice,$D118,IntRate,Yield,AX118,$D$6,1,0)</f>
        <v>#NAME?</v>
      </c>
      <c r="BC118" s="48" t="e">
        <f aca="false">EURO(UnderlyingPrice,$D118*(1+$P$8),IntRate,Yield,AY118,$D$6,1,0)</f>
        <v>#NAME?</v>
      </c>
      <c r="BD118" s="48" t="e">
        <f aca="false">EURO(UnderlyingPrice,$D118*(1-$P$8),IntRate,Yield,AZ118,$D$6,1,0)</f>
        <v>#NAME?</v>
      </c>
      <c r="BF118" s="80" t="e">
        <f aca="false">(BC118+BD118-2*BB118)/($P$8*$D118)^2</f>
        <v>#NAME?</v>
      </c>
      <c r="BG118" s="48" t="e">
        <f aca="false">+BF118/$D$9</f>
        <v>#NAME?</v>
      </c>
      <c r="BI118" s="79"/>
    </row>
    <row r="119" customFormat="false" ht="11.25" hidden="false" customHeight="false" outlineLevel="0" collapsed="false">
      <c r="C119" s="99"/>
      <c r="D119" s="78" t="n">
        <f aca="true">+D118-LTFactor*(ROUNDUP(MAX(StrikeRange),1)-ROUNDDOWN(MIN(StrikeRange),1))/100</f>
        <v>2.475</v>
      </c>
      <c r="E119" s="64" t="n">
        <f aca="false">+D119/UnderlyingPrice-1</f>
        <v>-0.489164086687307</v>
      </c>
      <c r="F119" s="64" t="n">
        <f aca="false">+D119*(1+$P$8)/UnderlyingPrice-1</f>
        <v>-0.48890866873065</v>
      </c>
      <c r="G119" s="64" t="n">
        <f aca="false">+D119*(1-$P$8)/UnderlyingPrice-1</f>
        <v>-0.489419504643963</v>
      </c>
      <c r="H119" s="64" t="n">
        <f aca="true">OFFSET(VolSkewCoef,0,impvol_order-2)+OFFSET(VolSkewCoef,1,impvol_order-2)*F119+OFFSET(VolSkewCoef,2,impvol_order-2)*F119^2+IF(impvol_order&gt;2,OFFSET(VolSkewCoef,3,impvol_order-2)*F119^3,0)+IF(impvol_order&gt;3,OFFSET(VolSkewCoef,4,impvol_order-2)*F119^4,0)+IF(impvol_order&gt;4,OFFSET(VolSkewCoef,5,impvol_order-2)*F119^5,0)</f>
        <v>0.558314538691597</v>
      </c>
      <c r="I119" s="64" t="n">
        <f aca="true">OFFSET(VolSkewCoef,0,impvol_order-2)+OFFSET(VolSkewCoef,1,impvol_order-2)*E119+OFFSET(VolSkewCoef,2,impvol_order-2)*E119^2+IF(impvol_order&gt;2,OFFSET(VolSkewCoef,3,impvol_order-2)*E119^3,0)+IF(impvol_order&gt;3,OFFSET(VolSkewCoef,4,impvol_order-2)*E119^4,0)+IF(impvol_order&gt;4,OFFSET(VolSkewCoef,5,impvol_order-2)*E119^5,0)</f>
        <v>0.558380620421638</v>
      </c>
      <c r="J119" s="64" t="n">
        <f aca="true">OFFSET(VolSkewCoef,0,impvol_order-2)+OFFSET(VolSkewCoef,1,impvol_order-2)*G119+OFFSET(VolSkewCoef,2,impvol_order-2)*G119^2+IF(impvol_order&gt;2,OFFSET(VolSkewCoef,3,impvol_order-2)*G119^3,0)+IF(impvol_order&gt;3,OFFSET(VolSkewCoef,4,impvol_order-2)*G119^4,0)+IF(impvol_order&gt;4,OFFSET(VolSkewCoef,5,impvol_order-2)*G119^5,0)</f>
        <v>0.558446759633678</v>
      </c>
      <c r="L119" s="79"/>
      <c r="M119" s="79"/>
      <c r="O119" s="79"/>
      <c r="P119" s="79"/>
      <c r="R119" s="80" t="n">
        <f aca="false">(1/($D119*SQRT(2*PI()*T/365.25*$I$114^2)))</f>
        <v>0.47465765432316</v>
      </c>
      <c r="S119" s="80" t="n">
        <f aca="false">LN($D119/UnderlyingPrice)+0.5*T/365.25*$I$114^2</f>
        <v>-0.614046303115771</v>
      </c>
      <c r="T119" s="80" t="n">
        <f aca="false">-(S119^2)</f>
        <v>-0.377052862370145</v>
      </c>
      <c r="U119" s="80" t="n">
        <f aca="false">T119/(2*T/365.25*$I$114^2)</f>
        <v>-1.6347957450016</v>
      </c>
      <c r="V119" s="80"/>
      <c r="W119" s="100" t="e">
        <f aca="false">(Alpha1*R119)*EXP(Gamma2^2*U119)</f>
        <v>#NAME?</v>
      </c>
      <c r="Z119" s="80" t="n">
        <f aca="false">(1/(D119*SQRT(2*PI()*T/365.25*ATMImpVol^2)))</f>
        <v>0.491491444613124</v>
      </c>
      <c r="AA119" s="80" t="n">
        <f aca="false">LN(D119/UnderlyingPrice)+0.5*T/365.25*ATMImpVol^2</f>
        <v>-0.617928458309638</v>
      </c>
      <c r="AB119" s="80" t="n">
        <f aca="false">-(AA119^2)</f>
        <v>-0.381835579588926</v>
      </c>
      <c r="AC119" s="80" t="n">
        <f aca="false">AB119/(2*T/365.25*ATMImpVol^2)</f>
        <v>-1.77504185417436</v>
      </c>
      <c r="AD119" s="82" t="n">
        <f aca="false">EXP(AC119)</f>
        <v>0.16947635605807</v>
      </c>
      <c r="AE119" s="82" t="n">
        <f aca="false">AD119*Z119</f>
        <v>0.0832961790667491</v>
      </c>
      <c r="AF119" s="82"/>
      <c r="AG119" s="101" t="n">
        <f aca="false">AG118-LTFactor*(MaxStandard-MinStandard)/100</f>
        <v>-1.65123037843389</v>
      </c>
      <c r="AH119" s="83" t="n">
        <f aca="false">(LN(($D119*(1+$P$8))/UnderlyingPrice)+0.5*ATMImpVol^2*(T/365.25))/(ATMImpVol*SQRT(T/365.25))</f>
        <v>-1.88264237980841</v>
      </c>
      <c r="AI119" s="83" t="n">
        <f aca="false">(LN($D119*(1-$P$8)/UnderlyingPrice)+0.5*ATMImpVol^2*(T/365.25))/(ATMImpVol*SQRT(T/365.25))</f>
        <v>-1.88569154628323</v>
      </c>
      <c r="AJ119" s="81"/>
      <c r="AK119" s="83" t="e">
        <f aca="false">W119/(AH119-AI119)*(D119*2*$P$8)</f>
        <v>#NAME?</v>
      </c>
      <c r="AL119" s="81"/>
      <c r="AM119" s="84"/>
      <c r="AN119" s="85"/>
      <c r="AX119" s="87" t="n">
        <f aca="true">OFFSET(ENAVolCoef,0,impvol_order-2)+OFFSET(ENAVolCoef,1,impvol_order-2)*E119+OFFSET(ENAVolCoef,2,impvol_order-2)*E119^2+IF(impvol_order&gt;2,OFFSET(ENAVolCoef,3,impvol_order-2)*E119^3,0)+IF(impvol_order&gt;3,OFFSET(ENAVolCoef,4,impvol_order-2)*E119^4,0)+IF(impvol_order&gt;4,OFFSET(ENAVolCoef,5,impvol_order-2)*E119^5,0)</f>
        <v>0.523155912376503</v>
      </c>
      <c r="AY119" s="87" t="n">
        <f aca="true">OFFSET(ENAVolCoef,0,impvol_order-2)+OFFSET(ENAVolCoef,1,impvol_order-2)*F119+OFFSET(ENAVolCoef,2,impvol_order-2)*F119^2+IF(impvol_order&gt;2,OFFSET(ENAVolCoef,3,impvol_order-2)*F119^3,0)+IF(impvol_order&gt;3,OFFSET(ENAVolCoef,4,impvol_order-2)*F119^4,0)+IF(impvol_order&gt;4,OFFSET(ENAVolCoef,5,impvol_order-2)*F119^5,0)</f>
        <v>0.52310698041194</v>
      </c>
      <c r="AZ119" s="87" t="n">
        <f aca="true">OFFSET(ENAVolCoef,0,impvol_order-2)+OFFSET(ENAVolCoef,1,impvol_order-2)*G119+OFFSET(ENAVolCoef,2,impvol_order-2)*G119^2+IF(impvol_order&gt;2,OFFSET(ENAVolCoef,3,impvol_order-2)*G119^3,0)+IF(impvol_order&gt;3,OFFSET(ENAVolCoef,4,impvol_order-2)*G119^4,0)+IF(impvol_order&gt;4,OFFSET(ENAVolCoef,5,impvol_order-2)*G119^5,0)</f>
        <v>0.52320488484089</v>
      </c>
      <c r="BB119" s="48" t="e">
        <f aca="false">EURO(UnderlyingPrice,$D119,IntRate,Yield,AX119,$D$6,1,0)</f>
        <v>#NAME?</v>
      </c>
      <c r="BC119" s="48" t="e">
        <f aca="false">EURO(UnderlyingPrice,$D119*(1+$P$8),IntRate,Yield,AY119,$D$6,1,0)</f>
        <v>#NAME?</v>
      </c>
      <c r="BD119" s="48" t="e">
        <f aca="false">EURO(UnderlyingPrice,$D119*(1-$P$8),IntRate,Yield,AZ119,$D$6,1,0)</f>
        <v>#NAME?</v>
      </c>
      <c r="BF119" s="80" t="e">
        <f aca="false">(BC119+BD119-2*BB119)/($P$8*$D119)^2</f>
        <v>#NAME?</v>
      </c>
      <c r="BG119" s="48" t="e">
        <f aca="false">+BF119/$D$9</f>
        <v>#NAME?</v>
      </c>
      <c r="BI119" s="79"/>
    </row>
    <row r="120" customFormat="false" ht="11.25" hidden="false" customHeight="false" outlineLevel="0" collapsed="false">
      <c r="C120" s="99"/>
      <c r="D120" s="78" t="n">
        <f aca="true">+D119-LTFactor*(ROUNDUP(MAX(StrikeRange),1)-ROUNDDOWN(MIN(StrikeRange),1))/100</f>
        <v>2.37</v>
      </c>
      <c r="E120" s="64" t="n">
        <f aca="false">+D120/UnderlyingPrice-1</f>
        <v>-0.510835913312693</v>
      </c>
      <c r="F120" s="64" t="n">
        <f aca="false">+D120*(1+$P$8)/UnderlyingPrice-1</f>
        <v>-0.51059133126935</v>
      </c>
      <c r="G120" s="64" t="n">
        <f aca="false">+D120*(1-$P$8)/UnderlyingPrice-1</f>
        <v>-0.511080495356037</v>
      </c>
      <c r="H120" s="64" t="n">
        <f aca="true">OFFSET(VolSkewCoef,0,impvol_order-2)+OFFSET(VolSkewCoef,1,impvol_order-2)*F120+OFFSET(VolSkewCoef,2,impvol_order-2)*F120^2+IF(impvol_order&gt;2,OFFSET(VolSkewCoef,3,impvol_order-2)*F120^3,0)+IF(impvol_order&gt;3,OFFSET(VolSkewCoef,4,impvol_order-2)*F120^4,0)+IF(impvol_order&gt;4,OFFSET(VolSkewCoef,5,impvol_order-2)*F120^5,0)</f>
        <v>0.564130616550305</v>
      </c>
      <c r="I120" s="64" t="n">
        <f aca="true">OFFSET(VolSkewCoef,0,impvol_order-2)+OFFSET(VolSkewCoef,1,impvol_order-2)*E120+OFFSET(VolSkewCoef,2,impvol_order-2)*E120^2+IF(impvol_order&gt;2,OFFSET(VolSkewCoef,3,impvol_order-2)*E120^3,0)+IF(impvol_order&gt;3,OFFSET(VolSkewCoef,4,impvol_order-2)*E120^4,0)+IF(impvol_order&gt;4,OFFSET(VolSkewCoef,5,impvol_order-2)*E120^5,0)</f>
        <v>0.564198623777003</v>
      </c>
      <c r="J120" s="64" t="n">
        <f aca="true">OFFSET(VolSkewCoef,0,impvol_order-2)+OFFSET(VolSkewCoef,1,impvol_order-2)*G120+OFFSET(VolSkewCoef,2,impvol_order-2)*G120^2+IF(impvol_order&gt;2,OFFSET(VolSkewCoef,3,impvol_order-2)*G120^3,0)+IF(impvol_order&gt;3,OFFSET(VolSkewCoef,4,impvol_order-2)*G120^4,0)+IF(impvol_order&gt;4,OFFSET(VolSkewCoef,5,impvol_order-2)*G120^5,0)</f>
        <v>0.56426668502343</v>
      </c>
      <c r="L120" s="79"/>
      <c r="M120" s="79"/>
      <c r="O120" s="79"/>
      <c r="P120" s="79"/>
      <c r="R120" s="80" t="n">
        <f aca="false">(1/($D120*SQRT(2*PI()*T/365.25*$I$114^2)))</f>
        <v>0.495686790907098</v>
      </c>
      <c r="S120" s="80" t="n">
        <f aca="false">LN($D120/UnderlyingPrice)+0.5*T/365.25*$I$114^2</f>
        <v>-0.657396743989384</v>
      </c>
      <c r="T120" s="80" t="n">
        <f aca="false">-(S120^2)</f>
        <v>-0.432170479007844</v>
      </c>
      <c r="U120" s="80" t="n">
        <f aca="false">T120/(2*T/365.25*$I$114^2)</f>
        <v>-1.87377031368021</v>
      </c>
      <c r="V120" s="80"/>
      <c r="W120" s="100" t="e">
        <f aca="false">(Alpha1*R120)*EXP(Gamma2^2*U120)</f>
        <v>#NAME?</v>
      </c>
      <c r="Z120" s="80" t="n">
        <f aca="false">(1/(D120*SQRT(2*PI()*T/365.25*ATMImpVol^2)))</f>
        <v>0.513266382032693</v>
      </c>
      <c r="AA120" s="80" t="n">
        <f aca="false">LN(D120/UnderlyingPrice)+0.5*T/365.25*ATMImpVol^2</f>
        <v>-0.661278899183252</v>
      </c>
      <c r="AB120" s="80" t="n">
        <f aca="false">-(AA120^2)</f>
        <v>-0.437289782505013</v>
      </c>
      <c r="AC120" s="80" t="n">
        <f aca="false">AB120/(2*T/365.25*ATMImpVol^2)</f>
        <v>-2.03283221323912</v>
      </c>
      <c r="AD120" s="82" t="n">
        <f aca="false">EXP(AC120)</f>
        <v>0.130964077199257</v>
      </c>
      <c r="AE120" s="82" t="n">
        <f aca="false">AD120*Z120</f>
        <v>0.067219458080313</v>
      </c>
      <c r="AF120" s="82"/>
      <c r="AG120" s="101" t="n">
        <f aca="false">AG119-LTFactor*(MaxStandard-MinStandard)/100</f>
        <v>-1.72195791311603</v>
      </c>
      <c r="AH120" s="83" t="n">
        <f aca="false">(LN(($D120*(1+$P$8))/UnderlyingPrice)+0.5*ATMImpVol^2*(T/365.25))/(ATMImpVol*SQRT(T/365.25))</f>
        <v>-2.0148250797736</v>
      </c>
      <c r="AI120" s="83" t="n">
        <f aca="false">(LN($D120*(1-$P$8)/UnderlyingPrice)+0.5*ATMImpVol^2*(T/365.25))/(ATMImpVol*SQRT(T/365.25))</f>
        <v>-2.01787424624842</v>
      </c>
      <c r="AJ120" s="81"/>
      <c r="AK120" s="83" t="e">
        <f aca="false">W120/(AH120-AI120)*(D120*2*$P$8)</f>
        <v>#NAME?</v>
      </c>
      <c r="AL120" s="81"/>
      <c r="AM120" s="84"/>
      <c r="AN120" s="85"/>
      <c r="AX120" s="87" t="n">
        <f aca="true">OFFSET(ENAVolCoef,0,impvol_order-2)+OFFSET(ENAVolCoef,1,impvol_order-2)*E120+OFFSET(ENAVolCoef,2,impvol_order-2)*E120^2+IF(impvol_order&gt;2,OFFSET(ENAVolCoef,3,impvol_order-2)*E120^3,0)+IF(impvol_order&gt;3,OFFSET(ENAVolCoef,4,impvol_order-2)*E120^4,0)+IF(impvol_order&gt;4,OFFSET(ENAVolCoef,5,impvol_order-2)*E120^5,0)</f>
        <v>0.527456265627695</v>
      </c>
      <c r="AY120" s="87" t="n">
        <f aca="true">OFFSET(ENAVolCoef,0,impvol_order-2)+OFFSET(ENAVolCoef,1,impvol_order-2)*F120+OFFSET(ENAVolCoef,2,impvol_order-2)*F120^2+IF(impvol_order&gt;2,OFFSET(ENAVolCoef,3,impvol_order-2)*F120^3,0)+IF(impvol_order&gt;3,OFFSET(ENAVolCoef,4,impvol_order-2)*F120^4,0)+IF(impvol_order&gt;4,OFFSET(ENAVolCoef,5,impvol_order-2)*F120^5,0)</f>
        <v>0.527406083106857</v>
      </c>
      <c r="AZ120" s="87" t="n">
        <f aca="true">OFFSET(ENAVolCoef,0,impvol_order-2)+OFFSET(ENAVolCoef,1,impvol_order-2)*G120+OFFSET(ENAVolCoef,2,impvol_order-2)*G120^2+IF(impvol_order&gt;2,OFFSET(ENAVolCoef,3,impvol_order-2)*G120^3,0)+IF(impvol_order&gt;3,OFFSET(ENAVolCoef,4,impvol_order-2)*G120^4,0)+IF(impvol_order&gt;4,OFFSET(ENAVolCoef,5,impvol_order-2)*G120^5,0)</f>
        <v>0.527506486085542</v>
      </c>
      <c r="BB120" s="48" t="e">
        <f aca="false">EURO(UnderlyingPrice,$D120,IntRate,Yield,AX120,$D$6,1,0)</f>
        <v>#NAME?</v>
      </c>
      <c r="BC120" s="48" t="e">
        <f aca="false">EURO(UnderlyingPrice,$D120*(1+$P$8),IntRate,Yield,AY120,$D$6,1,0)</f>
        <v>#NAME?</v>
      </c>
      <c r="BD120" s="48" t="e">
        <f aca="false">EURO(UnderlyingPrice,$D120*(1-$P$8),IntRate,Yield,AZ120,$D$6,1,0)</f>
        <v>#NAME?</v>
      </c>
      <c r="BF120" s="80" t="e">
        <f aca="false">(BC120+BD120-2*BB120)/($P$8*$D120)^2</f>
        <v>#NAME?</v>
      </c>
      <c r="BG120" s="48" t="e">
        <f aca="false">+BF120/$D$9</f>
        <v>#NAME?</v>
      </c>
      <c r="BI120" s="79"/>
    </row>
    <row r="121" customFormat="false" ht="11.25" hidden="false" customHeight="false" outlineLevel="0" collapsed="false">
      <c r="C121" s="99"/>
      <c r="D121" s="78" t="n">
        <f aca="true">+D120-LTFactor*(ROUNDUP(MAX(StrikeRange),1)-ROUNDDOWN(MIN(StrikeRange),1))/100</f>
        <v>2.265</v>
      </c>
      <c r="E121" s="64" t="n">
        <f aca="false">+D121/UnderlyingPrice-1</f>
        <v>-0.53250773993808</v>
      </c>
      <c r="F121" s="64" t="n">
        <f aca="false">+D121*(1+$P$8)/UnderlyingPrice-1</f>
        <v>-0.53227399380805</v>
      </c>
      <c r="G121" s="64" t="n">
        <f aca="false">+D121*(1-$P$8)/UnderlyingPrice-1</f>
        <v>-0.532741486068111</v>
      </c>
      <c r="H121" s="64" t="n">
        <f aca="true">OFFSET(VolSkewCoef,0,impvol_order-2)+OFFSET(VolSkewCoef,1,impvol_order-2)*F121+OFFSET(VolSkewCoef,2,impvol_order-2)*F121^2+IF(impvol_order&gt;2,OFFSET(VolSkewCoef,3,impvol_order-2)*F121^3,0)+IF(impvol_order&gt;3,OFFSET(VolSkewCoef,4,impvol_order-2)*F121^4,0)+IF(impvol_order&gt;4,OFFSET(VolSkewCoef,5,impvol_order-2)*F121^5,0)</f>
        <v>0.570371127730516</v>
      </c>
      <c r="I121" s="64" t="n">
        <f aca="true">OFFSET(VolSkewCoef,0,impvol_order-2)+OFFSET(VolSkewCoef,1,impvol_order-2)*E121+OFFSET(VolSkewCoef,2,impvol_order-2)*E121^2+IF(impvol_order&gt;2,OFFSET(VolSkewCoef,3,impvol_order-2)*E121^3,0)+IF(impvol_order&gt;3,OFFSET(VolSkewCoef,4,impvol_order-2)*E121^4,0)+IF(impvol_order&gt;4,OFFSET(VolSkewCoef,5,impvol_order-2)*E121^5,0)</f>
        <v>0.57044075255045</v>
      </c>
      <c r="J121" s="64" t="n">
        <f aca="true">OFFSET(VolSkewCoef,0,impvol_order-2)+OFFSET(VolSkewCoef,1,impvol_order-2)*G121+OFFSET(VolSkewCoef,2,impvol_order-2)*G121^2+IF(impvol_order&gt;2,OFFSET(VolSkewCoef,3,impvol_order-2)*G121^3,0)+IF(impvol_order&gt;3,OFFSET(VolSkewCoef,4,impvol_order-2)*G121^4,0)+IF(impvol_order&gt;4,OFFSET(VolSkewCoef,5,impvol_order-2)*G121^5,0)</f>
        <v>0.570510427907483</v>
      </c>
      <c r="L121" s="79"/>
      <c r="M121" s="79"/>
      <c r="O121" s="79"/>
      <c r="P121" s="79"/>
      <c r="R121" s="80" t="n">
        <f aca="false">(1/($D121*SQRT(2*PI()*T/365.25*$I$114^2)))</f>
        <v>0.518665648763718</v>
      </c>
      <c r="S121" s="80" t="n">
        <f aca="false">LN($D121/UnderlyingPrice)+0.5*T/365.25*$I$114^2</f>
        <v>-0.702711940201427</v>
      </c>
      <c r="T121" s="80" t="n">
        <f aca="false">-(S121^2)</f>
        <v>-0.493804070901653</v>
      </c>
      <c r="U121" s="80" t="n">
        <f aca="false">T121/(2*T/365.25*$I$114^2)</f>
        <v>-2.14099632847241</v>
      </c>
      <c r="V121" s="80"/>
      <c r="W121" s="100" t="e">
        <f aca="false">(Alpha1*R121)*EXP(Gamma2^2*U121)</f>
        <v>#NAME?</v>
      </c>
      <c r="Z121" s="80" t="n">
        <f aca="false">(1/(D121*SQRT(2*PI()*T/365.25*ATMImpVol^2)))</f>
        <v>0.537060187822288</v>
      </c>
      <c r="AA121" s="80" t="n">
        <f aca="false">LN(D121/UnderlyingPrice)+0.5*T/365.25*ATMImpVol^2</f>
        <v>-0.706594095395294</v>
      </c>
      <c r="AB121" s="80" t="n">
        <f aca="false">-(AA121^2)</f>
        <v>-0.499275215647494</v>
      </c>
      <c r="AC121" s="80" t="n">
        <f aca="false">AB121/(2*T/365.25*ATMImpVol^2)</f>
        <v>-2.32098435007111</v>
      </c>
      <c r="AD121" s="82" t="n">
        <f aca="false">EXP(AC121)</f>
        <v>0.0981768975886182</v>
      </c>
      <c r="AE121" s="82" t="n">
        <f aca="false">AD121*Z121</f>
        <v>0.0527269030587528</v>
      </c>
      <c r="AF121" s="82"/>
      <c r="AG121" s="101" t="n">
        <f aca="false">AG120-LTFactor*(MaxStandard-MinStandard)/100</f>
        <v>-1.79268544779817</v>
      </c>
      <c r="AH121" s="83" t="n">
        <f aca="false">(LN(($D121*(1+$P$8))/UnderlyingPrice)+0.5*ATMImpVol^2*(T/365.25))/(ATMImpVol*SQRT(T/365.25))</f>
        <v>-2.15299864534871</v>
      </c>
      <c r="AI121" s="83" t="n">
        <f aca="false">(LN($D121*(1-$P$8)/UnderlyingPrice)+0.5*ATMImpVol^2*(T/365.25))/(ATMImpVol*SQRT(T/365.25))</f>
        <v>-2.15604781182353</v>
      </c>
      <c r="AJ121" s="81"/>
      <c r="AK121" s="83" t="e">
        <f aca="false">W121/(AH121-AI121)*(D121*2*$P$8)</f>
        <v>#NAME?</v>
      </c>
      <c r="AL121" s="81"/>
      <c r="AM121" s="84"/>
      <c r="AN121" s="85"/>
      <c r="AX121" s="87" t="n">
        <f aca="true">OFFSET(ENAVolCoef,0,impvol_order-2)+OFFSET(ENAVolCoef,1,impvol_order-2)*E121+OFFSET(ENAVolCoef,2,impvol_order-2)*E121^2+IF(impvol_order&gt;2,OFFSET(ENAVolCoef,3,impvol_order-2)*E121^3,0)+IF(impvol_order&gt;3,OFFSET(ENAVolCoef,4,impvol_order-2)*E121^4,0)+IF(impvol_order&gt;4,OFFSET(ENAVolCoef,5,impvol_order-2)*E121^5,0)</f>
        <v>0.532054473934758</v>
      </c>
      <c r="AY121" s="87" t="n">
        <f aca="true">OFFSET(ENAVolCoef,0,impvol_order-2)+OFFSET(ENAVolCoef,1,impvol_order-2)*F121+OFFSET(ENAVolCoef,2,impvol_order-2)*F121^2+IF(impvol_order&gt;2,OFFSET(ENAVolCoef,3,impvol_order-2)*F121^3,0)+IF(impvol_order&gt;3,OFFSET(ENAVolCoef,4,impvol_order-2)*F121^4,0)+IF(impvol_order&gt;4,OFFSET(ENAVolCoef,5,impvol_order-2)*F121^5,0)</f>
        <v>0.532003267773321</v>
      </c>
      <c r="AZ121" s="87" t="n">
        <f aca="true">OFFSET(ENAVolCoef,0,impvol_order-2)+OFFSET(ENAVolCoef,1,impvol_order-2)*G121+OFFSET(ENAVolCoef,2,impvol_order-2)*G121^2+IF(impvol_order&gt;2,OFFSET(ENAVolCoef,3,impvol_order-2)*G121^3,0)+IF(impvol_order&gt;3,OFFSET(ENAVolCoef,4,impvol_order-2)*G121^4,0)+IF(impvol_order&gt;4,OFFSET(ENAVolCoef,5,impvol_order-2)*G121^5,0)</f>
        <v>0.532105715477429</v>
      </c>
      <c r="BB121" s="48" t="e">
        <f aca="false">EURO(UnderlyingPrice,$D121,IntRate,Yield,AX121,$D$6,1,0)</f>
        <v>#NAME?</v>
      </c>
      <c r="BC121" s="48" t="e">
        <f aca="false">EURO(UnderlyingPrice,$D121*(1+$P$8),IntRate,Yield,AY121,$D$6,1,0)</f>
        <v>#NAME?</v>
      </c>
      <c r="BD121" s="48" t="e">
        <f aca="false">EURO(UnderlyingPrice,$D121*(1-$P$8),IntRate,Yield,AZ121,$D$6,1,0)</f>
        <v>#NAME?</v>
      </c>
      <c r="BF121" s="80" t="e">
        <f aca="false">(BC121+BD121-2*BB121)/($P$8*$D121)^2</f>
        <v>#NAME?</v>
      </c>
      <c r="BG121" s="48" t="e">
        <f aca="false">+BF121/$D$9</f>
        <v>#NAME?</v>
      </c>
      <c r="BI121" s="79"/>
    </row>
    <row r="122" customFormat="false" ht="11.25" hidden="false" customHeight="false" outlineLevel="0" collapsed="false">
      <c r="C122" s="99"/>
      <c r="D122" s="78" t="n">
        <f aca="true">+D121-LTFactor*(ROUNDUP(MAX(StrikeRange),1)-ROUNDDOWN(MIN(StrikeRange),1))/100</f>
        <v>2.16</v>
      </c>
      <c r="E122" s="64" t="n">
        <f aca="false">+D122/UnderlyingPrice-1</f>
        <v>-0.554179566563468</v>
      </c>
      <c r="F122" s="64" t="n">
        <f aca="false">+D122*(1+$P$8)/UnderlyingPrice-1</f>
        <v>-0.553956656346749</v>
      </c>
      <c r="G122" s="64" t="n">
        <f aca="false">+D122*(1-$P$8)/UnderlyingPrice-1</f>
        <v>-0.554402476780186</v>
      </c>
      <c r="H122" s="64" t="n">
        <f aca="true">OFFSET(VolSkewCoef,0,impvol_order-2)+OFFSET(VolSkewCoef,1,impvol_order-2)*F122+OFFSET(VolSkewCoef,2,impvol_order-2)*F122^2+IF(impvol_order&gt;2,OFFSET(VolSkewCoef,3,impvol_order-2)*F122^3,0)+IF(impvol_order&gt;3,OFFSET(VolSkewCoef,4,impvol_order-2)*F122^4,0)+IF(impvol_order&gt;4,OFFSET(VolSkewCoef,5,impvol_order-2)*F122^5,0)</f>
        <v>0.577046384932859</v>
      </c>
      <c r="I122" s="64" t="n">
        <f aca="true">OFFSET(VolSkewCoef,0,impvol_order-2)+OFFSET(VolSkewCoef,1,impvol_order-2)*E122+OFFSET(VolSkewCoef,2,impvol_order-2)*E122^2+IF(impvol_order&gt;2,OFFSET(VolSkewCoef,3,impvol_order-2)*E122^3,0)+IF(impvol_order&gt;3,OFFSET(VolSkewCoef,4,impvol_order-2)*E122^4,0)+IF(impvol_order&gt;4,OFFSET(VolSkewCoef,5,impvol_order-2)*E122^5,0)</f>
        <v>0.577117303989015</v>
      </c>
      <c r="J122" s="64" t="n">
        <f aca="true">OFFSET(VolSkewCoef,0,impvol_order-2)+OFFSET(VolSkewCoef,1,impvol_order-2)*G122+OFFSET(VolSkewCoef,2,impvol_order-2)*G122^2+IF(impvol_order&gt;2,OFFSET(VolSkewCoef,3,impvol_order-2)*G122^3,0)+IF(impvol_order&gt;3,OFFSET(VolSkewCoef,4,impvol_order-2)*G122^4,0)+IF(impvol_order&gt;4,OFFSET(VolSkewCoef,5,impvol_order-2)*G122^5,0)</f>
        <v>0.577188270094723</v>
      </c>
      <c r="L122" s="79"/>
      <c r="M122" s="79"/>
      <c r="O122" s="79"/>
      <c r="P122" s="79"/>
      <c r="R122" s="80" t="n">
        <f aca="false">(1/($D122*SQRT(2*PI()*T/365.25*$I$114^2)))</f>
        <v>0.543878562245288</v>
      </c>
      <c r="S122" s="80" t="n">
        <f aca="false">LN($D122/UnderlyingPrice)+0.5*T/365.25*$I$114^2</f>
        <v>-0.750178477440351</v>
      </c>
      <c r="T122" s="80" t="n">
        <f aca="false">-(S122^2)</f>
        <v>-0.562767748014722</v>
      </c>
      <c r="U122" s="80" t="n">
        <f aca="false">T122/(2*T/365.25*$I$114^2)</f>
        <v>-2.44000354246203</v>
      </c>
      <c r="V122" s="80"/>
      <c r="W122" s="100" t="e">
        <f aca="false">(Alpha1*R122)*EXP(Gamma2^2*U122)</f>
        <v>#NAME?</v>
      </c>
      <c r="Z122" s="80" t="n">
        <f aca="false">(1/(D122*SQRT(2*PI()*T/365.25*ATMImpVol^2)))</f>
        <v>0.563167280285871</v>
      </c>
      <c r="AA122" s="80" t="n">
        <f aca="false">LN(D122/UnderlyingPrice)+0.5*T/365.25*ATMImpVol^2</f>
        <v>-0.754060632634218</v>
      </c>
      <c r="AB122" s="80" t="n">
        <f aca="false">-(AA122^2)</f>
        <v>-0.568607437688717</v>
      </c>
      <c r="AC122" s="80" t="n">
        <f aca="false">AB122/(2*T/365.25*ATMImpVol^2)</f>
        <v>-2.643289558241</v>
      </c>
      <c r="AD122" s="82" t="n">
        <f aca="false">EXP(AC122)</f>
        <v>0.0711269081880527</v>
      </c>
      <c r="AE122" s="82" t="n">
        <f aca="false">AD122*Z122</f>
        <v>0.0400563474394085</v>
      </c>
      <c r="AF122" s="82"/>
      <c r="AG122" s="101" t="n">
        <f aca="false">AG121-LTFactor*(MaxStandard-MinStandard)/100</f>
        <v>-1.86341298248031</v>
      </c>
      <c r="AH122" s="83" t="n">
        <f aca="false">(LN(($D122*(1+$P$8))/UnderlyingPrice)+0.5*ATMImpVol^2*(T/365.25))/(ATMImpVol*SQRT(T/365.25))</f>
        <v>-2.29773200731223</v>
      </c>
      <c r="AI122" s="83" t="n">
        <f aca="false">(LN($D122*(1-$P$8)/UnderlyingPrice)+0.5*ATMImpVol^2*(T/365.25))/(ATMImpVol*SQRT(T/365.25))</f>
        <v>-2.30078117378705</v>
      </c>
      <c r="AJ122" s="81"/>
      <c r="AK122" s="83" t="e">
        <f aca="false">W122/(AH122-AI122)*(D122*2*$P$8)</f>
        <v>#NAME?</v>
      </c>
      <c r="AL122" s="81"/>
      <c r="AM122" s="84"/>
      <c r="AN122" s="85"/>
      <c r="AX122" s="87" t="n">
        <f aca="true">OFFSET(ENAVolCoef,0,impvol_order-2)+OFFSET(ENAVolCoef,1,impvol_order-2)*E122+OFFSET(ENAVolCoef,2,impvol_order-2)*E122^2+IF(impvol_order&gt;2,OFFSET(ENAVolCoef,3,impvol_order-2)*E122^3,0)+IF(impvol_order&gt;3,OFFSET(ENAVolCoef,4,impvol_order-2)*E122^4,0)+IF(impvol_order&gt;4,OFFSET(ENAVolCoef,5,impvol_order-2)*E122^5,0)</f>
        <v>0.536956823375843</v>
      </c>
      <c r="AY122" s="87" t="n">
        <f aca="true">OFFSET(ENAVolCoef,0,impvol_order-2)+OFFSET(ENAVolCoef,1,impvol_order-2)*F122+OFFSET(ENAVolCoef,2,impvol_order-2)*F122^2+IF(impvol_order&gt;2,OFFSET(ENAVolCoef,3,impvol_order-2)*F122^3,0)+IF(impvol_order&gt;3,OFFSET(ENAVolCoef,4,impvol_order-2)*F122^4,0)+IF(impvol_order&gt;4,OFFSET(ENAVolCoef,5,impvol_order-2)*F122^5,0)</f>
        <v>0.536904829923318</v>
      </c>
      <c r="AZ122" s="87" t="n">
        <f aca="true">OFFSET(ENAVolCoef,0,impvol_order-2)+OFFSET(ENAVolCoef,1,impvol_order-2)*G122+OFFSET(ENAVolCoef,2,impvol_order-2)*G122^2+IF(impvol_order&gt;2,OFFSET(ENAVolCoef,3,impvol_order-2)*G122^3,0)+IF(impvol_order&gt;3,OFFSET(ENAVolCoef,4,impvol_order-2)*G122^4,0)+IF(impvol_order&gt;4,OFFSET(ENAVolCoef,5,impvol_order-2)*G122^5,0)</f>
        <v>0.5370088496703</v>
      </c>
      <c r="BB122" s="48" t="e">
        <f aca="false">EURO(UnderlyingPrice,$D122,IntRate,Yield,AX122,$D$6,1,0)</f>
        <v>#NAME?</v>
      </c>
      <c r="BC122" s="48" t="e">
        <f aca="false">EURO(UnderlyingPrice,$D122*(1+$P$8),IntRate,Yield,AY122,$D$6,1,0)</f>
        <v>#NAME?</v>
      </c>
      <c r="BD122" s="48" t="e">
        <f aca="false">EURO(UnderlyingPrice,$D122*(1-$P$8),IntRate,Yield,AZ122,$D$6,1,0)</f>
        <v>#NAME?</v>
      </c>
      <c r="BF122" s="80" t="e">
        <f aca="false">(BC122+BD122-2*BB122)/($P$8*$D122)^2</f>
        <v>#NAME?</v>
      </c>
      <c r="BG122" s="48" t="e">
        <f aca="false">+BF122/$D$9</f>
        <v>#NAME?</v>
      </c>
      <c r="BI122" s="79"/>
    </row>
    <row r="123" customFormat="false" ht="11.25" hidden="false" customHeight="false" outlineLevel="0" collapsed="false">
      <c r="C123" s="99"/>
      <c r="D123" s="78" t="n">
        <f aca="true">+D122-LTFactor*(ROUNDUP(MAX(StrikeRange),1)-ROUNDDOWN(MIN(StrikeRange),1))/100</f>
        <v>2.055</v>
      </c>
      <c r="E123" s="64" t="n">
        <f aca="false">+D123/UnderlyingPrice-1</f>
        <v>-0.575851393188855</v>
      </c>
      <c r="F123" s="64" t="n">
        <f aca="false">+D123*(1+$P$8)/UnderlyingPrice-1</f>
        <v>-0.575639318885449</v>
      </c>
      <c r="G123" s="64" t="n">
        <f aca="false">+D123*(1-$P$8)/UnderlyingPrice-1</f>
        <v>-0.57606346749226</v>
      </c>
      <c r="H123" s="64" t="n">
        <f aca="true">OFFSET(VolSkewCoef,0,impvol_order-2)+OFFSET(VolSkewCoef,1,impvol_order-2)*F123+OFFSET(VolSkewCoef,2,impvol_order-2)*F123^2+IF(impvol_order&gt;2,OFFSET(VolSkewCoef,3,impvol_order-2)*F123^3,0)+IF(impvol_order&gt;3,OFFSET(VolSkewCoef,4,impvol_order-2)*F123^4,0)+IF(impvol_order&gt;4,OFFSET(VolSkewCoef,5,impvol_order-2)*F123^5,0)</f>
        <v>0.584166700857968</v>
      </c>
      <c r="I123" s="64" t="n">
        <f aca="true">OFFSET(VolSkewCoef,0,impvol_order-2)+OFFSET(VolSkewCoef,1,impvol_order-2)*E123+OFFSET(VolSkewCoef,2,impvol_order-2)*E123^2+IF(impvol_order&gt;2,OFFSET(VolSkewCoef,3,impvol_order-2)*E123^3,0)+IF(impvol_order&gt;3,OFFSET(VolSkewCoef,4,impvol_order-2)*E123^4,0)+IF(impvol_order&gt;4,OFFSET(VolSkewCoef,5,impvol_order-2)*E123^5,0)</f>
        <v>0.584238575339735</v>
      </c>
      <c r="J123" s="64" t="n">
        <f aca="true">OFFSET(VolSkewCoef,0,impvol_order-2)+OFFSET(VolSkewCoef,1,impvol_order-2)*G123+OFFSET(VolSkewCoef,2,impvol_order-2)*G123^2+IF(impvol_order&gt;2,OFFSET(VolSkewCoef,3,impvol_order-2)*G123^3,0)+IF(impvol_order&gt;3,OFFSET(VolSkewCoef,4,impvol_order-2)*G123^4,0)+IF(impvol_order&gt;4,OFFSET(VolSkewCoef,5,impvol_order-2)*G123^5,0)</f>
        <v>0.584310493394038</v>
      </c>
      <c r="L123" s="79"/>
      <c r="M123" s="79"/>
      <c r="O123" s="79"/>
      <c r="P123" s="79"/>
      <c r="R123" s="80" t="n">
        <f aca="false">(1/($D123*SQRT(2*PI()*T/365.25*$I$114^2)))</f>
        <v>0.571667977834463</v>
      </c>
      <c r="S123" s="80" t="n">
        <f aca="false">LN($D123/UnderlyingPrice)+0.5*T/365.25*$I$114^2</f>
        <v>-0.800010851188226</v>
      </c>
      <c r="T123" s="80" t="n">
        <f aca="false">-(S123^2)</f>
        <v>-0.64001736201891</v>
      </c>
      <c r="U123" s="80" t="n">
        <f aca="false">T123/(2*T/365.25*$I$114^2)</f>
        <v>-2.77493626113501</v>
      </c>
      <c r="V123" s="80"/>
      <c r="W123" s="100" t="e">
        <f aca="false">(Alpha1*R123)*EXP(Gamma2^2*U123)</f>
        <v>#NAME?</v>
      </c>
      <c r="Z123" s="80" t="n">
        <f aca="false">(1/(D123*SQRT(2*PI()*T/365.25*ATMImpVol^2)))</f>
        <v>0.591942250811427</v>
      </c>
      <c r="AA123" s="80" t="n">
        <f aca="false">LN(D123/UnderlyingPrice)+0.5*T/365.25*ATMImpVol^2</f>
        <v>-0.803893006382094</v>
      </c>
      <c r="AB123" s="80" t="n">
        <f aca="false">-(AA123^2)</f>
        <v>-0.646243965710041</v>
      </c>
      <c r="AC123" s="80" t="n">
        <f aca="false">AB123/(2*T/365.25*ATMImpVol^2)</f>
        <v>-3.0041990544147</v>
      </c>
      <c r="AD123" s="82" t="n">
        <f aca="false">EXP(AC123)</f>
        <v>0.0495784480691657</v>
      </c>
      <c r="AE123" s="82" t="n">
        <f aca="false">AD123*Z123</f>
        <v>0.0293475781417994</v>
      </c>
      <c r="AF123" s="82"/>
      <c r="AG123" s="101" t="n">
        <f aca="false">AG122-LTFactor*(MaxStandard-MinStandard)/100</f>
        <v>-1.93414051716245</v>
      </c>
      <c r="AH123" s="83" t="n">
        <f aca="false">(LN(($D123*(1+$P$8))/UnderlyingPrice)+0.5*ATMImpVol^2*(T/365.25))/(ATMImpVol*SQRT(T/365.25))</f>
        <v>-2.4496791980426</v>
      </c>
      <c r="AI123" s="83" t="n">
        <f aca="false">(LN($D123*(1-$P$8)/UnderlyingPrice)+0.5*ATMImpVol^2*(T/365.25))/(ATMImpVol*SQRT(T/365.25))</f>
        <v>-2.45272836451742</v>
      </c>
      <c r="AJ123" s="81"/>
      <c r="AK123" s="83" t="e">
        <f aca="false">W123/(AH123-AI123)*(D123*2*$P$8)</f>
        <v>#NAME?</v>
      </c>
      <c r="AL123" s="81"/>
      <c r="AM123" s="84"/>
      <c r="AN123" s="85"/>
      <c r="AX123" s="87" t="n">
        <f aca="true">OFFSET(ENAVolCoef,0,impvol_order-2)+OFFSET(ENAVolCoef,1,impvol_order-2)*E123+OFFSET(ENAVolCoef,2,impvol_order-2)*E123^2+IF(impvol_order&gt;2,OFFSET(ENAVolCoef,3,impvol_order-2)*E123^3,0)+IF(impvol_order&gt;3,OFFSET(ENAVolCoef,4,impvol_order-2)*E123^4,0)+IF(impvol_order&gt;4,OFFSET(ENAVolCoef,5,impvol_order-2)*E123^5,0)</f>
        <v>0.542169600029105</v>
      </c>
      <c r="AY123" s="87" t="n">
        <f aca="true">OFFSET(ENAVolCoef,0,impvol_order-2)+OFFSET(ENAVolCoef,1,impvol_order-2)*F123+OFFSET(ENAVolCoef,2,impvol_order-2)*F123^2+IF(impvol_order&gt;2,OFFSET(ENAVolCoef,3,impvol_order-2)*F123^3,0)+IF(impvol_order&gt;3,OFFSET(ENAVolCoef,4,impvol_order-2)*F123^4,0)+IF(impvol_order&gt;4,OFFSET(ENAVolCoef,5,impvol_order-2)*F123^5,0)</f>
        <v>0.542117065068834</v>
      </c>
      <c r="AZ123" s="87" t="n">
        <f aca="true">OFFSET(ENAVolCoef,0,impvol_order-2)+OFFSET(ENAVolCoef,1,impvol_order-2)*G123+OFFSET(ENAVolCoef,2,impvol_order-2)*G123^2+IF(impvol_order&gt;2,OFFSET(ENAVolCoef,3,impvol_order-2)*G123^3,0)+IF(impvol_order&gt;3,OFFSET(ENAVolCoef,4,impvol_order-2)*G123^4,0)+IF(impvol_order&gt;4,OFFSET(ENAVolCoef,5,impvol_order-2)*G123^5,0)</f>
        <v>0.542222165317907</v>
      </c>
      <c r="BB123" s="48" t="e">
        <f aca="false">EURO(UnderlyingPrice,$D123,IntRate,Yield,AX123,$D$6,1,0)</f>
        <v>#NAME?</v>
      </c>
      <c r="BC123" s="48" t="e">
        <f aca="false">EURO(UnderlyingPrice,$D123*(1+$P$8),IntRate,Yield,AY123,$D$6,1,0)</f>
        <v>#NAME?</v>
      </c>
      <c r="BD123" s="48" t="e">
        <f aca="false">EURO(UnderlyingPrice,$D123*(1-$P$8),IntRate,Yield,AZ123,$D$6,1,0)</f>
        <v>#NAME?</v>
      </c>
      <c r="BF123" s="80" t="e">
        <f aca="false">(BC123+BD123-2*BB123)/($P$8*$D123)^2</f>
        <v>#NAME?</v>
      </c>
      <c r="BG123" s="48" t="e">
        <f aca="false">+BF123/$D$9</f>
        <v>#NAME?</v>
      </c>
      <c r="BI123" s="79"/>
    </row>
    <row r="124" customFormat="false" ht="11.25" hidden="false" customHeight="false" outlineLevel="0" collapsed="false">
      <c r="C124" s="99"/>
      <c r="D124" s="78" t="n">
        <f aca="true">+D123-LTFactor*(ROUNDUP(MAX(StrikeRange),1)-ROUNDDOWN(MIN(StrikeRange),1))/100</f>
        <v>1.95</v>
      </c>
      <c r="E124" s="64" t="n">
        <f aca="false">+D124/UnderlyingPrice-1</f>
        <v>-0.597523219814242</v>
      </c>
      <c r="F124" s="64" t="n">
        <f aca="false">+D124*(1+$P$8)/UnderlyingPrice-1</f>
        <v>-0.597321981424149</v>
      </c>
      <c r="G124" s="64" t="n">
        <f aca="false">+D124*(1-$P$8)/UnderlyingPrice-1</f>
        <v>-0.597724458204334</v>
      </c>
      <c r="H124" s="64" t="n">
        <f aca="true">OFFSET(VolSkewCoef,0,impvol_order-2)+OFFSET(VolSkewCoef,1,impvol_order-2)*F124+OFFSET(VolSkewCoef,2,impvol_order-2)*F124^2+IF(impvol_order&gt;2,OFFSET(VolSkewCoef,3,impvol_order-2)*F124^3,0)+IF(impvol_order&gt;3,OFFSET(VolSkewCoef,4,impvol_order-2)*F124^4,0)+IF(impvol_order&gt;4,OFFSET(VolSkewCoef,5,impvol_order-2)*F124^5,0)</f>
        <v>0.591742388206472</v>
      </c>
      <c r="I124" s="64" t="n">
        <f aca="true">OFFSET(VolSkewCoef,0,impvol_order-2)+OFFSET(VolSkewCoef,1,impvol_order-2)*E124+OFFSET(VolSkewCoef,2,impvol_order-2)*E124^2+IF(impvol_order&gt;2,OFFSET(VolSkewCoef,3,impvol_order-2)*E124^3,0)+IF(impvol_order&gt;3,OFFSET(VolSkewCoef,4,impvol_order-2)*E124^4,0)+IF(impvol_order&gt;4,OFFSET(VolSkewCoef,5,impvol_order-2)*E124^5,0)</f>
        <v>0.591814863849645</v>
      </c>
      <c r="J124" s="64" t="n">
        <f aca="true">OFFSET(VolSkewCoef,0,impvol_order-2)+OFFSET(VolSkewCoef,1,impvol_order-2)*G124+OFFSET(VolSkewCoef,2,impvol_order-2)*G124^2+IF(impvol_order&gt;2,OFFSET(VolSkewCoef,3,impvol_order-2)*G124^3,0)+IF(impvol_order&gt;3,OFFSET(VolSkewCoef,4,impvol_order-2)*G124^4,0)+IF(impvol_order&gt;4,OFFSET(VolSkewCoef,5,impvol_order-2)*G124^5,0)</f>
        <v>0.591887379614316</v>
      </c>
      <c r="L124" s="79"/>
      <c r="M124" s="79"/>
      <c r="O124" s="79"/>
      <c r="P124" s="79"/>
      <c r="R124" s="80" t="n">
        <f aca="false">(1/($D124*SQRT(2*PI()*T/365.25*$I$114^2)))</f>
        <v>0.602450099717857</v>
      </c>
      <c r="S124" s="80" t="n">
        <f aca="false">LN($D124/UnderlyingPrice)+0.5*T/365.25*$I$114^2</f>
        <v>-0.852457326560769</v>
      </c>
      <c r="T124" s="80" t="n">
        <f aca="false">-(S124^2)</f>
        <v>-0.726683493607133</v>
      </c>
      <c r="U124" s="80" t="n">
        <f aca="false">T124/(2*T/365.25*$I$114^2)</f>
        <v>-3.15069636613878</v>
      </c>
      <c r="V124" s="80"/>
      <c r="W124" s="100" t="e">
        <f aca="false">(Alpha1*R124)*EXP(Gamma2^2*U124)</f>
        <v>#NAME?</v>
      </c>
      <c r="Z124" s="80" t="n">
        <f aca="false">(1/(D124*SQRT(2*PI()*T/365.25*ATMImpVol^2)))</f>
        <v>0.623816064316657</v>
      </c>
      <c r="AA124" s="80" t="n">
        <f aca="false">LN(D124/UnderlyingPrice)+0.5*T/365.25*ATMImpVol^2</f>
        <v>-0.856339481754636</v>
      </c>
      <c r="AB124" s="80" t="n">
        <f aca="false">-(AA124^2)</f>
        <v>-0.733317308011799</v>
      </c>
      <c r="AC124" s="80" t="n">
        <f aca="false">AB124/(2*T/365.25*ATMImpVol^2)</f>
        <v>-3.40897753821881</v>
      </c>
      <c r="AD124" s="82" t="n">
        <f aca="false">EXP(AC124)</f>
        <v>0.0330750010174632</v>
      </c>
      <c r="AE124" s="82" t="n">
        <f aca="false">AD124*Z124</f>
        <v>0.0206327169619833</v>
      </c>
      <c r="AF124" s="82"/>
      <c r="AG124" s="101" t="n">
        <f aca="false">AG123-LTFactor*(MaxStandard-MinStandard)/100</f>
        <v>-2.00486805184458</v>
      </c>
      <c r="AH124" s="83" t="n">
        <f aca="false">(LN(($D124*(1+$P$8))/UnderlyingPrice)+0.5*ATMImpVol^2*(T/365.25))/(ATMImpVol*SQRT(T/365.25))</f>
        <v>-2.60959721914444</v>
      </c>
      <c r="AI124" s="83" t="n">
        <f aca="false">(LN($D124*(1-$P$8)/UnderlyingPrice)+0.5*ATMImpVol^2*(T/365.25))/(ATMImpVol*SQRT(T/365.25))</f>
        <v>-2.61264638561926</v>
      </c>
      <c r="AJ124" s="81"/>
      <c r="AK124" s="83" t="e">
        <f aca="false">W124/(AH124-AI124)*(D124*2*$P$8)</f>
        <v>#NAME?</v>
      </c>
      <c r="AL124" s="81"/>
      <c r="AM124" s="84"/>
      <c r="AN124" s="85"/>
      <c r="AX124" s="87" t="n">
        <f aca="true">OFFSET(ENAVolCoef,0,impvol_order-2)+OFFSET(ENAVolCoef,1,impvol_order-2)*E124+OFFSET(ENAVolCoef,2,impvol_order-2)*E124^2+IF(impvol_order&gt;2,OFFSET(ENAVolCoef,3,impvol_order-2)*E124^3,0)+IF(impvol_order&gt;3,OFFSET(ENAVolCoef,4,impvol_order-2)*E124^4,0)+IF(impvol_order&gt;4,OFFSET(ENAVolCoef,5,impvol_order-2)*E124^5,0)</f>
        <v>0.547699089972698</v>
      </c>
      <c r="AY124" s="87" t="n">
        <f aca="true">OFFSET(ENAVolCoef,0,impvol_order-2)+OFFSET(ENAVolCoef,1,impvol_order-2)*F124+OFFSET(ENAVolCoef,2,impvol_order-2)*F124^2+IF(impvol_order&gt;2,OFFSET(ENAVolCoef,3,impvol_order-2)*F124^3,0)+IF(impvol_order&gt;3,OFFSET(ENAVolCoef,4,impvol_order-2)*F124^4,0)+IF(impvol_order&gt;4,OFFSET(ENAVolCoef,5,impvol_order-2)*F124^5,0)</f>
        <v>0.547646268721854</v>
      </c>
      <c r="AZ124" s="87" t="n">
        <f aca="true">OFFSET(ENAVolCoef,0,impvol_order-2)+OFFSET(ENAVolCoef,1,impvol_order-2)*G124+OFFSET(ENAVolCoef,2,impvol_order-2)*G124^2+IF(impvol_order&gt;2,OFFSET(ENAVolCoef,3,impvol_order-2)*G124^3,0)+IF(impvol_order&gt;3,OFFSET(ENAVolCoef,4,impvol_order-2)*G124^4,0)+IF(impvol_order&gt;4,OFFSET(ENAVolCoef,5,impvol_order-2)*G124^5,0)</f>
        <v>0.547751939073997</v>
      </c>
      <c r="BB124" s="48" t="e">
        <f aca="false">EURO(UnderlyingPrice,$D124,IntRate,Yield,AX124,$D$6,1,0)</f>
        <v>#NAME?</v>
      </c>
      <c r="BC124" s="48" t="e">
        <f aca="false">EURO(UnderlyingPrice,$D124*(1+$P$8),IntRate,Yield,AY124,$D$6,1,0)</f>
        <v>#NAME?</v>
      </c>
      <c r="BD124" s="48" t="e">
        <f aca="false">EURO(UnderlyingPrice,$D124*(1-$P$8),IntRate,Yield,AZ124,$D$6,1,0)</f>
        <v>#NAME?</v>
      </c>
      <c r="BF124" s="80" t="e">
        <f aca="false">(BC124+BD124-2*BB124)/($P$8*$D124)^2</f>
        <v>#NAME?</v>
      </c>
      <c r="BG124" s="48" t="e">
        <f aca="false">+BF124/$D$9</f>
        <v>#NAME?</v>
      </c>
      <c r="BI124" s="79"/>
    </row>
    <row r="125" customFormat="false" ht="11.25" hidden="false" customHeight="false" outlineLevel="0" collapsed="false">
      <c r="C125" s="99"/>
      <c r="D125" s="78" t="n">
        <f aca="true">+D124-LTFactor*(ROUNDUP(MAX(StrikeRange),1)-ROUNDDOWN(MIN(StrikeRange),1))/100</f>
        <v>1.845</v>
      </c>
      <c r="E125" s="64" t="n">
        <f aca="false">+D125/UnderlyingPrice-1</f>
        <v>-0.619195046439628</v>
      </c>
      <c r="F125" s="64" t="n">
        <f aca="false">+D125*(1+$P$8)/UnderlyingPrice-1</f>
        <v>-0.619004643962848</v>
      </c>
      <c r="G125" s="64" t="n">
        <f aca="false">+D125*(1-$P$8)/UnderlyingPrice-1</f>
        <v>-0.619385448916409</v>
      </c>
      <c r="H125" s="64" t="n">
        <f aca="true">OFFSET(VolSkewCoef,0,impvol_order-2)+OFFSET(VolSkewCoef,1,impvol_order-2)*F125+OFFSET(VolSkewCoef,2,impvol_order-2)*F125^2+IF(impvol_order&gt;2,OFFSET(VolSkewCoef,3,impvol_order-2)*F125^3,0)+IF(impvol_order&gt;3,OFFSET(VolSkewCoef,4,impvol_order-2)*F125^4,0)+IF(impvol_order&gt;4,OFFSET(VolSkewCoef,5,impvol_order-2)*F125^5,0)</f>
        <v>0.599783759679003</v>
      </c>
      <c r="I125" s="64" t="n">
        <f aca="true">OFFSET(VolSkewCoef,0,impvol_order-2)+OFFSET(VolSkewCoef,1,impvol_order-2)*E125+OFFSET(VolSkewCoef,2,impvol_order-2)*E125^2+IF(impvol_order&gt;2,OFFSET(VolSkewCoef,3,impvol_order-2)*E125^3,0)+IF(impvol_order&gt;3,OFFSET(VolSkewCoef,4,impvol_order-2)*E125^4,0)+IF(impvol_order&gt;4,OFFSET(VolSkewCoef,5,impvol_order-2)*E125^5,0)</f>
        <v>0.599856466765783</v>
      </c>
      <c r="J125" s="64" t="n">
        <f aca="true">OFFSET(VolSkewCoef,0,impvol_order-2)+OFFSET(VolSkewCoef,1,impvol_order-2)*G125+OFFSET(VolSkewCoef,2,impvol_order-2)*G125^2+IF(impvol_order&gt;2,OFFSET(VolSkewCoef,3,impvol_order-2)*G125^3,0)+IF(impvol_order&gt;3,OFFSET(VolSkewCoef,4,impvol_order-2)*G125^4,0)+IF(impvol_order&gt;4,OFFSET(VolSkewCoef,5,impvol_order-2)*G125^5,0)</f>
        <v>0.599929210564445</v>
      </c>
      <c r="L125" s="79"/>
      <c r="M125" s="79"/>
      <c r="O125" s="79"/>
      <c r="P125" s="79"/>
      <c r="R125" s="80" t="n">
        <f aca="false">(1/($D125*SQRT(2*PI()*T/365.25*$I$114^2)))</f>
        <v>0.636735877750581</v>
      </c>
      <c r="S125" s="80" t="n">
        <f aca="false">LN($D125/UnderlyingPrice)+0.5*T/365.25*$I$114^2</f>
        <v>-0.907807421643934</v>
      </c>
      <c r="T125" s="80" t="n">
        <f aca="false">-(S125^2)</f>
        <v>-0.824114314791807</v>
      </c>
      <c r="U125" s="80" t="n">
        <f aca="false">T125/(2*T/365.25*$I$114^2)</f>
        <v>-3.57312915421918</v>
      </c>
      <c r="V125" s="80"/>
      <c r="W125" s="100" t="e">
        <f aca="false">(Alpha1*R125)*EXP(Gamma2^2*U125)</f>
        <v>#NAME?</v>
      </c>
      <c r="Z125" s="80" t="n">
        <f aca="false">(1/(D125*SQRT(2*PI()*T/365.25*ATMImpVol^2)))</f>
        <v>0.659317791554191</v>
      </c>
      <c r="AA125" s="80" t="n">
        <f aca="false">LN(D125/UnderlyingPrice)+0.5*T/365.25*ATMImpVol^2</f>
        <v>-0.911689576837801</v>
      </c>
      <c r="AB125" s="80" t="n">
        <f aca="false">-(AA125^2)</f>
        <v>-0.831177884514689</v>
      </c>
      <c r="AC125" s="80" t="n">
        <f aca="false">AB125/(2*T/365.25*ATMImpVol^2)</f>
        <v>-3.86390271662484</v>
      </c>
      <c r="AD125" s="82" t="n">
        <f aca="false">EXP(AC125)</f>
        <v>0.020985937327956</v>
      </c>
      <c r="AE125" s="82" t="n">
        <f aca="false">AD125*Z125</f>
        <v>0.0138364018527626</v>
      </c>
      <c r="AF125" s="82"/>
      <c r="AG125" s="101" t="n">
        <f aca="false">AG124-LTFactor*(MaxStandard-MinStandard)/100</f>
        <v>-2.07559558652672</v>
      </c>
      <c r="AH125" s="83" t="n">
        <f aca="false">(LN(($D125*(1+$P$8))/UnderlyingPrice)+0.5*ATMImpVol^2*(T/365.25))/(ATMImpVol*SQRT(T/365.25))</f>
        <v>-2.77836885938573</v>
      </c>
      <c r="AI125" s="83" t="n">
        <f aca="false">(LN($D125*(1-$P$8)/UnderlyingPrice)+0.5*ATMImpVol^2*(T/365.25))/(ATMImpVol*SQRT(T/365.25))</f>
        <v>-2.78141802586054</v>
      </c>
      <c r="AJ125" s="81"/>
      <c r="AK125" s="83" t="e">
        <f aca="false">W125/(AH125-AI125)*(D125*2*$P$8)</f>
        <v>#NAME?</v>
      </c>
      <c r="AL125" s="81"/>
      <c r="AM125" s="84"/>
      <c r="AN125" s="85"/>
      <c r="AX125" s="87" t="n">
        <f aca="true">OFFSET(ENAVolCoef,0,impvol_order-2)+OFFSET(ENAVolCoef,1,impvol_order-2)*E125+OFFSET(ENAVolCoef,2,impvol_order-2)*E125^2+IF(impvol_order&gt;2,OFFSET(ENAVolCoef,3,impvol_order-2)*E125^3,0)+IF(impvol_order&gt;3,OFFSET(ENAVolCoef,4,impvol_order-2)*E125^4,0)+IF(impvol_order&gt;4,OFFSET(ENAVolCoef,5,impvol_order-2)*E125^5,0)</f>
        <v>0.553551579284775</v>
      </c>
      <c r="AY125" s="87" t="n">
        <f aca="true">OFFSET(ENAVolCoef,0,impvol_order-2)+OFFSET(ENAVolCoef,1,impvol_order-2)*F125+OFFSET(ENAVolCoef,2,impvol_order-2)*F125^2+IF(impvol_order&gt;2,OFFSET(ENAVolCoef,3,impvol_order-2)*F125^3,0)+IF(impvol_order&gt;3,OFFSET(ENAVolCoef,4,impvol_order-2)*F125^4,0)+IF(impvol_order&gt;4,OFFSET(ENAVolCoef,5,impvol_order-2)*F125^5,0)</f>
        <v>0.553498736394366</v>
      </c>
      <c r="AZ125" s="87" t="n">
        <f aca="true">OFFSET(ENAVolCoef,0,impvol_order-2)+OFFSET(ENAVolCoef,1,impvol_order-2)*G125+OFFSET(ENAVolCoef,2,impvol_order-2)*G125^2+IF(impvol_order&gt;2,OFFSET(ENAVolCoef,3,impvol_order-2)*G125^3,0)+IF(impvol_order&gt;3,OFFSET(ENAVolCoef,4,impvol_order-2)*G125^4,0)+IF(impvol_order&gt;4,OFFSET(ENAVolCoef,5,impvol_order-2)*G125^5,0)</f>
        <v>0.553604447592323</v>
      </c>
      <c r="BB125" s="48" t="e">
        <f aca="false">EURO(UnderlyingPrice,$D125,IntRate,Yield,AX125,$D$6,1,0)</f>
        <v>#NAME?</v>
      </c>
      <c r="BC125" s="48" t="e">
        <f aca="false">EURO(UnderlyingPrice,$D125*(1+$P$8),IntRate,Yield,AY125,$D$6,1,0)</f>
        <v>#NAME?</v>
      </c>
      <c r="BD125" s="48" t="e">
        <f aca="false">EURO(UnderlyingPrice,$D125*(1-$P$8),IntRate,Yield,AZ125,$D$6,1,0)</f>
        <v>#NAME?</v>
      </c>
      <c r="BF125" s="80" t="e">
        <f aca="false">(BC125+BD125-2*BB125)/($P$8*$D125)^2</f>
        <v>#NAME?</v>
      </c>
      <c r="BG125" s="48" t="e">
        <f aca="false">+BF125/$D$9</f>
        <v>#NAME?</v>
      </c>
      <c r="BI125" s="79"/>
    </row>
    <row r="126" customFormat="false" ht="11.25" hidden="false" customHeight="false" outlineLevel="0" collapsed="false">
      <c r="C126" s="99"/>
      <c r="D126" s="78" t="n">
        <f aca="true">+D125-LTFactor*(ROUNDUP(MAX(StrikeRange),1)-ROUNDDOWN(MIN(StrikeRange),1))/100</f>
        <v>1.74</v>
      </c>
      <c r="E126" s="64" t="n">
        <f aca="false">+D126/UnderlyingPrice-1</f>
        <v>-0.640866873065015</v>
      </c>
      <c r="F126" s="64" t="n">
        <f aca="false">+D126*(1+$P$8)/UnderlyingPrice-1</f>
        <v>-0.640687306501548</v>
      </c>
      <c r="G126" s="64" t="n">
        <f aca="false">+D126*(1-$P$8)/UnderlyingPrice-1</f>
        <v>-0.641046439628483</v>
      </c>
      <c r="H126" s="64" t="n">
        <f aca="true">OFFSET(VolSkewCoef,0,impvol_order-2)+OFFSET(VolSkewCoef,1,impvol_order-2)*F126+OFFSET(VolSkewCoef,2,impvol_order-2)*F126^2+IF(impvol_order&gt;2,OFFSET(VolSkewCoef,3,impvol_order-2)*F126^3,0)+IF(impvol_order&gt;3,OFFSET(VolSkewCoef,4,impvol_order-2)*F126^4,0)+IF(impvol_order&gt;4,OFFSET(VolSkewCoef,5,impvol_order-2)*F126^5,0)</f>
        <v>0.608301127976193</v>
      </c>
      <c r="I126" s="64" t="n">
        <f aca="true">OFFSET(VolSkewCoef,0,impvol_order-2)+OFFSET(VolSkewCoef,1,impvol_order-2)*E126+OFFSET(VolSkewCoef,2,impvol_order-2)*E126^2+IF(impvol_order&gt;2,OFFSET(VolSkewCoef,3,impvol_order-2)*E126^3,0)+IF(impvol_order&gt;3,OFFSET(VolSkewCoef,4,impvol_order-2)*E126^4,0)+IF(impvol_order&gt;4,OFFSET(VolSkewCoef,5,impvol_order-2)*E126^5,0)</f>
        <v>0.608373681335186</v>
      </c>
      <c r="J126" s="64" t="n">
        <f aca="true">OFFSET(VolSkewCoef,0,impvol_order-2)+OFFSET(VolSkewCoef,1,impvol_order-2)*G126+OFFSET(VolSkewCoef,2,impvol_order-2)*G126^2+IF(impvol_order&gt;2,OFFSET(VolSkewCoef,3,impvol_order-2)*G126^3,0)+IF(impvol_order&gt;3,OFFSET(VolSkewCoef,4,impvol_order-2)*G126^4,0)+IF(impvol_order&gt;4,OFFSET(VolSkewCoef,5,impvol_order-2)*G126^5,0)</f>
        <v>0.608446268053311</v>
      </c>
      <c r="L126" s="79"/>
      <c r="M126" s="79"/>
      <c r="O126" s="79"/>
      <c r="P126" s="79"/>
      <c r="R126" s="80" t="n">
        <f aca="false">(1/($D126*SQRT(2*PI()*T/365.25*$I$114^2)))</f>
        <v>0.675159594511391</v>
      </c>
      <c r="S126" s="80" t="n">
        <f aca="false">LN($D126/UnderlyingPrice)+0.5*T/365.25*$I$114^2</f>
        <v>-0.966401585909986</v>
      </c>
      <c r="T126" s="80" t="n">
        <f aca="false">-(S126^2)</f>
        <v>-0.933932025249337</v>
      </c>
      <c r="U126" s="80" t="n">
        <f aca="false">T126/(2*T/365.25*$I$114^2)</f>
        <v>-4.04926802942429</v>
      </c>
      <c r="V126" s="80"/>
      <c r="W126" s="100" t="e">
        <f aca="false">(Alpha1*R126)*EXP(Gamma2^2*U126)</f>
        <v>#NAME?</v>
      </c>
      <c r="Z126" s="80" t="n">
        <f aca="false">(1/(D126*SQRT(2*PI()*T/365.25*ATMImpVol^2)))</f>
        <v>0.699104210010047</v>
      </c>
      <c r="AA126" s="80" t="n">
        <f aca="false">LN(D126/UnderlyingPrice)+0.5*T/365.25*ATMImpVol^2</f>
        <v>-0.970283741103854</v>
      </c>
      <c r="AB126" s="80" t="n">
        <f aca="false">-(AA126^2)</f>
        <v>-0.94145053825049</v>
      </c>
      <c r="AC126" s="80" t="n">
        <f aca="false">AB126/(2*T/365.25*ATMImpVol^2)</f>
        <v>-4.37652800932976</v>
      </c>
      <c r="AD126" s="82" t="n">
        <f aca="false">EXP(AC126)</f>
        <v>0.0125689221316372</v>
      </c>
      <c r="AE126" s="82" t="n">
        <f aca="false">AD126*Z126</f>
        <v>0.00878698637751599</v>
      </c>
      <c r="AF126" s="82"/>
      <c r="AG126" s="101" t="n">
        <f aca="false">AG125-LTFactor*(MaxStandard-MinStandard)/100</f>
        <v>-2.14632312120886</v>
      </c>
      <c r="AH126" s="83" t="n">
        <f aca="false">(LN(($D126*(1+$P$8))/UnderlyingPrice)+0.5*ATMImpVol^2*(T/365.25))/(ATMImpVol*SQRT(T/365.25))</f>
        <v>-2.95703220579716</v>
      </c>
      <c r="AI126" s="83" t="n">
        <f aca="false">(LN($D126*(1-$P$8)/UnderlyingPrice)+0.5*ATMImpVol^2*(T/365.25))/(ATMImpVol*SQRT(T/365.25))</f>
        <v>-2.96008137227197</v>
      </c>
      <c r="AJ126" s="81"/>
      <c r="AK126" s="83" t="e">
        <f aca="false">W126/(AH126-AI126)*(D126*2*$P$8)</f>
        <v>#NAME?</v>
      </c>
      <c r="AL126" s="81"/>
      <c r="AM126" s="84"/>
      <c r="AN126" s="85"/>
      <c r="AX126" s="87" t="n">
        <f aca="true">OFFSET(ENAVolCoef,0,impvol_order-2)+OFFSET(ENAVolCoef,1,impvol_order-2)*E126+OFFSET(ENAVolCoef,2,impvol_order-2)*E126^2+IF(impvol_order&gt;2,OFFSET(ENAVolCoef,3,impvol_order-2)*E126^3,0)+IF(impvol_order&gt;3,OFFSET(ENAVolCoef,4,impvol_order-2)*E126^4,0)+IF(impvol_order&gt;4,OFFSET(ENAVolCoef,5,impvol_order-2)*E126^5,0)</f>
        <v>0.559733354043488</v>
      </c>
      <c r="AY126" s="87" t="n">
        <f aca="true">OFFSET(ENAVolCoef,0,impvol_order-2)+OFFSET(ENAVolCoef,1,impvol_order-2)*F126+OFFSET(ENAVolCoef,2,impvol_order-2)*F126^2+IF(impvol_order&gt;2,OFFSET(ENAVolCoef,3,impvol_order-2)*F126^3,0)+IF(impvol_order&gt;3,OFFSET(ENAVolCoef,4,impvol_order-2)*F126^4,0)+IF(impvol_order&gt;4,OFFSET(ENAVolCoef,5,impvol_order-2)*F126^5,0)</f>
        <v>0.559680763598355</v>
      </c>
      <c r="AZ126" s="87" t="n">
        <f aca="true">OFFSET(ENAVolCoef,0,impvol_order-2)+OFFSET(ENAVolCoef,1,impvol_order-2)*G126+OFFSET(ENAVolCoef,2,impvol_order-2)*G126^2+IF(impvol_order&gt;2,OFFSET(ENAVolCoef,3,impvol_order-2)*G126^3,0)+IF(impvol_order&gt;3,OFFSET(ENAVolCoef,4,impvol_order-2)*G126^4,0)+IF(impvol_order&gt;4,OFFSET(ENAVolCoef,5,impvol_order-2)*G126^5,0)</f>
        <v>0.559785967526634</v>
      </c>
      <c r="BB126" s="48" t="e">
        <f aca="false">EURO(UnderlyingPrice,$D126,IntRate,Yield,AX126,$D$6,1,0)</f>
        <v>#NAME?</v>
      </c>
      <c r="BC126" s="48" t="e">
        <f aca="false">EURO(UnderlyingPrice,$D126*(1+$P$8),IntRate,Yield,AY126,$D$6,1,0)</f>
        <v>#NAME?</v>
      </c>
      <c r="BD126" s="48" t="e">
        <f aca="false">EURO(UnderlyingPrice,$D126*(1-$P$8),IntRate,Yield,AZ126,$D$6,1,0)</f>
        <v>#NAME?</v>
      </c>
      <c r="BF126" s="80" t="e">
        <f aca="false">(BC126+BD126-2*BB126)/($P$8*$D126)^2</f>
        <v>#NAME?</v>
      </c>
      <c r="BG126" s="48" t="e">
        <f aca="false">+BF126/$D$9</f>
        <v>#NAME?</v>
      </c>
      <c r="BI126" s="79"/>
    </row>
    <row r="127" customFormat="false" ht="11.25" hidden="false" customHeight="false" outlineLevel="0" collapsed="false">
      <c r="C127" s="99"/>
      <c r="D127" s="78" t="n">
        <f aca="true">+D126-LTFactor*(ROUNDUP(MAX(StrikeRange),1)-ROUNDDOWN(MIN(StrikeRange),1))/100</f>
        <v>1.635</v>
      </c>
      <c r="E127" s="64" t="n">
        <f aca="false">+D127/UnderlyingPrice-1</f>
        <v>-0.662538699690402</v>
      </c>
      <c r="F127" s="64" t="n">
        <f aca="false">+D127*(1+$P$8)/UnderlyingPrice-1</f>
        <v>-0.662369969040248</v>
      </c>
      <c r="G127" s="64" t="n">
        <f aca="false">+D127*(1-$P$8)/UnderlyingPrice-1</f>
        <v>-0.662707430340557</v>
      </c>
      <c r="H127" s="64" t="n">
        <f aca="true">OFFSET(VolSkewCoef,0,impvol_order-2)+OFFSET(VolSkewCoef,1,impvol_order-2)*F127+OFFSET(VolSkewCoef,2,impvol_order-2)*F127^2+IF(impvol_order&gt;2,OFFSET(VolSkewCoef,3,impvol_order-2)*F127^3,0)+IF(impvol_order&gt;3,OFFSET(VolSkewCoef,4,impvol_order-2)*F127^4,0)+IF(impvol_order&gt;4,OFFSET(VolSkewCoef,5,impvol_order-2)*F127^5,0)</f>
        <v>0.617304805798673</v>
      </c>
      <c r="I127" s="64" t="n">
        <f aca="true">OFFSET(VolSkewCoef,0,impvol_order-2)+OFFSET(VolSkewCoef,1,impvol_order-2)*E127+OFFSET(VolSkewCoef,2,impvol_order-2)*E127^2+IF(impvol_order&gt;2,OFFSET(VolSkewCoef,3,impvol_order-2)*E127^3,0)+IF(impvol_order&gt;3,OFFSET(VolSkewCoef,4,impvol_order-2)*E127^4,0)+IF(impvol_order&gt;4,OFFSET(VolSkewCoef,5,impvol_order-2)*E127^5,0)</f>
        <v>0.617376804804888</v>
      </c>
      <c r="J127" s="64" t="n">
        <f aca="true">OFFSET(VolSkewCoef,0,impvol_order-2)+OFFSET(VolSkewCoef,1,impvol_order-2)*G127+OFFSET(VolSkewCoef,2,impvol_order-2)*G127^2+IF(impvol_order&gt;2,OFFSET(VolSkewCoef,3,impvol_order-2)*G127^3,0)+IF(impvol_order&gt;3,OFFSET(VolSkewCoef,4,impvol_order-2)*G127^4,0)+IF(impvol_order&gt;4,OFFSET(VolSkewCoef,5,impvol_order-2)*G127^5,0)</f>
        <v>0.617448833889803</v>
      </c>
      <c r="L127" s="79"/>
      <c r="M127" s="79"/>
      <c r="O127" s="79"/>
      <c r="P127" s="79"/>
      <c r="R127" s="80" t="n">
        <f aca="false">(1/($D127*SQRT(2*PI()*T/365.25*$I$114^2)))</f>
        <v>0.718518467553407</v>
      </c>
      <c r="S127" s="80" t="n">
        <f aca="false">LN($D127/UnderlyingPrice)+0.5*T/365.25*$I$114^2</f>
        <v>-1.02864389478721</v>
      </c>
      <c r="T127" s="80" t="n">
        <f aca="false">-(S127^2)</f>
        <v>-1.058108262283</v>
      </c>
      <c r="U127" s="80" t="n">
        <f aca="false">T127/(2*T/365.25*$I$114^2)</f>
        <v>-4.58766145961035</v>
      </c>
      <c r="V127" s="80"/>
      <c r="W127" s="100" t="e">
        <f aca="false">(Alpha1*R127)*EXP(Gamma2^2*U127)</f>
        <v>#NAME?</v>
      </c>
      <c r="Z127" s="80" t="n">
        <f aca="false">(1/(D127*SQRT(2*PI()*T/365.25*ATMImpVol^2)))</f>
        <v>0.744000810652894</v>
      </c>
      <c r="AA127" s="80" t="n">
        <f aca="false">LN(D127/UnderlyingPrice)+0.5*T/365.25*ATMImpVol^2</f>
        <v>-1.03252604998107</v>
      </c>
      <c r="AB127" s="80" t="n">
        <f aca="false">-(AA127^2)</f>
        <v>-1.06611004388952</v>
      </c>
      <c r="AC127" s="80" t="n">
        <f aca="false">AB127/(2*T/365.25*ATMImpVol^2)</f>
        <v>-4.95603356580038</v>
      </c>
      <c r="AD127" s="82" t="n">
        <f aca="false">EXP(AC127)</f>
        <v>0.00704079938818472</v>
      </c>
      <c r="AE127" s="82" t="n">
        <f aca="false">AD127*Z127</f>
        <v>0.00523836045245383</v>
      </c>
      <c r="AF127" s="82"/>
      <c r="AG127" s="101" t="n">
        <f aca="false">AG126-LTFactor*(MaxStandard-MinStandard)/100</f>
        <v>-2.217050655891</v>
      </c>
      <c r="AH127" s="83" t="n">
        <f aca="false">(LN(($D127*(1+$P$8))/UnderlyingPrice)+0.5*ATMImpVol^2*(T/365.25))/(ATMImpVol*SQRT(T/365.25))</f>
        <v>-3.14681935152526</v>
      </c>
      <c r="AI127" s="83" t="n">
        <f aca="false">(LN($D127*(1-$P$8)/UnderlyingPrice)+0.5*ATMImpVol^2*(T/365.25))/(ATMImpVol*SQRT(T/365.25))</f>
        <v>-3.14986851800008</v>
      </c>
      <c r="AJ127" s="81"/>
      <c r="AK127" s="83" t="e">
        <f aca="false">W127/(AH127-AI127)*(D127*2*$P$8)</f>
        <v>#NAME?</v>
      </c>
      <c r="AL127" s="81"/>
      <c r="AM127" s="84"/>
      <c r="AN127" s="85"/>
      <c r="AX127" s="87" t="n">
        <f aca="true">OFFSET(ENAVolCoef,0,impvol_order-2)+OFFSET(ENAVolCoef,1,impvol_order-2)*E127+OFFSET(ENAVolCoef,2,impvol_order-2)*E127^2+IF(impvol_order&gt;2,OFFSET(ENAVolCoef,3,impvol_order-2)*E127^3,0)+IF(impvol_order&gt;3,OFFSET(ENAVolCoef,4,impvol_order-2)*E127^4,0)+IF(impvol_order&gt;4,OFFSET(ENAVolCoef,5,impvol_order-2)*E127^5,0)</f>
        <v>0.566250700326993</v>
      </c>
      <c r="AY127" s="87" t="n">
        <f aca="true">OFFSET(ENAVolCoef,0,impvol_order-2)+OFFSET(ENAVolCoef,1,impvol_order-2)*F127+OFFSET(ENAVolCoef,2,impvol_order-2)*F127^2+IF(impvol_order&gt;2,OFFSET(ENAVolCoef,3,impvol_order-2)*F127^3,0)+IF(impvol_order&gt;3,OFFSET(ENAVolCoef,4,impvol_order-2)*F127^4,0)+IF(impvol_order&gt;4,OFFSET(ENAVolCoef,5,impvol_order-2)*F127^5,0)</f>
        <v>0.566198645845808</v>
      </c>
      <c r="AZ127" s="87" t="n">
        <f aca="true">OFFSET(ENAVolCoef,0,impvol_order-2)+OFFSET(ENAVolCoef,1,impvol_order-2)*G127+OFFSET(ENAVolCoef,2,impvol_order-2)*G127^2+IF(impvol_order&gt;2,OFFSET(ENAVolCoef,3,impvol_order-2)*G127^3,0)+IF(impvol_order&gt;3,OFFSET(ENAVolCoef,4,impvol_order-2)*G127^4,0)+IF(impvol_order&gt;4,OFFSET(ENAVolCoef,5,impvol_order-2)*G127^5,0)</f>
        <v>0.566302775530679</v>
      </c>
      <c r="BB127" s="48" t="e">
        <f aca="false">EURO(UnderlyingPrice,$D127,IntRate,Yield,AX127,$D$6,1,0)</f>
        <v>#NAME?</v>
      </c>
      <c r="BC127" s="48" t="e">
        <f aca="false">EURO(UnderlyingPrice,$D127*(1+$P$8),IntRate,Yield,AY127,$D$6,1,0)</f>
        <v>#NAME?</v>
      </c>
      <c r="BD127" s="48" t="e">
        <f aca="false">EURO(UnderlyingPrice,$D127*(1-$P$8),IntRate,Yield,AZ127,$D$6,1,0)</f>
        <v>#NAME?</v>
      </c>
      <c r="BF127" s="80" t="e">
        <f aca="false">(BC127+BD127-2*BB127)/($P$8*$D127)^2</f>
        <v>#NAME?</v>
      </c>
      <c r="BG127" s="48" t="e">
        <f aca="false">+BF127/$D$9</f>
        <v>#NAME?</v>
      </c>
      <c r="BI127" s="79"/>
    </row>
    <row r="128" customFormat="false" ht="11.25" hidden="false" customHeight="false" outlineLevel="0" collapsed="false">
      <c r="C128" s="99"/>
      <c r="D128" s="78" t="n">
        <f aca="true">+D127-LTFactor*(ROUNDUP(MAX(StrikeRange),1)-ROUNDDOWN(MIN(StrikeRange),1))/100</f>
        <v>1.53</v>
      </c>
      <c r="E128" s="64" t="n">
        <f aca="false">+D128/UnderlyingPrice-1</f>
        <v>-0.684210526315789</v>
      </c>
      <c r="F128" s="64" t="n">
        <f aca="false">+D128*(1+$P$8)/UnderlyingPrice-1</f>
        <v>-0.684052631578947</v>
      </c>
      <c r="G128" s="64" t="n">
        <f aca="false">+D128*(1-$P$8)/UnderlyingPrice-1</f>
        <v>-0.684368421052632</v>
      </c>
      <c r="H128" s="64" t="n">
        <f aca="true">OFFSET(VolSkewCoef,0,impvol_order-2)+OFFSET(VolSkewCoef,1,impvol_order-2)*F128+OFFSET(VolSkewCoef,2,impvol_order-2)*F128^2+IF(impvol_order&gt;2,OFFSET(VolSkewCoef,3,impvol_order-2)*F128^3,0)+IF(impvol_order&gt;3,OFFSET(VolSkewCoef,4,impvol_order-2)*F128^4,0)+IF(impvol_order&gt;4,OFFSET(VolSkewCoef,5,impvol_order-2)*F128^5,0)</f>
        <v>0.626805105847073</v>
      </c>
      <c r="I128" s="64" t="n">
        <f aca="true">OFFSET(VolSkewCoef,0,impvol_order-2)+OFFSET(VolSkewCoef,1,impvol_order-2)*E128+OFFSET(VolSkewCoef,2,impvol_order-2)*E128^2+IF(impvol_order&gt;2,OFFSET(VolSkewCoef,3,impvol_order-2)*E128^3,0)+IF(impvol_order&gt;3,OFFSET(VolSkewCoef,4,impvol_order-2)*E128^4,0)+IF(impvol_order&gt;4,OFFSET(VolSkewCoef,5,impvol_order-2)*E128^5,0)</f>
        <v>0.626876134421927</v>
      </c>
      <c r="J128" s="64" t="n">
        <f aca="true">OFFSET(VolSkewCoef,0,impvol_order-2)+OFFSET(VolSkewCoef,1,impvol_order-2)*G128+OFFSET(VolSkewCoef,2,impvol_order-2)*G128^2+IF(impvol_order&gt;2,OFFSET(VolSkewCoef,3,impvol_order-2)*G128^3,0)+IF(impvol_order&gt;3,OFFSET(VolSkewCoef,4,impvol_order-2)*G128^4,0)+IF(impvol_order&gt;4,OFFSET(VolSkewCoef,5,impvol_order-2)*G128^5,0)</f>
        <v>0.626947189882808</v>
      </c>
      <c r="L128" s="79"/>
      <c r="M128" s="79"/>
      <c r="O128" s="79"/>
      <c r="P128" s="79"/>
      <c r="R128" s="80" t="n">
        <f aca="false">(1/($D128*SQRT(2*PI()*T/365.25*$I$114^2)))</f>
        <v>0.767828558463935</v>
      </c>
      <c r="S128" s="80" t="n">
        <f aca="false">LN($D128/UnderlyingPrice)+0.5*T/365.25*$I$114^2</f>
        <v>-1.09501896373208</v>
      </c>
      <c r="T128" s="80" t="n">
        <f aca="false">-(S128^2)</f>
        <v>-1.19906653093288</v>
      </c>
      <c r="U128" s="80" t="n">
        <f aca="false">T128/(2*T/365.25*$I$114^2)</f>
        <v>-5.19881708474762</v>
      </c>
      <c r="V128" s="80"/>
      <c r="W128" s="100" t="e">
        <f aca="false">(Alpha1*R128)*EXP(Gamma2^2*U128)</f>
        <v>#NAME?</v>
      </c>
      <c r="Z128" s="80" t="n">
        <f aca="false">(1/(D128*SQRT(2*PI()*T/365.25*ATMImpVol^2)))</f>
        <v>0.795059689815348</v>
      </c>
      <c r="AA128" s="80" t="n">
        <f aca="false">LN(D128/UnderlyingPrice)+0.5*T/365.25*ATMImpVol^2</f>
        <v>-1.09890111892595</v>
      </c>
      <c r="AB128" s="80" t="n">
        <f aca="false">-(AA128^2)</f>
        <v>-1.2075836691767</v>
      </c>
      <c r="AC128" s="80" t="n">
        <f aca="false">AB128/(2*T/365.25*ATMImpVol^2)</f>
        <v>-5.61370304337204</v>
      </c>
      <c r="AD128" s="82" t="n">
        <f aca="false">EXP(AC128)</f>
        <v>0.00364753732941836</v>
      </c>
      <c r="AE128" s="82" t="n">
        <f aca="false">AD128*Z128</f>
        <v>0.00290000989771726</v>
      </c>
      <c r="AF128" s="82"/>
      <c r="AG128" s="101" t="n">
        <f aca="false">AG127-LTFactor*(MaxStandard-MinStandard)/100</f>
        <v>-2.28777819057314</v>
      </c>
      <c r="AH128" s="83" t="n">
        <f aca="false">(LN(($D128*(1+$P$8))/UnderlyingPrice)+0.5*ATMImpVol^2*(T/365.25))/(ATMImpVol*SQRT(T/365.25))</f>
        <v>-3.34920796965</v>
      </c>
      <c r="AI128" s="83" t="n">
        <f aca="false">(LN($D128*(1-$P$8)/UnderlyingPrice)+0.5*ATMImpVol^2*(T/365.25))/(ATMImpVol*SQRT(T/365.25))</f>
        <v>-3.35225713612482</v>
      </c>
      <c r="AJ128" s="81"/>
      <c r="AK128" s="83" t="e">
        <f aca="false">W128/(AH128-AI128)*(D128*2*$P$8)</f>
        <v>#NAME?</v>
      </c>
      <c r="AL128" s="81"/>
      <c r="AM128" s="84"/>
      <c r="AN128" s="85"/>
      <c r="AX128" s="87" t="n">
        <f aca="true">OFFSET(ENAVolCoef,0,impvol_order-2)+OFFSET(ENAVolCoef,1,impvol_order-2)*E128+OFFSET(ENAVolCoef,2,impvol_order-2)*E128^2+IF(impvol_order&gt;2,OFFSET(ENAVolCoef,3,impvol_order-2)*E128^3,0)+IF(impvol_order&gt;3,OFFSET(ENAVolCoef,4,impvol_order-2)*E128^4,0)+IF(impvol_order&gt;4,OFFSET(ENAVolCoef,5,impvol_order-2)*E128^5,0)</f>
        <v>0.573109904213442</v>
      </c>
      <c r="AY128" s="87" t="n">
        <f aca="true">OFFSET(ENAVolCoef,0,impvol_order-2)+OFFSET(ENAVolCoef,1,impvol_order-2)*F128+OFFSET(ENAVolCoef,2,impvol_order-2)*F128^2+IF(impvol_order&gt;2,OFFSET(ENAVolCoef,3,impvol_order-2)*F128^3,0)+IF(impvol_order&gt;3,OFFSET(ENAVolCoef,4,impvol_order-2)*F128^4,0)+IF(impvol_order&gt;4,OFFSET(ENAVolCoef,5,impvol_order-2)*F128^5,0)</f>
        <v>0.57305867864871</v>
      </c>
      <c r="AZ128" s="87" t="n">
        <f aca="true">OFFSET(ENAVolCoef,0,impvol_order-2)+OFFSET(ENAVolCoef,1,impvol_order-2)*G128+OFFSET(ENAVolCoef,2,impvol_order-2)*G128^2+IF(impvol_order&gt;2,OFFSET(ENAVolCoef,3,impvol_order-2)*G128^3,0)+IF(impvol_order&gt;3,OFFSET(ENAVolCoef,4,impvol_order-2)*G128^4,0)+IF(impvol_order&gt;4,OFFSET(ENAVolCoef,5,impvol_order-2)*G128^5,0)</f>
        <v>0.57316114825821</v>
      </c>
      <c r="BB128" s="48" t="e">
        <f aca="false">EURO(UnderlyingPrice,$D128,IntRate,Yield,AX128,$D$6,1,0)</f>
        <v>#NAME?</v>
      </c>
      <c r="BC128" s="48" t="e">
        <f aca="false">EURO(UnderlyingPrice,$D128*(1+$P$8),IntRate,Yield,AY128,$D$6,1,0)</f>
        <v>#NAME?</v>
      </c>
      <c r="BD128" s="48" t="e">
        <f aca="false">EURO(UnderlyingPrice,$D128*(1-$P$8),IntRate,Yield,AZ128,$D$6,1,0)</f>
        <v>#NAME?</v>
      </c>
      <c r="BF128" s="80" t="e">
        <f aca="false">(BC128+BD128-2*BB128)/($P$8*$D128)^2</f>
        <v>#NAME?</v>
      </c>
      <c r="BG128" s="48" t="e">
        <f aca="false">+BF128/$D$9</f>
        <v>#NAME?</v>
      </c>
      <c r="BI128" s="79"/>
    </row>
    <row r="129" customFormat="false" ht="11.25" hidden="false" customHeight="false" outlineLevel="0" collapsed="false">
      <c r="C129" s="99"/>
      <c r="D129" s="78" t="n">
        <f aca="true">+D128-LTFactor*(ROUNDUP(MAX(StrikeRange),1)-ROUNDDOWN(MIN(StrikeRange),1))/100</f>
        <v>1.425</v>
      </c>
      <c r="E129" s="64" t="n">
        <f aca="false">+D129/UnderlyingPrice-1</f>
        <v>-0.705882352941176</v>
      </c>
      <c r="F129" s="64" t="n">
        <f aca="false">+D129*(1+$P$8)/UnderlyingPrice-1</f>
        <v>-0.705735294117647</v>
      </c>
      <c r="G129" s="64" t="n">
        <f aca="false">+D129*(1-$P$8)/UnderlyingPrice-1</f>
        <v>-0.706029411764706</v>
      </c>
      <c r="H129" s="64" t="n">
        <f aca="true">OFFSET(VolSkewCoef,0,impvol_order-2)+OFFSET(VolSkewCoef,1,impvol_order-2)*F129+OFFSET(VolSkewCoef,2,impvol_order-2)*F129^2+IF(impvol_order&gt;2,OFFSET(VolSkewCoef,3,impvol_order-2)*F129^3,0)+IF(impvol_order&gt;3,OFFSET(VolSkewCoef,4,impvol_order-2)*F129^4,0)+IF(impvol_order&gt;4,OFFSET(VolSkewCoef,5,impvol_order-2)*F129^5,0)</f>
        <v>0.636812340822026</v>
      </c>
      <c r="I129" s="64" t="n">
        <f aca="true">OFFSET(VolSkewCoef,0,impvol_order-2)+OFFSET(VolSkewCoef,1,impvol_order-2)*E129+OFFSET(VolSkewCoef,2,impvol_order-2)*E129^2+IF(impvol_order&gt;2,OFFSET(VolSkewCoef,3,impvol_order-2)*E129^3,0)+IF(impvol_order&gt;3,OFFSET(VolSkewCoef,4,impvol_order-2)*E129^4,0)+IF(impvol_order&gt;4,OFFSET(VolSkewCoef,5,impvol_order-2)*E129^5,0)</f>
        <v>0.63688196743334</v>
      </c>
      <c r="J129" s="64" t="n">
        <f aca="true">OFFSET(VolSkewCoef,0,impvol_order-2)+OFFSET(VolSkewCoef,1,impvol_order-2)*G129+OFFSET(VolSkewCoef,2,impvol_order-2)*G129^2+IF(impvol_order&gt;2,OFFSET(VolSkewCoef,3,impvol_order-2)*G129^3,0)+IF(impvol_order&gt;3,OFFSET(VolSkewCoef,4,impvol_order-2)*G129^4,0)+IF(impvol_order&gt;4,OFFSET(VolSkewCoef,5,impvol_order-2)*G129^5,0)</f>
        <v>0.636951617841214</v>
      </c>
      <c r="L129" s="79"/>
      <c r="M129" s="79"/>
      <c r="O129" s="79"/>
      <c r="P129" s="79"/>
      <c r="R129" s="80" t="n">
        <f aca="false">(1/($D129*SQRT(2*PI()*T/365.25*$I$114^2)))</f>
        <v>0.82440539961391</v>
      </c>
      <c r="S129" s="80" t="n">
        <f aca="false">LN($D129/UnderlyingPrice)+0.5*T/365.25*$I$114^2</f>
        <v>-1.16611488541581</v>
      </c>
      <c r="T129" s="80" t="n">
        <f aca="false">-(S129^2)</f>
        <v>-1.35982392598833</v>
      </c>
      <c r="U129" s="80" t="n">
        <f aca="false">T129/(2*T/365.25*$I$114^2)</f>
        <v>-5.89581618392486</v>
      </c>
      <c r="V129" s="80"/>
      <c r="W129" s="100" t="e">
        <f aca="false">(Alpha1*R129)*EXP(Gamma2^2*U129)</f>
        <v>#NAME?</v>
      </c>
      <c r="Z129" s="80" t="n">
        <f aca="false">(1/(D129*SQRT(2*PI()*T/365.25*ATMImpVol^2)))</f>
        <v>0.853643035380689</v>
      </c>
      <c r="AA129" s="80" t="n">
        <f aca="false">LN(D129/UnderlyingPrice)+0.5*T/365.25*ATMImpVol^2</f>
        <v>-1.16999704060968</v>
      </c>
      <c r="AB129" s="80" t="n">
        <f aca="false">-(AA129^2)</f>
        <v>-1.3688930750354</v>
      </c>
      <c r="AC129" s="80" t="n">
        <f aca="false">AB129/(2*T/365.25*ATMImpVol^2)</f>
        <v>-6.3635832593002</v>
      </c>
      <c r="AD129" s="82" t="n">
        <f aca="false">EXP(AC129)</f>
        <v>0.00172318103157019</v>
      </c>
      <c r="AE129" s="82" t="n">
        <f aca="false">AD129*Z129</f>
        <v>0.0014709814863</v>
      </c>
      <c r="AF129" s="82"/>
      <c r="AG129" s="101" t="n">
        <f aca="false">AG128-LTFactor*(MaxStandard-MinStandard)/100</f>
        <v>-2.35850572525528</v>
      </c>
      <c r="AH129" s="83" t="n">
        <f aca="false">(LN(($D129*(1+$P$8))/UnderlyingPrice)+0.5*ATMImpVol^2*(T/365.25))/(ATMImpVol*SQRT(T/365.25))</f>
        <v>-3.56599125247906</v>
      </c>
      <c r="AI129" s="83" t="n">
        <f aca="false">(LN($D129*(1-$P$8)/UnderlyingPrice)+0.5*ATMImpVol^2*(T/365.25))/(ATMImpVol*SQRT(T/365.25))</f>
        <v>-3.56904041895388</v>
      </c>
      <c r="AJ129" s="81"/>
      <c r="AK129" s="83" t="e">
        <f aca="false">W129/(AH129-AI129)*(D129*2*$P$8)</f>
        <v>#NAME?</v>
      </c>
      <c r="AL129" s="81"/>
      <c r="AM129" s="84"/>
      <c r="AN129" s="85"/>
      <c r="AX129" s="87" t="n">
        <f aca="true">OFFSET(ENAVolCoef,0,impvol_order-2)+OFFSET(ENAVolCoef,1,impvol_order-2)*E129+OFFSET(ENAVolCoef,2,impvol_order-2)*E129^2+IF(impvol_order&gt;2,OFFSET(ENAVolCoef,3,impvol_order-2)*E129^3,0)+IF(impvol_order&gt;3,OFFSET(ENAVolCoef,4,impvol_order-2)*E129^4,0)+IF(impvol_order&gt;4,OFFSET(ENAVolCoef,5,impvol_order-2)*E129^5,0)</f>
        <v>0.580317251780989</v>
      </c>
      <c r="AY129" s="87" t="n">
        <f aca="true">OFFSET(ENAVolCoef,0,impvol_order-2)+OFFSET(ENAVolCoef,1,impvol_order-2)*F129+OFFSET(ENAVolCoef,2,impvol_order-2)*F129^2+IF(impvol_order&gt;2,OFFSET(ENAVolCoef,3,impvol_order-2)*F129^3,0)+IF(impvol_order&gt;3,OFFSET(ENAVolCoef,4,impvol_order-2)*F129^4,0)+IF(impvol_order&gt;4,OFFSET(ENAVolCoef,5,impvol_order-2)*F129^5,0)</f>
        <v>0.580267157519047</v>
      </c>
      <c r="AZ129" s="87" t="n">
        <f aca="true">OFFSET(ENAVolCoef,0,impvol_order-2)+OFFSET(ENAVolCoef,1,impvol_order-2)*G129+OFFSET(ENAVolCoef,2,impvol_order-2)*G129^2+IF(impvol_order&gt;2,OFFSET(ENAVolCoef,3,impvol_order-2)*G129^3,0)+IF(impvol_order&gt;3,OFFSET(ENAVolCoef,4,impvol_order-2)*G129^4,0)+IF(impvol_order&gt;4,OFFSET(ENAVolCoef,5,impvol_order-2)*G129^5,0)</f>
        <v>0.580367362362975</v>
      </c>
      <c r="BB129" s="48" t="e">
        <f aca="false">EURO(UnderlyingPrice,$D129,IntRate,Yield,AX129,$D$6,1,0)</f>
        <v>#NAME?</v>
      </c>
      <c r="BC129" s="48" t="e">
        <f aca="false">EURO(UnderlyingPrice,$D129*(1+$P$8),IntRate,Yield,AY129,$D$6,1,0)</f>
        <v>#NAME?</v>
      </c>
      <c r="BD129" s="48" t="e">
        <f aca="false">EURO(UnderlyingPrice,$D129*(1-$P$8),IntRate,Yield,AZ129,$D$6,1,0)</f>
        <v>#NAME?</v>
      </c>
      <c r="BF129" s="80" t="e">
        <f aca="false">(BC129+BD129-2*BB129)/($P$8*$D129)^2</f>
        <v>#NAME?</v>
      </c>
      <c r="BG129" s="48" t="e">
        <f aca="false">+BF129/$D$9</f>
        <v>#NAME?</v>
      </c>
      <c r="BI129" s="79"/>
    </row>
    <row r="130" customFormat="false" ht="11.25" hidden="false" customHeight="false" outlineLevel="0" collapsed="false">
      <c r="C130" s="99"/>
      <c r="D130" s="78" t="n">
        <f aca="true">+D129-LTFactor*(ROUNDUP(MAX(StrikeRange),1)-ROUNDDOWN(MIN(StrikeRange),1))/100</f>
        <v>1.32</v>
      </c>
      <c r="E130" s="64" t="n">
        <f aca="false">+D130/UnderlyingPrice-1</f>
        <v>-0.727554179566563</v>
      </c>
      <c r="F130" s="64" t="n">
        <f aca="false">+D130*(1+$P$8)/UnderlyingPrice-1</f>
        <v>-0.727417956656347</v>
      </c>
      <c r="G130" s="64" t="n">
        <f aca="false">+D130*(1-$P$8)/UnderlyingPrice-1</f>
        <v>-0.72769040247678</v>
      </c>
      <c r="H130" s="64" t="n">
        <f aca="true">OFFSET(VolSkewCoef,0,impvol_order-2)+OFFSET(VolSkewCoef,1,impvol_order-2)*F130+OFFSET(VolSkewCoef,2,impvol_order-2)*F130^2+IF(impvol_order&gt;2,OFFSET(VolSkewCoef,3,impvol_order-2)*F130^3,0)+IF(impvol_order&gt;3,OFFSET(VolSkewCoef,4,impvol_order-2)*F130^4,0)+IF(impvol_order&gt;4,OFFSET(VolSkewCoef,5,impvol_order-2)*F130^5,0)</f>
        <v>0.647336823424162</v>
      </c>
      <c r="I130" s="64" t="n">
        <f aca="true">OFFSET(VolSkewCoef,0,impvol_order-2)+OFFSET(VolSkewCoef,1,impvol_order-2)*E130+OFFSET(VolSkewCoef,2,impvol_order-2)*E130^2+IF(impvol_order&gt;2,OFFSET(VolSkewCoef,3,impvol_order-2)*E130^3,0)+IF(impvol_order&gt;3,OFFSET(VolSkewCoef,4,impvol_order-2)*E130^4,0)+IF(impvol_order&gt;4,OFFSET(VolSkewCoef,5,impvol_order-2)*E130^5,0)</f>
        <v>0.647404601086163</v>
      </c>
      <c r="J130" s="64" t="n">
        <f aca="true">OFFSET(VolSkewCoef,0,impvol_order-2)+OFFSET(VolSkewCoef,1,impvol_order-2)*G130+OFFSET(VolSkewCoef,2,impvol_order-2)*G130^2+IF(impvol_order&gt;2,OFFSET(VolSkewCoef,3,impvol_order-2)*G130^3,0)+IF(impvol_order&gt;3,OFFSET(VolSkewCoef,4,impvol_order-2)*G130^4,0)+IF(impvol_order&gt;4,OFFSET(VolSkewCoef,5,impvol_order-2)*G130^5,0)</f>
        <v>0.647472399573908</v>
      </c>
      <c r="L130" s="79"/>
      <c r="M130" s="79"/>
      <c r="O130" s="79"/>
      <c r="P130" s="79"/>
      <c r="R130" s="80" t="n">
        <f aca="false">(1/($D130*SQRT(2*PI()*T/365.25*$I$114^2)))</f>
        <v>0.889983101855925</v>
      </c>
      <c r="S130" s="80" t="n">
        <f aca="false">LN($D130/UnderlyingPrice)+0.5*T/365.25*$I$114^2</f>
        <v>-1.24265496253814</v>
      </c>
      <c r="T130" s="80" t="n">
        <f aca="false">-(S130^2)</f>
        <v>-1.54419135592068</v>
      </c>
      <c r="U130" s="80" t="n">
        <f aca="false">T130/(2*T/365.25*$I$114^2)</f>
        <v>-6.69518179031669</v>
      </c>
      <c r="V130" s="80"/>
      <c r="W130" s="100" t="e">
        <f aca="false">(Alpha1*R130)*EXP(Gamma2^2*U130)</f>
        <v>#NAME?</v>
      </c>
      <c r="Z130" s="80" t="n">
        <f aca="false">(1/(D130*SQRT(2*PI()*T/365.25*ATMImpVol^2)))</f>
        <v>0.921546458649607</v>
      </c>
      <c r="AA130" s="80" t="n">
        <f aca="false">LN(D130/UnderlyingPrice)+0.5*T/365.25*ATMImpVol^2</f>
        <v>-1.24653711773201</v>
      </c>
      <c r="AB130" s="80" t="n">
        <f aca="false">-(AA130^2)</f>
        <v>-1.55385478588363</v>
      </c>
      <c r="AC130" s="80" t="n">
        <f aca="false">AB130/(2*T/365.25*ATMImpVol^2)</f>
        <v>-7.2234161185868</v>
      </c>
      <c r="AD130" s="82" t="n">
        <f aca="false">EXP(AC130)</f>
        <v>0.000729306760195483</v>
      </c>
      <c r="AE130" s="82" t="n">
        <f aca="false">AD130*Z130</f>
        <v>0.000672090062127366</v>
      </c>
      <c r="AF130" s="82"/>
      <c r="AG130" s="101" t="n">
        <f aca="false">AG129-LTFactor*(MaxStandard-MinStandard)/100</f>
        <v>-2.42923325993742</v>
      </c>
      <c r="AH130" s="83" t="n">
        <f aca="false">(LN(($D130*(1+$P$8))/UnderlyingPrice)+0.5*ATMImpVol^2*(T/365.25))/(ATMImpVol*SQRT(T/365.25))</f>
        <v>-3.79937467017187</v>
      </c>
      <c r="AI130" s="83" t="n">
        <f aca="false">(LN($D130*(1-$P$8)/UnderlyingPrice)+0.5*ATMImpVol^2*(T/365.25))/(ATMImpVol*SQRT(T/365.25))</f>
        <v>-3.80242383664669</v>
      </c>
      <c r="AJ130" s="81"/>
      <c r="AK130" s="83" t="e">
        <f aca="false">W130/(AH130-AI130)*(D130*2*$P$8)</f>
        <v>#NAME?</v>
      </c>
      <c r="AL130" s="81"/>
      <c r="AM130" s="84"/>
      <c r="AN130" s="85"/>
      <c r="AX130" s="87" t="n">
        <f aca="true">OFFSET(ENAVolCoef,0,impvol_order-2)+OFFSET(ENAVolCoef,1,impvol_order-2)*E130+OFFSET(ENAVolCoef,2,impvol_order-2)*E130^2+IF(impvol_order&gt;2,OFFSET(ENAVolCoef,3,impvol_order-2)*E130^3,0)+IF(impvol_order&gt;3,OFFSET(ENAVolCoef,4,impvol_order-2)*E130^4,0)+IF(impvol_order&gt;4,OFFSET(ENAVolCoef,5,impvol_order-2)*E130^5,0)</f>
        <v>0.587879029107788</v>
      </c>
      <c r="AY130" s="87" t="n">
        <f aca="true">OFFSET(ENAVolCoef,0,impvol_order-2)+OFFSET(ENAVolCoef,1,impvol_order-2)*F130+OFFSET(ENAVolCoef,2,impvol_order-2)*F130^2+IF(impvol_order&gt;2,OFFSET(ENAVolCoef,3,impvol_order-2)*F130^3,0)+IF(impvol_order&gt;3,OFFSET(ENAVolCoef,4,impvol_order-2)*F130^4,0)+IF(impvol_order&gt;4,OFFSET(ENAVolCoef,5,impvol_order-2)*F130^5,0)</f>
        <v>0.587830377968806</v>
      </c>
      <c r="AZ130" s="87" t="n">
        <f aca="true">OFFSET(ENAVolCoef,0,impvol_order-2)+OFFSET(ENAVolCoef,1,impvol_order-2)*G130+OFFSET(ENAVolCoef,2,impvol_order-2)*G130^2+IF(impvol_order&gt;2,OFFSET(ENAVolCoef,3,impvol_order-2)*G130^3,0)+IF(impvol_order&gt;3,OFFSET(ENAVolCoef,4,impvol_order-2)*G130^4,0)+IF(impvol_order&gt;4,OFFSET(ENAVolCoef,5,impvol_order-2)*G130^5,0)</f>
        <v>0.587927694498725</v>
      </c>
      <c r="BB130" s="48" t="e">
        <f aca="false">EURO(UnderlyingPrice,$D130,IntRate,Yield,AX130,$D$6,1,0)</f>
        <v>#NAME?</v>
      </c>
      <c r="BC130" s="48" t="e">
        <f aca="false">EURO(UnderlyingPrice,$D130*(1+$P$8),IntRate,Yield,AY130,$D$6,1,0)</f>
        <v>#NAME?</v>
      </c>
      <c r="BD130" s="48" t="e">
        <f aca="false">EURO(UnderlyingPrice,$D130*(1-$P$8),IntRate,Yield,AZ130,$D$6,1,0)</f>
        <v>#NAME?</v>
      </c>
      <c r="BF130" s="80" t="e">
        <f aca="false">(BC130+BD130-2*BB130)/($P$8*$D130)^2</f>
        <v>#NAME?</v>
      </c>
      <c r="BG130" s="48" t="e">
        <f aca="false">+BF130/$D$9</f>
        <v>#NAME?</v>
      </c>
      <c r="BI130" s="79"/>
    </row>
    <row r="131" customFormat="false" ht="11.25" hidden="false" customHeight="false" outlineLevel="0" collapsed="false">
      <c r="C131" s="99"/>
      <c r="D131" s="78" t="n">
        <f aca="true">+D130-LTFactor*(ROUNDUP(MAX(StrikeRange),1)-ROUNDDOWN(MIN(StrikeRange),1))/100</f>
        <v>1.215</v>
      </c>
      <c r="E131" s="64" t="n">
        <f aca="false">+D131/UnderlyingPrice-1</f>
        <v>-0.749226006191951</v>
      </c>
      <c r="F131" s="64" t="n">
        <f aca="false">+D131*(1+$P$8)/UnderlyingPrice-1</f>
        <v>-0.749100619195046</v>
      </c>
      <c r="G131" s="64" t="n">
        <f aca="false">+D131*(1-$P$8)/UnderlyingPrice-1</f>
        <v>-0.749351393188855</v>
      </c>
      <c r="H131" s="64" t="n">
        <f aca="true">OFFSET(VolSkewCoef,0,impvol_order-2)+OFFSET(VolSkewCoef,1,impvol_order-2)*F131+OFFSET(VolSkewCoef,2,impvol_order-2)*F131^2+IF(impvol_order&gt;2,OFFSET(VolSkewCoef,3,impvol_order-2)*F131^3,0)+IF(impvol_order&gt;3,OFFSET(VolSkewCoef,4,impvol_order-2)*F131^4,0)+IF(impvol_order&gt;4,OFFSET(VolSkewCoef,5,impvol_order-2)*F131^5,0)</f>
        <v>0.658388866354114</v>
      </c>
      <c r="I131" s="64" t="n">
        <f aca="true">OFFSET(VolSkewCoef,0,impvol_order-2)+OFFSET(VolSkewCoef,1,impvol_order-2)*E131+OFFSET(VolSkewCoef,2,impvol_order-2)*E131^2+IF(impvol_order&gt;2,OFFSET(VolSkewCoef,3,impvol_order-2)*E131^3,0)+IF(impvol_order&gt;3,OFFSET(VolSkewCoef,4,impvol_order-2)*E131^4,0)+IF(impvol_order&gt;4,OFFSET(VolSkewCoef,5,impvol_order-2)*E131^5,0)</f>
        <v>0.658454332627432</v>
      </c>
      <c r="J131" s="64" t="n">
        <f aca="true">OFFSET(VolSkewCoef,0,impvol_order-2)+OFFSET(VolSkewCoef,1,impvol_order-2)*G131+OFFSET(VolSkewCoef,2,impvol_order-2)*G131^2+IF(impvol_order&gt;2,OFFSET(VolSkewCoef,3,impvol_order-2)*G131^3,0)+IF(impvol_order&gt;3,OFFSET(VolSkewCoef,4,impvol_order-2)*G131^4,0)+IF(impvol_order&gt;4,OFFSET(VolSkewCoef,5,impvol_order-2)*G131^5,0)</f>
        <v>0.658519816889778</v>
      </c>
      <c r="L131" s="79"/>
      <c r="M131" s="79"/>
      <c r="O131" s="79"/>
      <c r="P131" s="79"/>
      <c r="R131" s="80" t="n">
        <f aca="false">(1/($D131*SQRT(2*PI()*T/365.25*$I$114^2)))</f>
        <v>0.9668952217694</v>
      </c>
      <c r="S131" s="80" t="n">
        <f aca="false">LN($D131/UnderlyingPrice)+0.5*T/365.25*$I$114^2</f>
        <v>-1.32554262234391</v>
      </c>
      <c r="T131" s="80" t="n">
        <f aca="false">-(S131^2)</f>
        <v>-1.75706324365038</v>
      </c>
      <c r="U131" s="80" t="n">
        <f aca="false">T131/(2*T/365.25*$I$114^2)</f>
        <v>-7.61813475267703</v>
      </c>
      <c r="V131" s="80"/>
      <c r="W131" s="100" t="e">
        <f aca="false">(Alpha1*R131)*EXP(Gamma2^2*U131)</f>
        <v>#NAME?</v>
      </c>
      <c r="Z131" s="80" t="n">
        <f aca="false">(1/(D131*SQRT(2*PI()*T/365.25*ATMImpVol^2)))</f>
        <v>1.00118627606377</v>
      </c>
      <c r="AA131" s="80" t="n">
        <f aca="false">LN(D131/UnderlyingPrice)+0.5*T/365.25*ATMImpVol^2</f>
        <v>-1.32942477753778</v>
      </c>
      <c r="AB131" s="80" t="n">
        <f aca="false">-(AA131^2)</f>
        <v>-1.76737023913137</v>
      </c>
      <c r="AC131" s="80" t="n">
        <f aca="false">AB131/(2*T/365.25*ATMImpVol^2)</f>
        <v>-8.21598696920206</v>
      </c>
      <c r="AD131" s="82" t="n">
        <f aca="false">EXP(AC131)</f>
        <v>0.000270297603930814</v>
      </c>
      <c r="AE131" s="82" t="n">
        <f aca="false">AD131*Z131</f>
        <v>0.000270618251508451</v>
      </c>
      <c r="AF131" s="82"/>
      <c r="AG131" s="101" t="n">
        <f aca="false">AG130-LTFactor*(MaxStandard-MinStandard)/100</f>
        <v>-2.49996079461956</v>
      </c>
      <c r="AH131" s="83" t="n">
        <f aca="false">(LN(($D131*(1+$P$8))/UnderlyingPrice)+0.5*ATMImpVol^2*(T/365.25))/(ATMImpVol*SQRT(T/365.25))</f>
        <v>-4.05211292256624</v>
      </c>
      <c r="AI131" s="83" t="n">
        <f aca="false">(LN($D131*(1-$P$8)/UnderlyingPrice)+0.5*ATMImpVol^2*(T/365.25))/(ATMImpVol*SQRT(T/365.25))</f>
        <v>-4.05516208904106</v>
      </c>
      <c r="AJ131" s="81"/>
      <c r="AK131" s="83" t="e">
        <f aca="false">W131/(AH131-AI131)*(D131*2*$P$8)</f>
        <v>#NAME?</v>
      </c>
      <c r="AL131" s="81"/>
      <c r="AM131" s="84"/>
      <c r="AN131" s="85"/>
      <c r="AX131" s="87" t="n">
        <f aca="true">OFFSET(ENAVolCoef,0,impvol_order-2)+OFFSET(ENAVolCoef,1,impvol_order-2)*E131+OFFSET(ENAVolCoef,2,impvol_order-2)*E131^2+IF(impvol_order&gt;2,OFFSET(ENAVolCoef,3,impvol_order-2)*E131^3,0)+IF(impvol_order&gt;3,OFFSET(ENAVolCoef,4,impvol_order-2)*E131^4,0)+IF(impvol_order&gt;4,OFFSET(ENAVolCoef,5,impvol_order-2)*E131^5,0)</f>
        <v>0.595801522271991</v>
      </c>
      <c r="AY131" s="87" t="n">
        <f aca="true">OFFSET(ENAVolCoef,0,impvol_order-2)+OFFSET(ENAVolCoef,1,impvol_order-2)*F131+OFFSET(ENAVolCoef,2,impvol_order-2)*F131^2+IF(impvol_order&gt;2,OFFSET(ENAVolCoef,3,impvol_order-2)*F131^3,0)+IF(impvol_order&gt;3,OFFSET(ENAVolCoef,4,impvol_order-2)*F131^4,0)+IF(impvol_order&gt;4,OFFSET(ENAVolCoef,5,impvol_order-2)*F131^5,0)</f>
        <v>0.595754635509973</v>
      </c>
      <c r="AZ131" s="87" t="n">
        <f aca="true">OFFSET(ENAVolCoef,0,impvol_order-2)+OFFSET(ENAVolCoef,1,impvol_order-2)*G131+OFFSET(ENAVolCoef,2,impvol_order-2)*G131^2+IF(impvol_order&gt;2,OFFSET(ENAVolCoef,3,impvol_order-2)*G131^3,0)+IF(impvol_order&gt;3,OFFSET(ENAVolCoef,4,impvol_order-2)*G131^4,0)+IF(impvol_order&gt;4,OFFSET(ENAVolCoef,5,impvol_order-2)*G131^5,0)</f>
        <v>0.595848421319211</v>
      </c>
      <c r="BB131" s="48" t="e">
        <f aca="false">EURO(UnderlyingPrice,$D131,IntRate,Yield,AX131,$D$6,1,0)</f>
        <v>#NAME?</v>
      </c>
      <c r="BC131" s="48" t="e">
        <f aca="false">EURO(UnderlyingPrice,$D131*(1+$P$8),IntRate,Yield,AY131,$D$6,1,0)</f>
        <v>#NAME?</v>
      </c>
      <c r="BD131" s="48" t="e">
        <f aca="false">EURO(UnderlyingPrice,$D131*(1-$P$8),IntRate,Yield,AZ131,$D$6,1,0)</f>
        <v>#NAME?</v>
      </c>
      <c r="BF131" s="80" t="e">
        <f aca="false">(BC131+BD131-2*BB131)/($P$8*$D131)^2</f>
        <v>#NAME?</v>
      </c>
      <c r="BG131" s="48" t="e">
        <f aca="false">+BF131/$D$9</f>
        <v>#NAME?</v>
      </c>
      <c r="BI131" s="79"/>
    </row>
    <row r="132" customFormat="false" ht="11.25" hidden="false" customHeight="false" outlineLevel="0" collapsed="false">
      <c r="C132" s="99"/>
      <c r="D132" s="78" t="n">
        <f aca="true">+D131-LTFactor*(ROUNDUP(MAX(StrikeRange),1)-ROUNDDOWN(MIN(StrikeRange),1))/100</f>
        <v>1.11</v>
      </c>
      <c r="E132" s="64" t="n">
        <f aca="false">+D132/UnderlyingPrice-1</f>
        <v>-0.770897832817337</v>
      </c>
      <c r="F132" s="64" t="n">
        <f aca="false">+D132*(1+$P$8)/UnderlyingPrice-1</f>
        <v>-0.770783281733746</v>
      </c>
      <c r="G132" s="64" t="n">
        <f aca="false">+D132*(1-$P$8)/UnderlyingPrice-1</f>
        <v>-0.771012383900929</v>
      </c>
      <c r="H132" s="64" t="n">
        <f aca="true">OFFSET(VolSkewCoef,0,impvol_order-2)+OFFSET(VolSkewCoef,1,impvol_order-2)*F132+OFFSET(VolSkewCoef,2,impvol_order-2)*F132^2+IF(impvol_order&gt;2,OFFSET(VolSkewCoef,3,impvol_order-2)*F132^3,0)+IF(impvol_order&gt;3,OFFSET(VolSkewCoef,4,impvol_order-2)*F132^4,0)+IF(impvol_order&gt;4,OFFSET(VolSkewCoef,5,impvol_order-2)*F132^5,0)</f>
        <v>0.66997878231251</v>
      </c>
      <c r="I132" s="64" t="n">
        <f aca="true">OFFSET(VolSkewCoef,0,impvol_order-2)+OFFSET(VolSkewCoef,1,impvol_order-2)*E132+OFFSET(VolSkewCoef,2,impvol_order-2)*E132^2+IF(impvol_order&gt;2,OFFSET(VolSkewCoef,3,impvol_order-2)*E132^3,0)+IF(impvol_order&gt;3,OFFSET(VolSkewCoef,4,impvol_order-2)*E132^4,0)+IF(impvol_order&gt;4,OFFSET(VolSkewCoef,5,impvol_order-2)*E132^5,0)</f>
        <v>0.670041459304183</v>
      </c>
      <c r="J132" s="64" t="n">
        <f aca="true">OFFSET(VolSkewCoef,0,impvol_order-2)+OFFSET(VolSkewCoef,1,impvol_order-2)*G132+OFFSET(VolSkewCoef,2,impvol_order-2)*G132^2+IF(impvol_order&gt;2,OFFSET(VolSkewCoef,3,impvol_order-2)*G132^3,0)+IF(impvol_order&gt;3,OFFSET(VolSkewCoef,4,impvol_order-2)*G132^4,0)+IF(impvol_order&gt;4,OFFSET(VolSkewCoef,5,impvol_order-2)*G132^5,0)</f>
        <v>0.67010415159771</v>
      </c>
      <c r="L132" s="79"/>
      <c r="M132" s="79"/>
      <c r="O132" s="79"/>
      <c r="P132" s="79"/>
      <c r="R132" s="80" t="n">
        <f aca="false">(1/($D132*SQRT(2*PI()*T/365.25*$I$114^2)))</f>
        <v>1.05835828328813</v>
      </c>
      <c r="S132" s="80" t="n">
        <f aca="false">LN($D132/UnderlyingPrice)+0.5*T/365.25*$I$114^2</f>
        <v>-1.41592668381218</v>
      </c>
      <c r="T132" s="80" t="n">
        <f aca="false">-(S132^2)</f>
        <v>-2.00484837393136</v>
      </c>
      <c r="U132" s="80" t="n">
        <f aca="false">T132/(2*T/365.25*$I$114^2)</f>
        <v>-8.69246176908452</v>
      </c>
      <c r="V132" s="80"/>
      <c r="W132" s="100" t="e">
        <f aca="false">(Alpha1*R132)*EXP(Gamma2^2*U132)</f>
        <v>#NAME?</v>
      </c>
      <c r="Z132" s="80" t="n">
        <f aca="false">(1/(D132*SQRT(2*PI()*T/365.25*ATMImpVol^2)))</f>
        <v>1.09589308596169</v>
      </c>
      <c r="AA132" s="80" t="n">
        <f aca="false">LN(D132/UnderlyingPrice)+0.5*T/365.25*ATMImpVol^2</f>
        <v>-1.41980883900605</v>
      </c>
      <c r="AB132" s="80" t="n">
        <f aca="false">-(AA132^2)</f>
        <v>-2.0158571393197</v>
      </c>
      <c r="AC132" s="80" t="n">
        <f aca="false">AB132/(2*T/365.25*ATMImpVol^2)</f>
        <v>-9.37112984122875</v>
      </c>
      <c r="AD132" s="82" t="n">
        <f aca="false">EXP(AC132)</f>
        <v>8.5147131313048E-005</v>
      </c>
      <c r="AE132" s="82" t="n">
        <f aca="false">AD132*Z132</f>
        <v>9.33121524954418E-005</v>
      </c>
      <c r="AF132" s="82"/>
      <c r="AG132" s="101" t="n">
        <f aca="false">AG131-LTFactor*(MaxStandard-MinStandard)/100</f>
        <v>-2.5706883293017</v>
      </c>
      <c r="AH132" s="83" t="n">
        <f aca="false">(LN(($D132*(1+$P$8))/UnderlyingPrice)+0.5*ATMImpVol^2*(T/365.25))/(ATMImpVol*SQRT(T/365.25))</f>
        <v>-4.32770894968686</v>
      </c>
      <c r="AI132" s="83" t="n">
        <f aca="false">(LN($D132*(1-$P$8)/UnderlyingPrice)+0.5*ATMImpVol^2*(T/365.25))/(ATMImpVol*SQRT(T/365.25))</f>
        <v>-4.33075811616168</v>
      </c>
      <c r="AJ132" s="81"/>
      <c r="AK132" s="83" t="e">
        <f aca="false">W132/(AH132-AI132)*(D132*2*$P$8)</f>
        <v>#NAME?</v>
      </c>
      <c r="AL132" s="81"/>
      <c r="AM132" s="84"/>
      <c r="AN132" s="85"/>
      <c r="AX132" s="87" t="n">
        <f aca="true">OFFSET(ENAVolCoef,0,impvol_order-2)+OFFSET(ENAVolCoef,1,impvol_order-2)*E132+OFFSET(ENAVolCoef,2,impvol_order-2)*E132^2+IF(impvol_order&gt;2,OFFSET(ENAVolCoef,3,impvol_order-2)*E132^3,0)+IF(impvol_order&gt;3,OFFSET(ENAVolCoef,4,impvol_order-2)*E132^4,0)+IF(impvol_order&gt;4,OFFSET(ENAVolCoef,5,impvol_order-2)*E132^5,0)</f>
        <v>0.604091017351753</v>
      </c>
      <c r="AY132" s="87" t="n">
        <f aca="true">OFFSET(ENAVolCoef,0,impvol_order-2)+OFFSET(ENAVolCoef,1,impvol_order-2)*F132+OFFSET(ENAVolCoef,2,impvol_order-2)*F132^2+IF(impvol_order&gt;2,OFFSET(ENAVolCoef,3,impvol_order-2)*F132^3,0)+IF(impvol_order&gt;3,OFFSET(ENAVolCoef,4,impvol_order-2)*F132^4,0)+IF(impvol_order&gt;4,OFFSET(ENAVolCoef,5,impvol_order-2)*F132^5,0)</f>
        <v>0.604046225654533</v>
      </c>
      <c r="AZ132" s="87" t="n">
        <f aca="true">OFFSET(ENAVolCoef,0,impvol_order-2)+OFFSET(ENAVolCoef,1,impvol_order-2)*G132+OFFSET(ENAVolCoef,2,impvol_order-2)*G132^2+IF(impvol_order&gt;2,OFFSET(ENAVolCoef,3,impvol_order-2)*G132^3,0)+IF(impvol_order&gt;3,OFFSET(ENAVolCoef,4,impvol_order-2)*G132^4,0)+IF(impvol_order&gt;4,OFFSET(ENAVolCoef,5,impvol_order-2)*G132^5,0)</f>
        <v>0.604135819478182</v>
      </c>
      <c r="BB132" s="48" t="e">
        <f aca="false">EURO(UnderlyingPrice,$D132,IntRate,Yield,AX132,$D$6,1,0)</f>
        <v>#NAME?</v>
      </c>
      <c r="BC132" s="48" t="e">
        <f aca="false">EURO(UnderlyingPrice,$D132*(1+$P$8),IntRate,Yield,AY132,$D$6,1,0)</f>
        <v>#NAME?</v>
      </c>
      <c r="BD132" s="48" t="e">
        <f aca="false">EURO(UnderlyingPrice,$D132*(1-$P$8),IntRate,Yield,AZ132,$D$6,1,0)</f>
        <v>#NAME?</v>
      </c>
      <c r="BF132" s="80" t="e">
        <f aca="false">(BC132+BD132-2*BB132)/($P$8*$D132)^2</f>
        <v>#NAME?</v>
      </c>
      <c r="BG132" s="48" t="e">
        <f aca="false">+BF132/$D$9</f>
        <v>#NAME?</v>
      </c>
      <c r="BI132" s="79"/>
    </row>
    <row r="133" customFormat="false" ht="11.25" hidden="false" customHeight="false" outlineLevel="0" collapsed="false">
      <c r="C133" s="99"/>
      <c r="D133" s="78" t="n">
        <f aca="true">+D132-LTFactor*(ROUNDUP(MAX(StrikeRange),1)-ROUNDDOWN(MIN(StrikeRange),1))/100</f>
        <v>1.005</v>
      </c>
      <c r="E133" s="64" t="n">
        <f aca="false">+D133/UnderlyingPrice-1</f>
        <v>-0.792569659442724</v>
      </c>
      <c r="F133" s="64" t="n">
        <f aca="false">+D133*(1+$P$8)/UnderlyingPrice-1</f>
        <v>-0.792465944272446</v>
      </c>
      <c r="G133" s="64" t="n">
        <f aca="false">+D133*(1-$P$8)/UnderlyingPrice-1</f>
        <v>-0.792673374613003</v>
      </c>
      <c r="H133" s="64" t="n">
        <f aca="true">OFFSET(VolSkewCoef,0,impvol_order-2)+OFFSET(VolSkewCoef,1,impvol_order-2)*F133+OFFSET(VolSkewCoef,2,impvol_order-2)*F133^2+IF(impvol_order&gt;2,OFFSET(VolSkewCoef,3,impvol_order-2)*F133^3,0)+IF(impvol_order&gt;3,OFFSET(VolSkewCoef,4,impvol_order-2)*F133^4,0)+IF(impvol_order&gt;4,OFFSET(VolSkewCoef,5,impvol_order-2)*F133^5,0)</f>
        <v>0.682116883999985</v>
      </c>
      <c r="I133" s="64" t="n">
        <f aca="true">OFFSET(VolSkewCoef,0,impvol_order-2)+OFFSET(VolSkewCoef,1,impvol_order-2)*E133+OFFSET(VolSkewCoef,2,impvol_order-2)*E133^2+IF(impvol_order&gt;2,OFFSET(VolSkewCoef,3,impvol_order-2)*E133^3,0)+IF(impvol_order&gt;3,OFFSET(VolSkewCoef,4,impvol_order-2)*E133^4,0)+IF(impvol_order&gt;4,OFFSET(VolSkewCoef,5,impvol_order-2)*E133^5,0)</f>
        <v>0.682176278363454</v>
      </c>
      <c r="J133" s="64" t="n">
        <f aca="true">OFFSET(VolSkewCoef,0,impvol_order-2)+OFFSET(VolSkewCoef,1,impvol_order-2)*G133+OFFSET(VolSkewCoef,2,impvol_order-2)*G133^2+IF(impvol_order&gt;2,OFFSET(VolSkewCoef,3,impvol_order-2)*G133^3,0)+IF(impvol_order&gt;3,OFFSET(VolSkewCoef,4,impvol_order-2)*G133^4,0)+IF(impvol_order&gt;4,OFFSET(VolSkewCoef,5,impvol_order-2)*G133^5,0)</f>
        <v>0.682235685506594</v>
      </c>
      <c r="L133" s="79"/>
      <c r="M133" s="79"/>
      <c r="O133" s="79"/>
      <c r="P133" s="79"/>
      <c r="R133" s="80" t="n">
        <f aca="false">(1/($D133*SQRT(2*PI()*T/365.25*$I$114^2)))</f>
        <v>1.1689330293033</v>
      </c>
      <c r="S133" s="80" t="n">
        <f aca="false">LN($D133/UnderlyingPrice)+0.5*T/365.25*$I$114^2</f>
        <v>-1.51529915762538</v>
      </c>
      <c r="T133" s="80" t="n">
        <f aca="false">-(S133^2)</f>
        <v>-2.2961315371002</v>
      </c>
      <c r="U133" s="80" t="n">
        <f aca="false">T133/(2*T/365.25*$I$114^2)</f>
        <v>-9.95538408916907</v>
      </c>
      <c r="V133" s="80"/>
      <c r="W133" s="100" t="e">
        <f aca="false">(Alpha1*R133)*EXP(Gamma2^2*U133)</f>
        <v>#NAME?</v>
      </c>
      <c r="Z133" s="80" t="n">
        <f aca="false">(1/(D133*SQRT(2*PI()*T/365.25*ATMImpVol^2)))</f>
        <v>1.21038937852486</v>
      </c>
      <c r="AA133" s="80" t="n">
        <f aca="false">LN(D133/UnderlyingPrice)+0.5*T/365.25*ATMImpVol^2</f>
        <v>-1.51918131281925</v>
      </c>
      <c r="AB133" s="80" t="n">
        <f aca="false">-(AA133^2)</f>
        <v>-2.30791186121923</v>
      </c>
      <c r="AC133" s="80" t="n">
        <f aca="false">AB133/(2*T/365.25*ATMImpVol^2)</f>
        <v>-10.7288067649953</v>
      </c>
      <c r="AD133" s="82" t="n">
        <f aca="false">EXP(AC133)</f>
        <v>2.19047562360133E-005</v>
      </c>
      <c r="AE133" s="82" t="n">
        <f aca="false">AD133*Z133</f>
        <v>2.65132842872466E-005</v>
      </c>
      <c r="AF133" s="82"/>
      <c r="AG133" s="101" t="n">
        <f aca="false">AG132-LTFactor*(MaxStandard-MinStandard)/100</f>
        <v>-2.64141586398384</v>
      </c>
      <c r="AH133" s="83" t="n">
        <f aca="false">(LN(($D133*(1+$P$8))/UnderlyingPrice)+0.5*ATMImpVol^2*(T/365.25))/(ATMImpVol*SQRT(T/365.25))</f>
        <v>-4.63071214010757</v>
      </c>
      <c r="AI133" s="83" t="n">
        <f aca="false">(LN($D133*(1-$P$8)/UnderlyingPrice)+0.5*ATMImpVol^2*(T/365.25))/(ATMImpVol*SQRT(T/365.25))</f>
        <v>-4.63376130658239</v>
      </c>
      <c r="AJ133" s="81"/>
      <c r="AK133" s="83" t="e">
        <f aca="false">W133/(AH133-AI133)*(D133*2*$P$8)</f>
        <v>#NAME?</v>
      </c>
      <c r="AL133" s="81"/>
      <c r="AM133" s="84"/>
      <c r="AN133" s="85"/>
      <c r="AX133" s="87" t="n">
        <f aca="true">OFFSET(ENAVolCoef,0,impvol_order-2)+OFFSET(ENAVolCoef,1,impvol_order-2)*E133+OFFSET(ENAVolCoef,2,impvol_order-2)*E133^2+IF(impvol_order&gt;2,OFFSET(ENAVolCoef,3,impvol_order-2)*E133^3,0)+IF(impvol_order&gt;3,OFFSET(ENAVolCoef,4,impvol_order-2)*E133^4,0)+IF(impvol_order&gt;4,OFFSET(ENAVolCoef,5,impvol_order-2)*E133^5,0)</f>
        <v>0.612753800425227</v>
      </c>
      <c r="AY133" s="87" t="n">
        <f aca="true">OFFSET(ENAVolCoef,0,impvol_order-2)+OFFSET(ENAVolCoef,1,impvol_order-2)*F133+OFFSET(ENAVolCoef,2,impvol_order-2)*F133^2+IF(impvol_order&gt;2,OFFSET(ENAVolCoef,3,impvol_order-2)*F133^3,0)+IF(impvol_order&gt;3,OFFSET(ENAVolCoef,4,impvol_order-2)*F133^4,0)+IF(impvol_order&gt;4,OFFSET(ENAVolCoef,5,impvol_order-2)*F133^5,0)</f>
        <v>0.612711443914474</v>
      </c>
      <c r="AZ133" s="87" t="n">
        <f aca="true">OFFSET(ENAVolCoef,0,impvol_order-2)+OFFSET(ENAVolCoef,1,impvol_order-2)*G133+OFFSET(ENAVolCoef,2,impvol_order-2)*G133^2+IF(impvol_order&gt;2,OFFSET(ENAVolCoef,3,impvol_order-2)*G133^3,0)+IF(impvol_order&gt;3,OFFSET(ENAVolCoef,4,impvol_order-2)*G133^4,0)+IF(impvol_order&gt;4,OFFSET(ENAVolCoef,5,impvol_order-2)*G133^5,0)</f>
        <v>0.612796165629388</v>
      </c>
      <c r="BB133" s="48" t="e">
        <f aca="false">EURO(UnderlyingPrice,$D133,IntRate,Yield,AX133,$D$6,1,0)</f>
        <v>#NAME?</v>
      </c>
      <c r="BC133" s="48" t="e">
        <f aca="false">EURO(UnderlyingPrice,$D133*(1+$P$8),IntRate,Yield,AY133,$D$6,1,0)</f>
        <v>#NAME?</v>
      </c>
      <c r="BD133" s="48" t="e">
        <f aca="false">EURO(UnderlyingPrice,$D133*(1-$P$8),IntRate,Yield,AZ133,$D$6,1,0)</f>
        <v>#NAME?</v>
      </c>
      <c r="BF133" s="80" t="e">
        <f aca="false">(BC133+BD133-2*BB133)/($P$8*$D133)^2</f>
        <v>#NAME?</v>
      </c>
      <c r="BG133" s="48" t="e">
        <f aca="false">+BF133/$D$9</f>
        <v>#NAME?</v>
      </c>
      <c r="BI133" s="79"/>
    </row>
    <row r="134" customFormat="false" ht="11.25" hidden="false" customHeight="false" outlineLevel="0" collapsed="false">
      <c r="C134" s="99"/>
      <c r="D134" s="78" t="n">
        <f aca="true">+D133-LTFactor*(ROUNDUP(MAX(StrikeRange),1)-ROUNDDOWN(MIN(StrikeRange),1))/100</f>
        <v>0.9</v>
      </c>
      <c r="E134" s="64" t="n">
        <f aca="false">+D134/UnderlyingPrice-1</f>
        <v>-0.814241486068111</v>
      </c>
      <c r="F134" s="64" t="n">
        <f aca="false">+D134*(1+$P$8)/UnderlyingPrice-1</f>
        <v>-0.814148606811145</v>
      </c>
      <c r="G134" s="64" t="n">
        <f aca="false">+D134*(1-$P$8)/UnderlyingPrice-1</f>
        <v>-0.814334365325077</v>
      </c>
      <c r="H134" s="64" t="n">
        <f aca="true">OFFSET(VolSkewCoef,0,impvol_order-2)+OFFSET(VolSkewCoef,1,impvol_order-2)*F134+OFFSET(VolSkewCoef,2,impvol_order-2)*F134^2+IF(impvol_order&gt;2,OFFSET(VolSkewCoef,3,impvol_order-2)*F134^3,0)+IF(impvol_order&gt;3,OFFSET(VolSkewCoef,4,impvol_order-2)*F134^4,0)+IF(impvol_order&gt;4,OFFSET(VolSkewCoef,5,impvol_order-2)*F134^5,0)</f>
        <v>0.694813484117167</v>
      </c>
      <c r="I134" s="64" t="n">
        <f aca="true">OFFSET(VolSkewCoef,0,impvol_order-2)+OFFSET(VolSkewCoef,1,impvol_order-2)*E134+OFFSET(VolSkewCoef,2,impvol_order-2)*E134^2+IF(impvol_order&gt;2,OFFSET(VolSkewCoef,3,impvol_order-2)*E134^3,0)+IF(impvol_order&gt;3,OFFSET(VolSkewCoef,4,impvol_order-2)*E134^4,0)+IF(impvol_order&gt;4,OFFSET(VolSkewCoef,5,impvol_order-2)*E134^5,0)</f>
        <v>0.694869087052281</v>
      </c>
      <c r="J134" s="64" t="n">
        <f aca="true">OFFSET(VolSkewCoef,0,impvol_order-2)+OFFSET(VolSkewCoef,1,impvol_order-2)*G134+OFFSET(VolSkewCoef,2,impvol_order-2)*G134^2+IF(impvol_order&gt;2,OFFSET(VolSkewCoef,3,impvol_order-2)*G134^3,0)+IF(impvol_order&gt;3,OFFSET(VolSkewCoef,4,impvol_order-2)*G134^4,0)+IF(impvol_order&gt;4,OFFSET(VolSkewCoef,5,impvol_order-2)*G134^5,0)</f>
        <v>0.694924700425317</v>
      </c>
      <c r="L134" s="79"/>
      <c r="M134" s="79"/>
      <c r="O134" s="79"/>
      <c r="P134" s="79"/>
      <c r="R134" s="80" t="n">
        <f aca="false">(1/($D134*SQRT(2*PI()*T/365.25*$I$114^2)))</f>
        <v>1.30530854938869</v>
      </c>
      <c r="S134" s="80" t="n">
        <f aca="false">LN($D134/UnderlyingPrice)+0.5*T/365.25*$I$114^2</f>
        <v>-1.62564721479425</v>
      </c>
      <c r="T134" s="80" t="n">
        <f aca="false">-(S134^2)</f>
        <v>-2.6427288669683</v>
      </c>
      <c r="U134" s="80" t="n">
        <f aca="false">T134/(2*T/365.25*$I$114^2)</f>
        <v>-11.4581331640218</v>
      </c>
      <c r="V134" s="80"/>
      <c r="W134" s="100" t="e">
        <f aca="false">(Alpha1*R134)*EXP(Gamma2^2*U134)</f>
        <v>#NAME?</v>
      </c>
      <c r="Z134" s="80" t="n">
        <f aca="false">(1/(D134*SQRT(2*PI()*T/365.25*ATMImpVol^2)))</f>
        <v>1.35160147268609</v>
      </c>
      <c r="AA134" s="80" t="n">
        <f aca="false">LN(D134/UnderlyingPrice)+0.5*T/365.25*ATMImpVol^2</f>
        <v>-1.62952936998812</v>
      </c>
      <c r="AB134" s="80" t="n">
        <f aca="false">-(AA134^2)</f>
        <v>-2.65536596765387</v>
      </c>
      <c r="AC134" s="80" t="n">
        <f aca="false">AB134/(2*T/365.25*ATMImpVol^2)</f>
        <v>-12.3440192132177</v>
      </c>
      <c r="AD134" s="82" t="n">
        <f aca="false">EXP(AC134)</f>
        <v>4.35572618903413E-006</v>
      </c>
      <c r="AE134" s="82" t="n">
        <f aca="false">AD134*Z134</f>
        <v>5.88720593171591E-006</v>
      </c>
      <c r="AF134" s="82"/>
      <c r="AG134" s="101" t="n">
        <f aca="false">AG133-LTFactor*(MaxStandard-MinStandard)/100</f>
        <v>-2.71214339866598</v>
      </c>
      <c r="AH134" s="83" t="n">
        <f aca="false">(LN(($D134*(1+$P$8))/UnderlyingPrice)+0.5*ATMImpVol^2*(T/365.25))/(ATMImpVol*SQRT(T/365.25))</f>
        <v>-4.96718170854907</v>
      </c>
      <c r="AI134" s="83" t="n">
        <f aca="false">(LN($D134*(1-$P$8)/UnderlyingPrice)+0.5*ATMImpVol^2*(T/365.25))/(ATMImpVol*SQRT(T/365.25))</f>
        <v>-4.97023087502389</v>
      </c>
      <c r="AJ134" s="81"/>
      <c r="AK134" s="83" t="e">
        <f aca="false">W134/(AH134-AI134)*(D134*2*$P$8)</f>
        <v>#NAME?</v>
      </c>
      <c r="AL134" s="81"/>
      <c r="AM134" s="84"/>
      <c r="AN134" s="85"/>
      <c r="AX134" s="87" t="n">
        <f aca="true">OFFSET(ENAVolCoef,0,impvol_order-2)+OFFSET(ENAVolCoef,1,impvol_order-2)*E134+OFFSET(ENAVolCoef,2,impvol_order-2)*E134^2+IF(impvol_order&gt;2,OFFSET(ENAVolCoef,3,impvol_order-2)*E134^3,0)+IF(impvol_order&gt;3,OFFSET(ENAVolCoef,4,impvol_order-2)*E134^4,0)+IF(impvol_order&gt;4,OFFSET(ENAVolCoef,5,impvol_order-2)*E134^5,0)</f>
        <v>0.621796157570566</v>
      </c>
      <c r="AY134" s="87" t="n">
        <f aca="true">OFFSET(ENAVolCoef,0,impvol_order-2)+OFFSET(ENAVolCoef,1,impvol_order-2)*F134+OFFSET(ENAVolCoef,2,impvol_order-2)*F134^2+IF(impvol_order&gt;2,OFFSET(ENAVolCoef,3,impvol_order-2)*F134^3,0)+IF(impvol_order&gt;3,OFFSET(ENAVolCoef,4,impvol_order-2)*F134^4,0)+IF(impvol_order&gt;4,OFFSET(ENAVolCoef,5,impvol_order-2)*F134^5,0)</f>
        <v>0.62175658580178</v>
      </c>
      <c r="AZ134" s="87" t="n">
        <f aca="true">OFFSET(ENAVolCoef,0,impvol_order-2)+OFFSET(ENAVolCoef,1,impvol_order-2)*G134+OFFSET(ENAVolCoef,2,impvol_order-2)*G134^2+IF(impvol_order&gt;2,OFFSET(ENAVolCoef,3,impvol_order-2)*G134^3,0)+IF(impvol_order&gt;3,OFFSET(ENAVolCoef,4,impvol_order-2)*G134^4,0)+IF(impvol_order&gt;4,OFFSET(ENAVolCoef,5,impvol_order-2)*G134^5,0)</f>
        <v>0.621835736426579</v>
      </c>
      <c r="BB134" s="48" t="e">
        <f aca="false">EURO(UnderlyingPrice,$D134,IntRate,Yield,AX134,$D$6,1,0)</f>
        <v>#NAME?</v>
      </c>
      <c r="BC134" s="48" t="e">
        <f aca="false">EURO(UnderlyingPrice,$D134*(1+$P$8),IntRate,Yield,AY134,$D$6,1,0)</f>
        <v>#NAME?</v>
      </c>
      <c r="BD134" s="48" t="e">
        <f aca="false">EURO(UnderlyingPrice,$D134*(1-$P$8),IntRate,Yield,AZ134,$D$6,1,0)</f>
        <v>#NAME?</v>
      </c>
      <c r="BF134" s="80" t="e">
        <f aca="false">(BC134+BD134-2*BB134)/($P$8*$D134)^2</f>
        <v>#NAME?</v>
      </c>
      <c r="BG134" s="48" t="e">
        <f aca="false">+BF134/$D$9</f>
        <v>#NAME?</v>
      </c>
      <c r="BI134" s="79"/>
    </row>
    <row r="135" customFormat="false" ht="11.25" hidden="false" customHeight="false" outlineLevel="0" collapsed="false">
      <c r="C135" s="99"/>
      <c r="D135" s="78" t="n">
        <f aca="true">+D134-LTFactor*(ROUNDUP(MAX(StrikeRange),1)-ROUNDDOWN(MIN(StrikeRange),1))/100</f>
        <v>0.795</v>
      </c>
      <c r="E135" s="64" t="n">
        <f aca="false">+D135/UnderlyingPrice-1</f>
        <v>-0.835913312693498</v>
      </c>
      <c r="F135" s="64" t="n">
        <f aca="false">+D135*(1+$P$8)/UnderlyingPrice-1</f>
        <v>-0.835831269349845</v>
      </c>
      <c r="G135" s="64" t="n">
        <f aca="false">+D135*(1-$P$8)/UnderlyingPrice-1</f>
        <v>-0.835995356037152</v>
      </c>
      <c r="H135" s="64" t="n">
        <f aca="true">OFFSET(VolSkewCoef,0,impvol_order-2)+OFFSET(VolSkewCoef,1,impvol_order-2)*F135+OFFSET(VolSkewCoef,2,impvol_order-2)*F135^2+IF(impvol_order&gt;2,OFFSET(VolSkewCoef,3,impvol_order-2)*F135^3,0)+IF(impvol_order&gt;3,OFFSET(VolSkewCoef,4,impvol_order-2)*F135^4,0)+IF(impvol_order&gt;4,OFFSET(VolSkewCoef,5,impvol_order-2)*F135^5,0)</f>
        <v>0.708078895364689</v>
      </c>
      <c r="I135" s="64" t="n">
        <f aca="true">OFFSET(VolSkewCoef,0,impvol_order-2)+OFFSET(VolSkewCoef,1,impvol_order-2)*E135+OFFSET(VolSkewCoef,2,impvol_order-2)*E135^2+IF(impvol_order&gt;2,OFFSET(VolSkewCoef,3,impvol_order-2)*E135^3,0)+IF(impvol_order&gt;3,OFFSET(VolSkewCoef,4,impvol_order-2)*E135^4,0)+IF(impvol_order&gt;4,OFFSET(VolSkewCoef,5,impvol_order-2)*E135^5,0)</f>
        <v>0.7081301826177</v>
      </c>
      <c r="J135" s="64" t="n">
        <f aca="true">OFFSET(VolSkewCoef,0,impvol_order-2)+OFFSET(VolSkewCoef,1,impvol_order-2)*G135+OFFSET(VolSkewCoef,2,impvol_order-2)*G135^2+IF(impvol_order&gt;2,OFFSET(VolSkewCoef,3,impvol_order-2)*G135^3,0)+IF(impvol_order&gt;3,OFFSET(VolSkewCoef,4,impvol_order-2)*G135^4,0)+IF(impvol_order&gt;4,OFFSET(VolSkewCoef,5,impvol_order-2)*G135^5,0)</f>
        <v>0.708181478162765</v>
      </c>
      <c r="L135" s="79"/>
      <c r="M135" s="79"/>
      <c r="O135" s="79"/>
      <c r="P135" s="79"/>
      <c r="R135" s="80" t="n">
        <f aca="false">(1/($D135*SQRT(2*PI()*T/365.25*$I$114^2)))</f>
        <v>1.47770779176078</v>
      </c>
      <c r="S135" s="80" t="n">
        <f aca="false">LN($D135/UnderlyingPrice)+0.5*T/365.25*$I$114^2</f>
        <v>-1.74969986346423</v>
      </c>
      <c r="T135" s="80" t="n">
        <f aca="false">-(S135^2)</f>
        <v>-3.06144961220674</v>
      </c>
      <c r="U135" s="80" t="n">
        <f aca="false">T135/(2*T/365.25*$I$114^2)</f>
        <v>-13.2735891941307</v>
      </c>
      <c r="V135" s="80"/>
      <c r="W135" s="100" t="e">
        <f aca="false">(Alpha1*R135)*EXP(Gamma2^2*U135)</f>
        <v>#NAME?</v>
      </c>
      <c r="Z135" s="80" t="n">
        <f aca="false">(1/(D135*SQRT(2*PI()*T/365.25*ATMImpVol^2)))</f>
        <v>1.53011487473897</v>
      </c>
      <c r="AA135" s="80" t="n">
        <f aca="false">LN(D135/UnderlyingPrice)+0.5*T/365.25*ATMImpVol^2</f>
        <v>-1.7535820186581</v>
      </c>
      <c r="AB135" s="80" t="n">
        <f aca="false">-(AA135^2)</f>
        <v>-3.075049896161</v>
      </c>
      <c r="AC135" s="80" t="n">
        <f aca="false">AB135/(2*T/365.25*ATMImpVol^2)</f>
        <v>-14.295006964088</v>
      </c>
      <c r="AD135" s="82" t="n">
        <f aca="false">EXP(AC135)</f>
        <v>6.19095085809975E-007</v>
      </c>
      <c r="AE135" s="82" t="n">
        <f aca="false">AD135*Z135</f>
        <v>9.47286599675641E-007</v>
      </c>
      <c r="AF135" s="82"/>
      <c r="AG135" s="101" t="n">
        <f aca="false">AG134-LTFactor*(MaxStandard-MinStandard)/100</f>
        <v>-2.78287093334812</v>
      </c>
      <c r="AH135" s="83" t="n">
        <f aca="false">(LN(($D135*(1+$P$8))/UnderlyingPrice)+0.5*ATMImpVol^2*(T/365.25))/(ATMImpVol*SQRT(T/365.25))</f>
        <v>-5.34543885446455</v>
      </c>
      <c r="AI135" s="83" t="n">
        <f aca="false">(LN($D135*(1-$P$8)/UnderlyingPrice)+0.5*ATMImpVol^2*(T/365.25))/(ATMImpVol*SQRT(T/365.25))</f>
        <v>-5.34848802093937</v>
      </c>
      <c r="AJ135" s="81"/>
      <c r="AK135" s="83" t="e">
        <f aca="false">W135/(AH135-AI135)*(D135*2*$P$8)</f>
        <v>#NAME?</v>
      </c>
      <c r="AL135" s="81"/>
      <c r="AM135" s="84"/>
      <c r="AN135" s="85"/>
      <c r="AX135" s="87" t="n">
        <f aca="true">OFFSET(ENAVolCoef,0,impvol_order-2)+OFFSET(ENAVolCoef,1,impvol_order-2)*E135+OFFSET(ENAVolCoef,2,impvol_order-2)*E135^2+IF(impvol_order&gt;2,OFFSET(ENAVolCoef,3,impvol_order-2)*E135^3,0)+IF(impvol_order&gt;3,OFFSET(ENAVolCoef,4,impvol_order-2)*E135^4,0)+IF(impvol_order&gt;4,OFFSET(ENAVolCoef,5,impvol_order-2)*E135^5,0)</f>
        <v>0.631224374865924</v>
      </c>
      <c r="AY135" s="87" t="n">
        <f aca="true">OFFSET(ENAVolCoef,0,impvol_order-2)+OFFSET(ENAVolCoef,1,impvol_order-2)*F135+OFFSET(ENAVolCoef,2,impvol_order-2)*F135^2+IF(impvol_order&gt;2,OFFSET(ENAVolCoef,3,impvol_order-2)*F135^3,0)+IF(impvol_order&gt;3,OFFSET(ENAVolCoef,4,impvol_order-2)*F135^4,0)+IF(impvol_order&gt;4,OFFSET(ENAVolCoef,5,impvol_order-2)*F135^5,0)</f>
        <v>0.631187946828438</v>
      </c>
      <c r="AZ135" s="87" t="n">
        <f aca="true">OFFSET(ENAVolCoef,0,impvol_order-2)+OFFSET(ENAVolCoef,1,impvol_order-2)*G135+OFFSET(ENAVolCoef,2,impvol_order-2)*G135^2+IF(impvol_order&gt;2,OFFSET(ENAVolCoef,3,impvol_order-2)*G135^3,0)+IF(impvol_order&gt;3,OFFSET(ENAVolCoef,4,impvol_order-2)*G135^4,0)+IF(impvol_order&gt;4,OFFSET(ENAVolCoef,5,impvol_order-2)*G135^5,0)</f>
        <v>0.631260808523506</v>
      </c>
      <c r="BB135" s="48" t="e">
        <f aca="false">EURO(UnderlyingPrice,$D135,IntRate,Yield,AX135,$D$6,1,0)</f>
        <v>#NAME?</v>
      </c>
      <c r="BC135" s="48" t="e">
        <f aca="false">EURO(UnderlyingPrice,$D135*(1+$P$8),IntRate,Yield,AY135,$D$6,1,0)</f>
        <v>#NAME?</v>
      </c>
      <c r="BD135" s="48" t="e">
        <f aca="false">EURO(UnderlyingPrice,$D135*(1-$P$8),IntRate,Yield,AZ135,$D$6,1,0)</f>
        <v>#NAME?</v>
      </c>
      <c r="BF135" s="80" t="e">
        <f aca="false">(BC135+BD135-2*BB135)/($P$8*$D135)^2</f>
        <v>#NAME?</v>
      </c>
      <c r="BG135" s="48" t="e">
        <f aca="false">+BF135/$D$9</f>
        <v>#NAME?</v>
      </c>
      <c r="BI135" s="79"/>
    </row>
    <row r="136" customFormat="false" ht="11.25" hidden="false" customHeight="false" outlineLevel="0" collapsed="false">
      <c r="D136" s="78" t="n">
        <f aca="true">+D135-LTFactor*(ROUNDUP(MAX(StrikeRange),1)-ROUNDDOWN(MIN(StrikeRange),1))/100</f>
        <v>0.69</v>
      </c>
      <c r="E136" s="64" t="n">
        <f aca="false">+D136/UnderlyingPrice-1</f>
        <v>-0.857585139318885</v>
      </c>
      <c r="F136" s="64" t="n">
        <f aca="false">+D136*(1+$P$8)/UnderlyingPrice-1</f>
        <v>-0.857513931888545</v>
      </c>
      <c r="G136" s="64" t="n">
        <f aca="false">+D136*(1-$P$8)/UnderlyingPrice-1</f>
        <v>-0.857656346749226</v>
      </c>
      <c r="H136" s="64" t="n">
        <f aca="true">OFFSET(VolSkewCoef,0,impvol_order-2)+OFFSET(VolSkewCoef,1,impvol_order-2)*F136+OFFSET(VolSkewCoef,2,impvol_order-2)*F136^2+IF(impvol_order&gt;2,OFFSET(VolSkewCoef,3,impvol_order-2)*F136^3,0)+IF(impvol_order&gt;3,OFFSET(VolSkewCoef,4,impvol_order-2)*F136^4,0)+IF(impvol_order&gt;4,OFFSET(VolSkewCoef,5,impvol_order-2)*F136^5,0)</f>
        <v>0.721923430443182</v>
      </c>
      <c r="I136" s="64" t="n">
        <f aca="true">OFFSET(VolSkewCoef,0,impvol_order-2)+OFFSET(VolSkewCoef,1,impvol_order-2)*E136+OFFSET(VolSkewCoef,2,impvol_order-2)*E136^2+IF(impvol_order&gt;2,OFFSET(VolSkewCoef,3,impvol_order-2)*E136^3,0)+IF(impvol_order&gt;3,OFFSET(VolSkewCoef,4,impvol_order-2)*E136^4,0)+IF(impvol_order&gt;4,OFFSET(VolSkewCoef,5,impvol_order-2)*E136^5,0)</f>
        <v>0.721969862306747</v>
      </c>
      <c r="J136" s="64" t="n">
        <f aca="true">OFFSET(VolSkewCoef,0,impvol_order-2)+OFFSET(VolSkewCoef,1,impvol_order-2)*G136+OFFSET(VolSkewCoef,2,impvol_order-2)*G136^2+IF(impvol_order&gt;2,OFFSET(VolSkewCoef,3,impvol_order-2)*G136^3,0)+IF(impvol_order&gt;3,OFFSET(VolSkewCoef,4,impvol_order-2)*G136^4,0)+IF(impvol_order&gt;4,OFFSET(VolSkewCoef,5,impvol_order-2)*G136^5,0)</f>
        <v>0.722016300527827</v>
      </c>
      <c r="L136" s="79"/>
      <c r="M136" s="79"/>
      <c r="O136" s="79"/>
      <c r="P136" s="79"/>
      <c r="R136" s="80" t="n">
        <f aca="false">(1/($D136*SQRT(2*PI()*T/365.25*$I$114^2)))</f>
        <v>1.70257636876786</v>
      </c>
      <c r="S136" s="80" t="n">
        <f aca="false">LN($D136/UnderlyingPrice)+0.5*T/365.25*$I$114^2</f>
        <v>-1.89135038052726</v>
      </c>
      <c r="T136" s="80" t="n">
        <f aca="false">-(S136^2)</f>
        <v>-3.57720626192059</v>
      </c>
      <c r="U136" s="80" t="n">
        <f aca="false">T136/(2*T/365.25*$I$114^2)</f>
        <v>-15.5097657639316</v>
      </c>
      <c r="V136" s="80"/>
      <c r="W136" s="100" t="e">
        <f aca="false">(Alpha1*R136)*EXP(Gamma2^2*U136)</f>
        <v>#NAME?</v>
      </c>
      <c r="Z136" s="80" t="n">
        <f aca="false">(1/(D136*SQRT(2*PI()*T/365.25*ATMImpVol^2)))</f>
        <v>1.76295844263403</v>
      </c>
      <c r="AA136" s="80" t="n">
        <f aca="false">LN(D136/UnderlyingPrice)+0.5*T/365.25*ATMImpVol^2</f>
        <v>-1.89523253572112</v>
      </c>
      <c r="AB136" s="80" t="n">
        <f aca="false">-(AA136^2)</f>
        <v>-3.59190636445592</v>
      </c>
      <c r="AC136" s="80" t="n">
        <f aca="false">AB136/(2*T/365.25*ATMImpVol^2)</f>
        <v>-16.6977214120499</v>
      </c>
      <c r="AD136" s="82" t="n">
        <f aca="false">EXP(AC136)</f>
        <v>5.6010794153202E-008</v>
      </c>
      <c r="AE136" s="82" t="n">
        <f aca="false">AD136*Z136</f>
        <v>9.87447024310243E-008</v>
      </c>
      <c r="AF136" s="82"/>
      <c r="AG136" s="101" t="n">
        <f aca="false">AG135-LTFactor*(MaxStandard-MinStandard)/100</f>
        <v>-2.85359846803026</v>
      </c>
      <c r="AH136" s="83" t="n">
        <f aca="false">(LN(($D136*(1+$P$8))/UnderlyingPrice)+0.5*ATMImpVol^2*(T/365.25))/(ATMImpVol*SQRT(T/365.25))</f>
        <v>-5.7773548262408</v>
      </c>
      <c r="AI136" s="83" t="n">
        <f aca="false">(LN($D136*(1-$P$8)/UnderlyingPrice)+0.5*ATMImpVol^2*(T/365.25))/(ATMImpVol*SQRT(T/365.25))</f>
        <v>-5.78040399271562</v>
      </c>
      <c r="AJ136" s="81"/>
      <c r="AK136" s="83" t="e">
        <f aca="false">W136/(AH136-AI136)*(D136*2*$P$8)</f>
        <v>#NAME?</v>
      </c>
      <c r="AL136" s="81"/>
      <c r="AM136" s="84"/>
      <c r="AN136" s="85"/>
      <c r="AX136" s="87" t="n">
        <f aca="true">OFFSET(ENAVolCoef,0,impvol_order-2)+OFFSET(ENAVolCoef,1,impvol_order-2)*E136+OFFSET(ENAVolCoef,2,impvol_order-2)*E136^2+IF(impvol_order&gt;2,OFFSET(ENAVolCoef,3,impvol_order-2)*E136^3,0)+IF(impvol_order&gt;3,OFFSET(ENAVolCoef,4,impvol_order-2)*E136^4,0)+IF(impvol_order&gt;4,OFFSET(ENAVolCoef,5,impvol_order-2)*E136^5,0)</f>
        <v>0.641044738389455</v>
      </c>
      <c r="AY136" s="87" t="n">
        <f aca="true">OFFSET(ENAVolCoef,0,impvol_order-2)+OFFSET(ENAVolCoef,1,impvol_order-2)*F136+OFFSET(ENAVolCoef,2,impvol_order-2)*F136^2+IF(impvol_order&gt;2,OFFSET(ENAVolCoef,3,impvol_order-2)*F136^3,0)+IF(impvol_order&gt;3,OFFSET(ENAVolCoef,4,impvol_order-2)*F136^4,0)+IF(impvol_order&gt;4,OFFSET(ENAVolCoef,5,impvol_order-2)*F136^5,0)</f>
        <v>0.641011822506435</v>
      </c>
      <c r="AZ136" s="87" t="n">
        <f aca="true">OFFSET(ENAVolCoef,0,impvol_order-2)+OFFSET(ENAVolCoef,1,impvol_order-2)*G136+OFFSET(ENAVolCoef,2,impvol_order-2)*G136^2+IF(impvol_order&gt;2,OFFSET(ENAVolCoef,3,impvol_order-2)*G136^3,0)+IF(impvol_order&gt;3,OFFSET(ENAVolCoef,4,impvol_order-2)*G136^4,0)+IF(impvol_order&gt;4,OFFSET(ENAVolCoef,5,impvol_order-2)*G136^5,0)</f>
        <v>0.641077658573918</v>
      </c>
      <c r="BB136" s="48" t="e">
        <f aca="false">EURO(UnderlyingPrice,$D136,IntRate,Yield,AX136,$D$6,1,0)</f>
        <v>#NAME?</v>
      </c>
      <c r="BC136" s="48" t="e">
        <f aca="false">EURO(UnderlyingPrice,$D136*(1+$P$8),IntRate,Yield,AY136,$D$6,1,0)</f>
        <v>#NAME?</v>
      </c>
      <c r="BD136" s="48" t="e">
        <f aca="false">EURO(UnderlyingPrice,$D136*(1-$P$8),IntRate,Yield,AZ136,$D$6,1,0)</f>
        <v>#NAME?</v>
      </c>
      <c r="BF136" s="80" t="e">
        <f aca="false">(BC136+BD136-2*BB136)/($P$8*$D136)^2</f>
        <v>#NAME?</v>
      </c>
      <c r="BG136" s="48" t="e">
        <f aca="false">+BF136/$D$9</f>
        <v>#NAME?</v>
      </c>
      <c r="BI136" s="79"/>
    </row>
    <row r="137" customFormat="false" ht="11.25" hidden="false" customHeight="false" outlineLevel="0" collapsed="false">
      <c r="D137" s="78" t="n">
        <f aca="true">+D136-LTFactor*(ROUNDUP(MAX(StrikeRange),1)-ROUNDDOWN(MIN(StrikeRange),1))/100</f>
        <v>0.585</v>
      </c>
      <c r="E137" s="64" t="n">
        <f aca="false">+D137/UnderlyingPrice-1</f>
        <v>-0.879256965944272</v>
      </c>
      <c r="F137" s="64" t="n">
        <f aca="false">+D137*(1+$P$8)/UnderlyingPrice-1</f>
        <v>-0.879196594427245</v>
      </c>
      <c r="G137" s="64" t="n">
        <f aca="false">+D137*(1-$P$8)/UnderlyingPrice-1</f>
        <v>-0.8793173374613</v>
      </c>
      <c r="H137" s="64" t="n">
        <f aca="true">OFFSET(VolSkewCoef,0,impvol_order-2)+OFFSET(VolSkewCoef,1,impvol_order-2)*F137+OFFSET(VolSkewCoef,2,impvol_order-2)*F137^2+IF(impvol_order&gt;2,OFFSET(VolSkewCoef,3,impvol_order-2)*F137^3,0)+IF(impvol_order&gt;3,OFFSET(VolSkewCoef,4,impvol_order-2)*F137^4,0)+IF(impvol_order&gt;4,OFFSET(VolSkewCoef,5,impvol_order-2)*F137^5,0)</f>
        <v>0.736357402053278</v>
      </c>
      <c r="I137" s="64" t="n">
        <f aca="true">OFFSET(VolSkewCoef,0,impvol_order-2)+OFFSET(VolSkewCoef,1,impvol_order-2)*E137+OFFSET(VolSkewCoef,2,impvol_order-2)*E137^2+IF(impvol_order&gt;2,OFFSET(VolSkewCoef,3,impvol_order-2)*E137^3,0)+IF(impvol_order&gt;3,OFFSET(VolSkewCoef,4,impvol_order-2)*E137^4,0)+IF(impvol_order&gt;4,OFFSET(VolSkewCoef,5,impvol_order-2)*E137^5,0)</f>
        <v>0.73639842336646</v>
      </c>
      <c r="J137" s="64" t="n">
        <f aca="true">OFFSET(VolSkewCoef,0,impvol_order-2)+OFFSET(VolSkewCoef,1,impvol_order-2)*G137+OFFSET(VolSkewCoef,2,impvol_order-2)*G137^2+IF(impvol_order&gt;2,OFFSET(VolSkewCoef,3,impvol_order-2)*G137^3,0)+IF(impvol_order&gt;3,OFFSET(VolSkewCoef,4,impvol_order-2)*G137^4,0)+IF(impvol_order&gt;4,OFFSET(VolSkewCoef,5,impvol_order-2)*G137^5,0)</f>
        <v>0.73643944932939</v>
      </c>
      <c r="L137" s="79"/>
      <c r="M137" s="79"/>
      <c r="O137" s="79"/>
      <c r="P137" s="79"/>
      <c r="R137" s="80" t="n">
        <f aca="false">(1/($D137*SQRT(2*PI()*T/365.25*$I$114^2)))</f>
        <v>2.00816699905952</v>
      </c>
      <c r="S137" s="80" t="n">
        <f aca="false">LN($D137/UnderlyingPrice)+0.5*T/365.25*$I$114^2</f>
        <v>-2.0564301308867</v>
      </c>
      <c r="T137" s="80" t="n">
        <f aca="false">-(S137^2)</f>
        <v>-4.22890488321871</v>
      </c>
      <c r="U137" s="80" t="n">
        <f aca="false">T137/(2*T/365.25*$I$114^2)</f>
        <v>-18.335348697912</v>
      </c>
      <c r="V137" s="80"/>
      <c r="W137" s="100" t="e">
        <f aca="false">(Alpha1*R137)*EXP(Gamma2^2*U137)</f>
        <v>#NAME?</v>
      </c>
      <c r="Z137" s="80" t="n">
        <f aca="false">(1/(D137*SQRT(2*PI()*T/365.25*ATMImpVol^2)))</f>
        <v>2.07938688105552</v>
      </c>
      <c r="AA137" s="80" t="n">
        <f aca="false">LN(D137/UnderlyingPrice)+0.5*T/365.25*ATMImpVol^2</f>
        <v>-2.06031228608057</v>
      </c>
      <c r="AB137" s="80" t="n">
        <f aca="false">-(AA137^2)</f>
        <v>-4.24488671617455</v>
      </c>
      <c r="AC137" s="80" t="n">
        <f aca="false">AB137/(2*T/365.25*ATMImpVol^2)</f>
        <v>-19.7332359534185</v>
      </c>
      <c r="AD137" s="82" t="n">
        <f aca="false">EXP(AC137)</f>
        <v>2.69131489713152E-009</v>
      </c>
      <c r="AE137" s="82" t="n">
        <f aca="false">AD137*Z137</f>
        <v>5.59628488988457E-009</v>
      </c>
      <c r="AF137" s="82"/>
      <c r="AG137" s="101" t="n">
        <f aca="false">AG136-LTFactor*(MaxStandard-MinStandard)/100</f>
        <v>-2.92432600271239</v>
      </c>
      <c r="AH137" s="83" t="n">
        <f aca="false">(LN(($D137*(1+$P$8))/UnderlyingPrice)+0.5*ATMImpVol^2*(T/365.25))/(ATMImpVol*SQRT(T/365.25))</f>
        <v>-6.2807104247619</v>
      </c>
      <c r="AI137" s="83" t="n">
        <f aca="false">(LN($D137*(1-$P$8)/UnderlyingPrice)+0.5*ATMImpVol^2*(T/365.25))/(ATMImpVol*SQRT(T/365.25))</f>
        <v>-6.28375959123672</v>
      </c>
      <c r="AJ137" s="81"/>
      <c r="AK137" s="83" t="e">
        <f aca="false">W137/(AH137-AI137)*(D137*2*$P$8)</f>
        <v>#NAME?</v>
      </c>
      <c r="AL137" s="81"/>
      <c r="AM137" s="84"/>
      <c r="AN137" s="85"/>
      <c r="AX137" s="87" t="n">
        <f aca="true">OFFSET(ENAVolCoef,0,impvol_order-2)+OFFSET(ENAVolCoef,1,impvol_order-2)*E137+OFFSET(ENAVolCoef,2,impvol_order-2)*E137^2+IF(impvol_order&gt;2,OFFSET(ENAVolCoef,3,impvol_order-2)*E137^3,0)+IF(impvol_order&gt;3,OFFSET(ENAVolCoef,4,impvol_order-2)*E137^4,0)+IF(impvol_order&gt;4,OFFSET(ENAVolCoef,5,impvol_order-2)*E137^5,0)</f>
        <v>0.651263534219312</v>
      </c>
      <c r="AY137" s="87" t="n">
        <f aca="true">OFFSET(ENAVolCoef,0,impvol_order-2)+OFFSET(ENAVolCoef,1,impvol_order-2)*F137+OFFSET(ENAVolCoef,2,impvol_order-2)*F137^2+IF(impvol_order&gt;2,OFFSET(ENAVolCoef,3,impvol_order-2)*F137^3,0)+IF(impvol_order&gt;3,OFFSET(ENAVolCoef,4,impvol_order-2)*F137^4,0)+IF(impvol_order&gt;4,OFFSET(ENAVolCoef,5,impvol_order-2)*F137^5,0)</f>
        <v>0.651234508347755</v>
      </c>
      <c r="AZ137" s="87" t="n">
        <f aca="true">OFFSET(ENAVolCoef,0,impvol_order-2)+OFFSET(ENAVolCoef,1,impvol_order-2)*G137+OFFSET(ENAVolCoef,2,impvol_order-2)*G137^2+IF(impvol_order&gt;2,OFFSET(ENAVolCoef,3,impvol_order-2)*G137^3,0)+IF(impvol_order&gt;3,OFFSET(ENAVolCoef,4,impvol_order-2)*G137^4,0)+IF(impvol_order&gt;4,OFFSET(ENAVolCoef,5,impvol_order-2)*G137^5,0)</f>
        <v>0.651292563231565</v>
      </c>
      <c r="BB137" s="48" t="e">
        <f aca="false">EURO(UnderlyingPrice,$D137,IntRate,Yield,AX137,$D$6,1,0)</f>
        <v>#NAME?</v>
      </c>
      <c r="BC137" s="48" t="e">
        <f aca="false">EURO(UnderlyingPrice,$D137*(1+$P$8),IntRate,Yield,AY137,$D$6,1,0)</f>
        <v>#NAME?</v>
      </c>
      <c r="BD137" s="48" t="e">
        <f aca="false">EURO(UnderlyingPrice,$D137*(1-$P$8),IntRate,Yield,AZ137,$D$6,1,0)</f>
        <v>#NAME?</v>
      </c>
      <c r="BF137" s="80" t="e">
        <f aca="false">(BC137+BD137-2*BB137)/($P$8*$D137)^2</f>
        <v>#NAME?</v>
      </c>
      <c r="BG137" s="48" t="e">
        <f aca="false">+BF137/$D$9</f>
        <v>#NAME?</v>
      </c>
      <c r="BI137" s="79"/>
    </row>
    <row r="138" customFormat="false" ht="11.25" hidden="false" customHeight="false" outlineLevel="0" collapsed="false">
      <c r="D138" s="78" t="n">
        <f aca="true">+D137-LTFactor*(ROUNDUP(MAX(StrikeRange),1)-ROUNDDOWN(MIN(StrikeRange),1))/100</f>
        <v>0.48</v>
      </c>
      <c r="E138" s="64" t="n">
        <f aca="false">+D138/UnderlyingPrice-1</f>
        <v>-0.900928792569659</v>
      </c>
      <c r="F138" s="64" t="n">
        <f aca="false">+D138*(1+$P$8)/UnderlyingPrice-1</f>
        <v>-0.900879256965944</v>
      </c>
      <c r="G138" s="64" t="n">
        <f aca="false">+D138*(1-$P$8)/UnderlyingPrice-1</f>
        <v>-0.900978328173375</v>
      </c>
      <c r="H138" s="64" t="n">
        <f aca="true">OFFSET(VolSkewCoef,0,impvol_order-2)+OFFSET(VolSkewCoef,1,impvol_order-2)*F138+OFFSET(VolSkewCoef,2,impvol_order-2)*F138^2+IF(impvol_order&gt;2,OFFSET(VolSkewCoef,3,impvol_order-2)*F138^3,0)+IF(impvol_order&gt;3,OFFSET(VolSkewCoef,4,impvol_order-2)*F138^4,0)+IF(impvol_order&gt;4,OFFSET(VolSkewCoef,5,impvol_order-2)*F138^5,0)</f>
        <v>0.751391122895606</v>
      </c>
      <c r="I138" s="64" t="n">
        <f aca="true">OFFSET(VolSkewCoef,0,impvol_order-2)+OFFSET(VolSkewCoef,1,impvol_order-2)*E138+OFFSET(VolSkewCoef,2,impvol_order-2)*E138^2+IF(impvol_order&gt;2,OFFSET(VolSkewCoef,3,impvol_order-2)*E138^3,0)+IF(impvol_order&gt;3,OFFSET(VolSkewCoef,4,impvol_order-2)*E138^4,0)+IF(impvol_order&gt;4,OFFSET(VolSkewCoef,5,impvol_order-2)*E138^5,0)</f>
        <v>0.751426163043874</v>
      </c>
      <c r="J138" s="64" t="n">
        <f aca="true">OFFSET(VolSkewCoef,0,impvol_order-2)+OFFSET(VolSkewCoef,1,impvol_order-2)*G138+OFFSET(VolSkewCoef,2,impvol_order-2)*G138^2+IF(impvol_order&gt;2,OFFSET(VolSkewCoef,3,impvol_order-2)*G138^3,0)+IF(impvol_order&gt;3,OFFSET(VolSkewCoef,4,impvol_order-2)*G138^4,0)+IF(impvol_order&gt;4,OFFSET(VolSkewCoef,5,impvol_order-2)*G138^5,0)</f>
        <v>0.751461206376342</v>
      </c>
      <c r="L138" s="79"/>
      <c r="M138" s="79"/>
      <c r="O138" s="79"/>
      <c r="P138" s="79"/>
      <c r="R138" s="80" t="n">
        <f aca="false">(1/($D138*SQRT(2*PI()*T/365.25*$I$114^2)))</f>
        <v>2.44745353010379</v>
      </c>
      <c r="S138" s="80" t="n">
        <f aca="false">LN($D138/UnderlyingPrice)+0.5*T/365.25*$I$114^2</f>
        <v>-2.25425587421662</v>
      </c>
      <c r="T138" s="80" t="n">
        <f aca="false">-(S138^2)</f>
        <v>-5.08166954644015</v>
      </c>
      <c r="U138" s="80" t="n">
        <f aca="false">T138/(2*T/365.25*$I$114^2)</f>
        <v>-22.032697749074</v>
      </c>
      <c r="V138" s="80"/>
      <c r="W138" s="100" t="e">
        <f aca="false">(Alpha1*R138)*EXP(Gamma2^2*U138)</f>
        <v>#NAME?</v>
      </c>
      <c r="Z138" s="80" t="n">
        <f aca="false">(1/(D138*SQRT(2*PI()*T/365.25*ATMImpVol^2)))</f>
        <v>2.53425276128642</v>
      </c>
      <c r="AA138" s="80" t="n">
        <f aca="false">LN(D138/UnderlyingPrice)+0.5*T/365.25*ATMImpVol^2</f>
        <v>-2.25813802941049</v>
      </c>
      <c r="AB138" s="80" t="n">
        <f aca="false">-(AA138^2)</f>
        <v>-5.0991873598699</v>
      </c>
      <c r="AC138" s="80" t="n">
        <f aca="false">AB138/(2*T/365.25*ATMImpVol^2)</f>
        <v>-23.7046296099234</v>
      </c>
      <c r="AD138" s="82" t="n">
        <f aca="false">EXP(AC138)</f>
        <v>5.07236111833906E-011</v>
      </c>
      <c r="AE138" s="82" t="n">
        <f aca="false">AD138*Z138</f>
        <v>1.28546451703926E-010</v>
      </c>
      <c r="AF138" s="82"/>
      <c r="AG138" s="101" t="n">
        <f aca="false">AG137-LTFactor*(MaxStandard-MinStandard)/100</f>
        <v>-2.99505353739453</v>
      </c>
      <c r="AH138" s="83" t="n">
        <f aca="false">(LN(($D138*(1+$P$8))/UnderlyingPrice)+0.5*ATMImpVol^2*(T/365.25))/(ATMImpVol*SQRT(T/365.25))</f>
        <v>-6.88391399891253</v>
      </c>
      <c r="AI138" s="83" t="n">
        <f aca="false">(LN($D138*(1-$P$8)/UnderlyingPrice)+0.5*ATMImpVol^2*(T/365.25))/(ATMImpVol*SQRT(T/365.25))</f>
        <v>-6.88696316538735</v>
      </c>
      <c r="AJ138" s="81"/>
      <c r="AK138" s="83" t="e">
        <f aca="false">W138/(AH138-AI138)*(D138*2*$P$8)</f>
        <v>#NAME?</v>
      </c>
      <c r="AL138" s="81"/>
      <c r="AM138" s="84"/>
      <c r="AX138" s="87" t="n">
        <f aca="true">OFFSET(ENAVolCoef,0,impvol_order-2)+OFFSET(ENAVolCoef,1,impvol_order-2)*E138+OFFSET(ENAVolCoef,2,impvol_order-2)*E138^2+IF(impvol_order&gt;2,OFFSET(ENAVolCoef,3,impvol_order-2)*E138^3,0)+IF(impvol_order&gt;3,OFFSET(ENAVolCoef,4,impvol_order-2)*E138^4,0)+IF(impvol_order&gt;4,OFFSET(ENAVolCoef,5,impvol_order-2)*E138^5,0)</f>
        <v>0.661887048433648</v>
      </c>
      <c r="AY138" s="87" t="n">
        <f aca="true">OFFSET(ENAVolCoef,0,impvol_order-2)+OFFSET(ENAVolCoef,1,impvol_order-2)*F138+OFFSET(ENAVolCoef,2,impvol_order-2)*F138^2+IF(impvol_order&gt;2,OFFSET(ENAVolCoef,3,impvol_order-2)*F138^3,0)+IF(impvol_order&gt;3,OFFSET(ENAVolCoef,4,impvol_order-2)*F138^4,0)+IF(impvol_order&gt;4,OFFSET(ENAVolCoef,5,impvol_order-2)*F138^5,0)</f>
        <v>0.661862299864386</v>
      </c>
      <c r="AZ138" s="87" t="n">
        <f aca="true">OFFSET(ENAVolCoef,0,impvol_order-2)+OFFSET(ENAVolCoef,1,impvol_order-2)*G138+OFFSET(ENAVolCoef,2,impvol_order-2)*G138^2+IF(impvol_order&gt;2,OFFSET(ENAVolCoef,3,impvol_order-2)*G138^3,0)+IF(impvol_order&gt;3,OFFSET(ENAVolCoef,4,impvol_order-2)*G138^4,0)+IF(impvol_order&gt;4,OFFSET(ENAVolCoef,5,impvol_order-2)*G138^5,0)</f>
        <v>0.661911799150198</v>
      </c>
      <c r="BB138" s="48" t="e">
        <f aca="false">EURO(UnderlyingPrice,$D138,IntRate,Yield,AX138,$D$6,1,0)</f>
        <v>#NAME?</v>
      </c>
      <c r="BC138" s="48" t="e">
        <f aca="false">EURO(UnderlyingPrice,$D138*(1+$P$8),IntRate,Yield,AY138,$D$6,1,0)</f>
        <v>#NAME?</v>
      </c>
      <c r="BD138" s="48" t="e">
        <f aca="false">EURO(UnderlyingPrice,$D138*(1-$P$8),IntRate,Yield,AZ138,$D$6,1,0)</f>
        <v>#NAME?</v>
      </c>
      <c r="BF138" s="80" t="e">
        <f aca="false">(BC138+BD138-2*BB138)/($P$8*$D138)^2</f>
        <v>#NAME?</v>
      </c>
      <c r="BG138" s="48" t="e">
        <f aca="false">+BF138/$D$9</f>
        <v>#NAME?</v>
      </c>
      <c r="BI138" s="79"/>
    </row>
    <row r="139" customFormat="false" ht="11.25" hidden="false" customHeight="false" outlineLevel="0" collapsed="false">
      <c r="D139" s="78" t="n">
        <f aca="true">+D138-LTFactor*(ROUNDUP(MAX(StrikeRange),1)-ROUNDDOWN(MIN(StrikeRange),1))/100</f>
        <v>0.375</v>
      </c>
      <c r="E139" s="64" t="n">
        <f aca="false">+D139/UnderlyingPrice-1</f>
        <v>-0.922600619195046</v>
      </c>
      <c r="F139" s="64" t="n">
        <f aca="false">+D139*(1+$P$8)/UnderlyingPrice-1</f>
        <v>-0.922561919504644</v>
      </c>
      <c r="G139" s="64" t="n">
        <f aca="false">+D139*(1-$P$8)/UnderlyingPrice-1</f>
        <v>-0.922639318885449</v>
      </c>
      <c r="H139" s="64" t="n">
        <f aca="true">OFFSET(VolSkewCoef,0,impvol_order-2)+OFFSET(VolSkewCoef,1,impvol_order-2)*F139+OFFSET(VolSkewCoef,2,impvol_order-2)*F139^2+IF(impvol_order&gt;2,OFFSET(VolSkewCoef,3,impvol_order-2)*F139^3,0)+IF(impvol_order&gt;3,OFFSET(VolSkewCoef,4,impvol_order-2)*F139^4,0)+IF(impvol_order&gt;4,OFFSET(VolSkewCoef,5,impvol_order-2)*F139^5,0)</f>
        <v>0.7670349056708</v>
      </c>
      <c r="I139" s="64" t="n">
        <f aca="true">OFFSET(VolSkewCoef,0,impvol_order-2)+OFFSET(VolSkewCoef,1,impvol_order-2)*E139+OFFSET(VolSkewCoef,2,impvol_order-2)*E139^2+IF(impvol_order&gt;2,OFFSET(VolSkewCoef,3,impvol_order-2)*E139^3,0)+IF(impvol_order&gt;3,OFFSET(VolSkewCoef,4,impvol_order-2)*E139^4,0)+IF(impvol_order&gt;4,OFFSET(VolSkewCoef,5,impvol_order-2)*E139^5,0)</f>
        <v>0.767063378586026</v>
      </c>
      <c r="J139" s="64" t="n">
        <f aca="true">OFFSET(VolSkewCoef,0,impvol_order-2)+OFFSET(VolSkewCoef,1,impvol_order-2)*G139+OFFSET(VolSkewCoef,2,impvol_order-2)*G139^2+IF(impvol_order&gt;2,OFFSET(VolSkewCoef,3,impvol_order-2)*G139^3,0)+IF(impvol_order&gt;3,OFFSET(VolSkewCoef,4,impvol_order-2)*G139^4,0)+IF(impvol_order&gt;4,OFFSET(VolSkewCoef,5,impvol_order-2)*G139^5,0)</f>
        <v>0.76709185347757</v>
      </c>
      <c r="L139" s="79"/>
      <c r="M139" s="79"/>
      <c r="O139" s="79"/>
      <c r="P139" s="79"/>
      <c r="R139" s="80" t="n">
        <f aca="false">(1/($D139*SQRT(2*PI()*T/365.25*$I$114^2)))</f>
        <v>3.13274051853285</v>
      </c>
      <c r="S139" s="80" t="n">
        <f aca="false">LN($D139/UnderlyingPrice)+0.5*T/365.25*$I$114^2</f>
        <v>-2.50111595214815</v>
      </c>
      <c r="T139" s="80" t="n">
        <f aca="false">-(S139^2)</f>
        <v>-6.25558100608994</v>
      </c>
      <c r="U139" s="80" t="n">
        <f aca="false">T139/(2*T/365.25*$I$114^2)</f>
        <v>-27.1224494809151</v>
      </c>
      <c r="V139" s="80"/>
      <c r="W139" s="100" t="e">
        <f aca="false">(Alpha1*R139)*EXP(Gamma2^2*U139)</f>
        <v>#NAME?</v>
      </c>
      <c r="Z139" s="80" t="n">
        <f aca="false">(1/(D139*SQRT(2*PI()*T/365.25*ATMImpVol^2)))</f>
        <v>3.24384353444661</v>
      </c>
      <c r="AA139" s="80" t="n">
        <f aca="false">LN(D139/UnderlyingPrice)+0.5*T/365.25*ATMImpVol^2</f>
        <v>-2.50499810734202</v>
      </c>
      <c r="AB139" s="80" t="n">
        <f aca="false">-(AA139^2)</f>
        <v>-6.27501551778709</v>
      </c>
      <c r="AC139" s="80" t="n">
        <f aca="false">AB139/(2*T/365.25*ATMImpVol^2)</f>
        <v>-29.1707105756278</v>
      </c>
      <c r="AD139" s="82" t="n">
        <f aca="false">EXP(AC139)</f>
        <v>2.14447685736712E-013</v>
      </c>
      <c r="AE139" s="82" t="n">
        <f aca="false">AD139*Z139</f>
        <v>6.95634738854072E-013</v>
      </c>
      <c r="AF139" s="82"/>
      <c r="AG139" s="101" t="n">
        <f aca="false">AG138-LTFactor*(MaxStandard-MinStandard)/100</f>
        <v>-3.06578107207667</v>
      </c>
      <c r="AH139" s="83" t="n">
        <f aca="false">(LN(($D139*(1+$P$8))/UnderlyingPrice)+0.5*ATMImpVol^2*(T/365.25))/(ATMImpVol*SQRT(T/365.25))</f>
        <v>-7.63663140978591</v>
      </c>
      <c r="AI139" s="83" t="n">
        <f aca="false">(LN($D139*(1-$P$8)/UnderlyingPrice)+0.5*ATMImpVol^2*(T/365.25))/(ATMImpVol*SQRT(T/365.25))</f>
        <v>-7.63968057626073</v>
      </c>
      <c r="AJ139" s="81"/>
      <c r="AK139" s="83" t="e">
        <f aca="false">W139/(AH139-AI139)*(D139*2*$P$8)</f>
        <v>#NAME?</v>
      </c>
      <c r="AL139" s="81"/>
      <c r="AM139" s="84"/>
      <c r="AX139" s="87" t="n">
        <f aca="true">OFFSET(ENAVolCoef,0,impvol_order-2)+OFFSET(ENAVolCoef,1,impvol_order-2)*E139+OFFSET(ENAVolCoef,2,impvol_order-2)*E139^2+IF(impvol_order&gt;2,OFFSET(ENAVolCoef,3,impvol_order-2)*E139^3,0)+IF(impvol_order&gt;3,OFFSET(ENAVolCoef,4,impvol_order-2)*E139^4,0)+IF(impvol_order&gt;4,OFFSET(ENAVolCoef,5,impvol_order-2)*E139^5,0)</f>
        <v>0.672921567110617</v>
      </c>
      <c r="AY139" s="87" t="n">
        <f aca="true">OFFSET(ENAVolCoef,0,impvol_order-2)+OFFSET(ENAVolCoef,1,impvol_order-2)*F139+OFFSET(ENAVolCoef,2,impvol_order-2)*F139^2+IF(impvol_order&gt;2,OFFSET(ENAVolCoef,3,impvol_order-2)*F139^3,0)+IF(impvol_order&gt;3,OFFSET(ENAVolCoef,4,impvol_order-2)*F139^4,0)+IF(impvol_order&gt;4,OFFSET(ENAVolCoef,5,impvol_order-2)*F139^5,0)</f>
        <v>0.672901492568313</v>
      </c>
      <c r="AZ139" s="87" t="n">
        <f aca="true">OFFSET(ENAVolCoef,0,impvol_order-2)+OFFSET(ENAVolCoef,1,impvol_order-2)*G139+OFFSET(ENAVolCoef,2,impvol_order-2)*G139^2+IF(impvol_order&gt;2,OFFSET(ENAVolCoef,3,impvol_order-2)*G139^3,0)+IF(impvol_order&gt;3,OFFSET(ENAVolCoef,4,impvol_order-2)*G139^4,0)+IF(impvol_order&gt;4,OFFSET(ENAVolCoef,5,impvol_order-2)*G139^5,0)</f>
        <v>0.672941642983567</v>
      </c>
      <c r="BB139" s="48" t="e">
        <f aca="false">EURO(UnderlyingPrice,$D139,IntRate,Yield,AX139,$D$6,1,0)</f>
        <v>#NAME?</v>
      </c>
      <c r="BC139" s="48" t="e">
        <f aca="false">EURO(UnderlyingPrice,$D139*(1+$P$8),IntRate,Yield,AY139,$D$6,1,0)</f>
        <v>#NAME?</v>
      </c>
      <c r="BD139" s="48" t="e">
        <f aca="false">EURO(UnderlyingPrice,$D139*(1-$P$8),IntRate,Yield,AZ139,$D$6,1,0)</f>
        <v>#NAME?</v>
      </c>
      <c r="BF139" s="80" t="e">
        <f aca="false">(BC139+BD139-2*BB139)/($P$8*$D139)^2</f>
        <v>#NAME?</v>
      </c>
      <c r="BG139" s="48" t="e">
        <f aca="false">+BF139/$D$9</f>
        <v>#NAME?</v>
      </c>
      <c r="BI139" s="79"/>
    </row>
    <row r="140" customFormat="false" ht="11.25" hidden="false" customHeight="false" outlineLevel="0" collapsed="false">
      <c r="C140" s="99" t="s">
        <v>119</v>
      </c>
      <c r="D140" s="78" t="n">
        <f aca="false">MaxStrike</f>
        <v>6.50000000000001</v>
      </c>
      <c r="E140" s="64" t="n">
        <f aca="false">+D140/UnderlyingPrice-1</f>
        <v>0.341589267285865</v>
      </c>
      <c r="F140" s="64" t="n">
        <f aca="false">+D140*(1+$P$8)/UnderlyingPrice-1</f>
        <v>0.342260061919508</v>
      </c>
      <c r="G140" s="64" t="n">
        <f aca="false">+D140*(1-$P$8)/UnderlyingPrice-1</f>
        <v>0.340918472652222</v>
      </c>
      <c r="H140" s="64" t="n">
        <f aca="true">OFFSET(VolSkewCoef,0,impvol_order-2)+OFFSET(VolSkewCoef,1,impvol_order-2)*F140+OFFSET(VolSkewCoef,2,impvol_order-2)*F140^2+IF(impvol_order&gt;2,OFFSET(VolSkewCoef,3,impvol_order-2)*F140^3,0)+IF(impvol_order&gt;3,OFFSET(VolSkewCoef,4,impvol_order-2)*F140^4,0)+IF(impvol_order&gt;4,OFFSET(VolSkewCoef,5,impvol_order-2)*F140^5,0)</f>
        <v>0.550814865833539</v>
      </c>
      <c r="I140" s="64" t="n">
        <f aca="true">OFFSET(VolSkewCoef,0,impvol_order-2)+OFFSET(VolSkewCoef,1,impvol_order-2)*E140+OFFSET(VolSkewCoef,2,impvol_order-2)*E140^2+IF(impvol_order&gt;2,OFFSET(VolSkewCoef,3,impvol_order-2)*E140^3,0)+IF(impvol_order&gt;3,OFFSET(VolSkewCoef,4,impvol_order-2)*E140^4,0)+IF(impvol_order&gt;4,OFFSET(VolSkewCoef,5,impvol_order-2)*E140^5,0)</f>
        <v>0.550731643613051</v>
      </c>
      <c r="J140" s="64" t="n">
        <f aca="true">OFFSET(VolSkewCoef,0,impvol_order-2)+OFFSET(VolSkewCoef,1,impvol_order-2)*G140+OFFSET(VolSkewCoef,2,impvol_order-2)*G140^2+IF(impvol_order&gt;2,OFFSET(VolSkewCoef,3,impvol_order-2)*G140^3,0)+IF(impvol_order&gt;3,OFFSET(VolSkewCoef,4,impvol_order-2)*G140^4,0)+IF(impvol_order&gt;4,OFFSET(VolSkewCoef,5,impvol_order-2)*G140^5,0)</f>
        <v>0.550648439691667</v>
      </c>
      <c r="L140" s="79"/>
      <c r="M140" s="79"/>
      <c r="O140" s="79"/>
      <c r="P140" s="79"/>
      <c r="R140" s="80" t="n">
        <f aca="false">(1/($D140*SQRT(2*PI()*T/365.25*$I$140^2)))</f>
        <v>0.175668188751685</v>
      </c>
      <c r="S140" s="80" t="n">
        <f aca="false">LN($D140/UnderlyingPrice)+0.5*T/365.25*$I$140^2</f>
        <v>0.354889682361985</v>
      </c>
      <c r="T140" s="80" t="n">
        <f aca="false">-(S140^2)</f>
        <v>-0.12594668664699</v>
      </c>
      <c r="U140" s="80" t="n">
        <f aca="false">T140/(2*T/365.25*$I$140^2)</f>
        <v>-0.515881055422245</v>
      </c>
      <c r="V140" s="80"/>
      <c r="W140" s="100" t="e">
        <f aca="false">(Alpha2*R140)*EXP(Gamma2^2*U140)</f>
        <v>#NAME?</v>
      </c>
      <c r="Z140" s="80" t="n">
        <f aca="false">(1/(D140*SQRT(2*PI()*T/365.25*ATMImpVol^2)))</f>
        <v>0.187144819294997</v>
      </c>
      <c r="AA140" s="80" t="n">
        <f aca="false">LN(D140/UnderlyingPrice)+0.5*T/365.25*ATMImpVol^2</f>
        <v>0.347633322571302</v>
      </c>
      <c r="AB140" s="80" t="n">
        <f aca="false">-(AA140^2)</f>
        <v>-0.120848926961963</v>
      </c>
      <c r="AC140" s="80" t="n">
        <f aca="false">AB140/(2*T/365.25*ATMImpVol^2)</f>
        <v>-0.561791291478081</v>
      </c>
      <c r="AD140" s="82" t="n">
        <f aca="false">EXP(AC140)</f>
        <v>0.570186777800037</v>
      </c>
      <c r="AE140" s="82" t="n">
        <f aca="false">AD140*Z140</f>
        <v>0.106707501495784</v>
      </c>
      <c r="AF140" s="82"/>
      <c r="AG140" s="101" t="n">
        <f aca="false">MaxStandard</f>
        <v>1.05999178438145</v>
      </c>
      <c r="AH140" s="83" t="n">
        <f aca="false">(LN(($D140*(1+$P$8))/UnderlyingPrice)+0.5*ATMImpVol^2*(T/365.25))/(ATMImpVol*SQRT(T/365.25))</f>
        <v>1.06151598647303</v>
      </c>
      <c r="AI140" s="83" t="n">
        <f aca="false">(LN($D140*(1-$P$8)/UnderlyingPrice)+0.5*ATMImpVol^2*(T/365.25))/(ATMImpVol*SQRT(T/365.25))</f>
        <v>1.05846681999821</v>
      </c>
      <c r="AJ140" s="81"/>
      <c r="AK140" s="83" t="e">
        <f aca="false">W140/(AH140-AI140)*(D140*2*$P$8)</f>
        <v>#NAME?</v>
      </c>
      <c r="AL140" s="81"/>
      <c r="AM140" s="84"/>
      <c r="AX140" s="87" t="n">
        <f aca="true">OFFSET(ENAVolCoef,0,impvol_order-2)+OFFSET(ENAVolCoef,1,impvol_order-2)*E140+OFFSET(ENAVolCoef,2,impvol_order-2)*E140^2+IF(impvol_order&gt;2,OFFSET(ENAVolCoef,3,impvol_order-2)*E140^3,0)+IF(impvol_order&gt;3,OFFSET(ENAVolCoef,4,impvol_order-2)*E140^4,0)+IF(impvol_order&gt;4,OFFSET(ENAVolCoef,5,impvol_order-2)*E140^5,0)</f>
        <v>0.519145372486046</v>
      </c>
      <c r="AY140" s="87" t="n">
        <f aca="true">OFFSET(ENAVolCoef,0,impvol_order-2)+OFFSET(ENAVolCoef,1,impvol_order-2)*F140+OFFSET(ENAVolCoef,2,impvol_order-2)*F140^2+IF(impvol_order&gt;2,OFFSET(ENAVolCoef,3,impvol_order-2)*F140^3,0)+IF(impvol_order&gt;3,OFFSET(ENAVolCoef,4,impvol_order-2)*F140^4,0)+IF(impvol_order&gt;4,OFFSET(ENAVolCoef,5,impvol_order-2)*F140^5,0)</f>
        <v>0.519219830003141</v>
      </c>
      <c r="AZ140" s="87" t="n">
        <f aca="true">OFFSET(ENAVolCoef,0,impvol_order-2)+OFFSET(ENAVolCoef,1,impvol_order-2)*G140+OFFSET(ENAVolCoef,2,impvol_order-2)*G140^2+IF(impvol_order&gt;2,OFFSET(ENAVolCoef,3,impvol_order-2)*G140^3,0)+IF(impvol_order&gt;3,OFFSET(ENAVolCoef,4,impvol_order-2)*G140^4,0)+IF(impvol_order&gt;4,OFFSET(ENAVolCoef,5,impvol_order-2)*G140^5,0)</f>
        <v>0.519070963448813</v>
      </c>
      <c r="BB140" s="48" t="e">
        <f aca="false">EURO(UnderlyingPrice,$D140,IntRate,Yield,AX140,$D$6,1,0)</f>
        <v>#NAME?</v>
      </c>
      <c r="BC140" s="48" t="e">
        <f aca="false">EURO(UnderlyingPrice,$D140*(1+$P$8),IntRate,Yield,AY140,$D$6,1,0)</f>
        <v>#NAME?</v>
      </c>
      <c r="BD140" s="48" t="e">
        <f aca="false">EURO(UnderlyingPrice,$D140*(1-$P$8),IntRate,Yield,AZ140,$D$6,1,0)</f>
        <v>#NAME?</v>
      </c>
      <c r="BF140" s="80" t="e">
        <f aca="false">(BC140+BD140-2*BB140)/($P$8*$D140)^2</f>
        <v>#NAME?</v>
      </c>
      <c r="BG140" s="48" t="e">
        <f aca="false">+BF140/$D$9</f>
        <v>#NAME?</v>
      </c>
      <c r="BI140" s="79"/>
    </row>
    <row r="141" customFormat="false" ht="11.25" hidden="false" customHeight="false" outlineLevel="0" collapsed="false">
      <c r="C141" s="77" t="n">
        <v>10</v>
      </c>
      <c r="D141" s="78" t="n">
        <f aca="true">+D140+UTFactor*(ROUNDUP(MAX(StrikeRange),1)-ROUNDDOWN(MIN(StrikeRange),1))/100</f>
        <v>6.85000000000001</v>
      </c>
      <c r="E141" s="64" t="n">
        <f aca="false">+D141/UnderlyingPrice-1</f>
        <v>0.413828689370488</v>
      </c>
      <c r="F141" s="64" t="n">
        <f aca="false">+D141*(1+$P$8)/UnderlyingPrice-1</f>
        <v>0.414535603715173</v>
      </c>
      <c r="G141" s="64" t="n">
        <f aca="false">+D141*(1-$P$8)/UnderlyingPrice-1</f>
        <v>0.413121775025803</v>
      </c>
      <c r="H141" s="64" t="n">
        <f aca="true">OFFSET(VolSkewCoef,0,impvol_order-2)+OFFSET(VolSkewCoef,1,impvol_order-2)*F141+OFFSET(VolSkewCoef,2,impvol_order-2)*F141^2+IF(impvol_order&gt;2,OFFSET(VolSkewCoef,3,impvol_order-2)*F141^3,0)+IF(impvol_order&gt;3,OFFSET(VolSkewCoef,4,impvol_order-2)*F141^4,0)+IF(impvol_order&gt;4,OFFSET(VolSkewCoef,5,impvol_order-2)*F141^5,0)</f>
        <v>0.55982350305542</v>
      </c>
      <c r="I141" s="64" t="n">
        <f aca="true">OFFSET(VolSkewCoef,0,impvol_order-2)+OFFSET(VolSkewCoef,1,impvol_order-2)*E141+OFFSET(VolSkewCoef,2,impvol_order-2)*E141^2+IF(impvol_order&gt;2,OFFSET(VolSkewCoef,3,impvol_order-2)*E141^3,0)+IF(impvol_order&gt;3,OFFSET(VolSkewCoef,4,impvol_order-2)*E141^4,0)+IF(impvol_order&gt;4,OFFSET(VolSkewCoef,5,impvol_order-2)*E141^5,0)</f>
        <v>0.559735606635134</v>
      </c>
      <c r="J141" s="64" t="n">
        <f aca="true">OFFSET(VolSkewCoef,0,impvol_order-2)+OFFSET(VolSkewCoef,1,impvol_order-2)*G141+OFFSET(VolSkewCoef,2,impvol_order-2)*G141^2+IF(impvol_order&gt;2,OFFSET(VolSkewCoef,3,impvol_order-2)*G141^3,0)+IF(impvol_order&gt;3,OFFSET(VolSkewCoef,4,impvol_order-2)*G141^4,0)+IF(impvol_order&gt;4,OFFSET(VolSkewCoef,5,impvol_order-2)*G141^5,0)</f>
        <v>0.559647694016703</v>
      </c>
      <c r="L141" s="79"/>
      <c r="M141" s="79"/>
      <c r="O141" s="79"/>
      <c r="P141" s="79"/>
      <c r="R141" s="80" t="n">
        <f aca="false">(1/($D141*SQRT(2*PI()*T/365.25*$I$140^2)))</f>
        <v>0.166692441881161</v>
      </c>
      <c r="S141" s="80" t="n">
        <f aca="false">LN($D141/UnderlyingPrice)+0.5*T/365.25*$I$140^2</f>
        <v>0.407336157734527</v>
      </c>
      <c r="T141" s="80" t="n">
        <f aca="false">-(S141^2)</f>
        <v>-0.165922745397927</v>
      </c>
      <c r="U141" s="80" t="n">
        <f aca="false">T141/(2*T/365.25*$I$140^2)</f>
        <v>-0.679624079785069</v>
      </c>
      <c r="V141" s="80"/>
      <c r="W141" s="100" t="e">
        <f aca="false">(Alpha2*R141)*EXP(Gamma2^2*U141)</f>
        <v>#NAME?</v>
      </c>
      <c r="Z141" s="80" t="n">
        <f aca="false">(1/(D141*SQRT(2*PI()*T/365.25*ATMImpVol^2)))</f>
        <v>0.177582675243428</v>
      </c>
      <c r="AA141" s="80" t="n">
        <f aca="false">LN(D141/UnderlyingPrice)+0.5*T/365.25*ATMImpVol^2</f>
        <v>0.400079797943844</v>
      </c>
      <c r="AB141" s="80" t="n">
        <f aca="false">-(AA141^2)</f>
        <v>-0.160063844722787</v>
      </c>
      <c r="AC141" s="80" t="n">
        <f aca="false">AB141/(2*T/365.25*ATMImpVol^2)</f>
        <v>-0.744089966757128</v>
      </c>
      <c r="AD141" s="82" t="n">
        <f aca="false">EXP(AC141)</f>
        <v>0.475166520572132</v>
      </c>
      <c r="AE141" s="82" t="n">
        <f aca="false">AD141*Z141</f>
        <v>0.0843813419093104</v>
      </c>
      <c r="AF141" s="82"/>
      <c r="AG141" s="102" t="n">
        <f aca="false">AG140+UTFactor*(MaxStandard-MinStandard)/100</f>
        <v>1.29575023332191</v>
      </c>
      <c r="AH141" s="83" t="n">
        <f aca="false">(LN(($D141*(1+$P$8))/UnderlyingPrice)+0.5*ATMImpVol^2*(T/365.25))/(ATMImpVol*SQRT(T/365.25))</f>
        <v>1.22143400757487</v>
      </c>
      <c r="AI141" s="83" t="n">
        <f aca="false">(LN($D141*(1-$P$8)/UnderlyingPrice)+0.5*ATMImpVol^2*(T/365.25))/(ATMImpVol*SQRT(T/365.25))</f>
        <v>1.21838484110005</v>
      </c>
      <c r="AJ141" s="81"/>
      <c r="AK141" s="83" t="e">
        <f aca="false">W141/(AH141-AI141)*(D141*2*$P$8)</f>
        <v>#NAME?</v>
      </c>
      <c r="AL141" s="81"/>
      <c r="AM141" s="84"/>
      <c r="AX141" s="87" t="n">
        <f aca="true">OFFSET(ENAVolCoef,0,impvol_order-2)+OFFSET(ENAVolCoef,1,impvol_order-2)*E141+OFFSET(ENAVolCoef,2,impvol_order-2)*E141^2+IF(impvol_order&gt;2,OFFSET(ENAVolCoef,3,impvol_order-2)*E141^3,0)+IF(impvol_order&gt;3,OFFSET(ENAVolCoef,4,impvol_order-2)*E141^4,0)+IF(impvol_order&gt;4,OFFSET(ENAVolCoef,5,impvol_order-2)*E141^5,0)</f>
        <v>0.527403590092146</v>
      </c>
      <c r="AY141" s="87" t="n">
        <f aca="true">OFFSET(ENAVolCoef,0,impvol_order-2)+OFFSET(ENAVolCoef,1,impvol_order-2)*F141+OFFSET(ENAVolCoef,2,impvol_order-2)*F141^2+IF(impvol_order&gt;2,OFFSET(ENAVolCoef,3,impvol_order-2)*F141^3,0)+IF(impvol_order&gt;3,OFFSET(ENAVolCoef,4,impvol_order-2)*F141^4,0)+IF(impvol_order&gt;4,OFFSET(ENAVolCoef,5,impvol_order-2)*F141^5,0)</f>
        <v>0.527486409974924</v>
      </c>
      <c r="AZ141" s="87" t="n">
        <f aca="true">OFFSET(ENAVolCoef,0,impvol_order-2)+OFFSET(ENAVolCoef,1,impvol_order-2)*G141+OFFSET(ENAVolCoef,2,impvol_order-2)*G141^2+IF(impvol_order&gt;2,OFFSET(ENAVolCoef,3,impvol_order-2)*G141^3,0)+IF(impvol_order&gt;3,OFFSET(ENAVolCoef,4,impvol_order-2)*G141^4,0)+IF(impvol_order&gt;4,OFFSET(ENAVolCoef,5,impvol_order-2)*G141^5,0)</f>
        <v>0.527320801756029</v>
      </c>
      <c r="BB141" s="48" t="e">
        <f aca="false">EURO(UnderlyingPrice,$D141,IntRate,Yield,AX141,$D$6,1,0)</f>
        <v>#NAME?</v>
      </c>
      <c r="BC141" s="48" t="e">
        <f aca="false">EURO(UnderlyingPrice,$D141*(1+$P$8),IntRate,Yield,AY141,$D$6,1,0)</f>
        <v>#NAME?</v>
      </c>
      <c r="BD141" s="48" t="e">
        <f aca="false">EURO(UnderlyingPrice,$D141*(1-$P$8),IntRate,Yield,AZ141,$D$6,1,0)</f>
        <v>#NAME?</v>
      </c>
      <c r="BF141" s="80" t="e">
        <f aca="false">(BC141+BD141-2*BB141)/($P$8*$D141)^2</f>
        <v>#NAME?</v>
      </c>
      <c r="BG141" s="48" t="e">
        <f aca="false">+BF141/$D$9</f>
        <v>#NAME?</v>
      </c>
      <c r="BI141" s="79"/>
    </row>
    <row r="142" customFormat="false" ht="11.25" hidden="false" customHeight="false" outlineLevel="0" collapsed="false">
      <c r="C142" s="77"/>
      <c r="D142" s="78" t="n">
        <f aca="true">+D141+UTFactor*(ROUNDUP(MAX(StrikeRange),1)-ROUNDDOWN(MIN(StrikeRange),1))/100</f>
        <v>7.20000000000001</v>
      </c>
      <c r="E142" s="64" t="n">
        <f aca="false">+D142/UnderlyingPrice-1</f>
        <v>0.486068111455111</v>
      </c>
      <c r="F142" s="64" t="n">
        <f aca="false">+D142*(1+$P$8)/UnderlyingPrice-1</f>
        <v>0.486811145510839</v>
      </c>
      <c r="G142" s="64" t="n">
        <f aca="false">+D142*(1-$P$8)/UnderlyingPrice-1</f>
        <v>0.485325077399384</v>
      </c>
      <c r="H142" s="64" t="n">
        <f aca="true">OFFSET(VolSkewCoef,0,impvol_order-2)+OFFSET(VolSkewCoef,1,impvol_order-2)*F142+OFFSET(VolSkewCoef,2,impvol_order-2)*F142^2+IF(impvol_order&gt;2,OFFSET(VolSkewCoef,3,impvol_order-2)*F142^3,0)+IF(impvol_order&gt;3,OFFSET(VolSkewCoef,4,impvol_order-2)*F142^4,0)+IF(impvol_order&gt;4,OFFSET(VolSkewCoef,5,impvol_order-2)*F142^5,0)</f>
        <v>0.568659082068806</v>
      </c>
      <c r="I142" s="64" t="n">
        <f aca="true">OFFSET(VolSkewCoef,0,impvol_order-2)+OFFSET(VolSkewCoef,1,impvol_order-2)*E142+OFFSET(VolSkewCoef,2,impvol_order-2)*E142^2+IF(impvol_order&gt;2,OFFSET(VolSkewCoef,3,impvol_order-2)*E142^3,0)+IF(impvol_order&gt;3,OFFSET(VolSkewCoef,4,impvol_order-2)*E142^4,0)+IF(impvol_order&gt;4,OFFSET(VolSkewCoef,5,impvol_order-2)*E142^5,0)</f>
        <v>0.568570416448241</v>
      </c>
      <c r="J142" s="64" t="n">
        <f aca="true">OFFSET(VolSkewCoef,0,impvol_order-2)+OFFSET(VolSkewCoef,1,impvol_order-2)*G142+OFFSET(VolSkewCoef,2,impvol_order-2)*G142^2+IF(impvol_order&gt;2,OFFSET(VolSkewCoef,3,impvol_order-2)*G142^3,0)+IF(impvol_order&gt;3,OFFSET(VolSkewCoef,4,impvol_order-2)*G142^4,0)+IF(impvol_order&gt;4,OFFSET(VolSkewCoef,5,impvol_order-2)*G142^5,0)</f>
        <v>0.56848169258356</v>
      </c>
      <c r="L142" s="79"/>
      <c r="M142" s="79"/>
      <c r="O142" s="79"/>
      <c r="P142" s="79"/>
      <c r="R142" s="80" t="n">
        <f aca="false">(1/($D142*SQRT(2*PI()*T/365.25*$I$140^2)))</f>
        <v>0.158589337067494</v>
      </c>
      <c r="S142" s="80" t="n">
        <f aca="false">LN($D142/UnderlyingPrice)+0.5*T/365.25*$I$140^2</f>
        <v>0.457168531482403</v>
      </c>
      <c r="T142" s="80" t="n">
        <f aca="false">-(S142^2)</f>
        <v>-0.209003066177777</v>
      </c>
      <c r="U142" s="80" t="n">
        <f aca="false">T142/(2*T/365.25*$I$140^2)</f>
        <v>-0.85608224588299</v>
      </c>
      <c r="V142" s="80"/>
      <c r="W142" s="100" t="e">
        <f aca="false">(Alpha2*R142)*EXP(Gamma2^2*U142)</f>
        <v>#NAME?</v>
      </c>
      <c r="Z142" s="80" t="n">
        <f aca="false">(1/(D142*SQRT(2*PI()*T/365.25*ATMImpVol^2)))</f>
        <v>0.168950184085761</v>
      </c>
      <c r="AA142" s="80" t="n">
        <f aca="false">LN(D142/UnderlyingPrice)+0.5*T/365.25*ATMImpVol^2</f>
        <v>0.44991217169172</v>
      </c>
      <c r="AB142" s="80" t="n">
        <f aca="false">-(AA142^2)</f>
        <v>-0.20242096223636</v>
      </c>
      <c r="AC142" s="80" t="n">
        <f aca="false">AB142/(2*T/365.25*ATMImpVol^2)</f>
        <v>-0.940995809030171</v>
      </c>
      <c r="AD142" s="82" t="n">
        <f aca="false">EXP(AC142)</f>
        <v>0.3902390382486</v>
      </c>
      <c r="AE142" s="82" t="n">
        <f aca="false">AD142*Z142</f>
        <v>0.0659309573495514</v>
      </c>
      <c r="AF142" s="82"/>
      <c r="AG142" s="102" t="n">
        <f aca="false">AG141+UTFactor*(MaxStandard-MinStandard)/100</f>
        <v>1.53150868226237</v>
      </c>
      <c r="AH142" s="83" t="n">
        <f aca="false">(LN(($D142*(1+$P$8))/UnderlyingPrice)+0.5*ATMImpVol^2*(T/365.25))/(ATMImpVol*SQRT(T/365.25))</f>
        <v>1.37338119830523</v>
      </c>
      <c r="AI142" s="83" t="n">
        <f aca="false">(LN($D142*(1-$P$8)/UnderlyingPrice)+0.5*ATMImpVol^2*(T/365.25))/(ATMImpVol*SQRT(T/365.25))</f>
        <v>1.37033203183042</v>
      </c>
      <c r="AJ142" s="81"/>
      <c r="AK142" s="83" t="e">
        <f aca="false">W142/(AH142-AI142)*(D142*2*$P$8)</f>
        <v>#NAME?</v>
      </c>
      <c r="AL142" s="81"/>
      <c r="AM142" s="84"/>
      <c r="AX142" s="87" t="n">
        <f aca="true">OFFSET(ENAVolCoef,0,impvol_order-2)+OFFSET(ENAVolCoef,1,impvol_order-2)*E142+OFFSET(ENAVolCoef,2,impvol_order-2)*E142^2+IF(impvol_order&gt;2,OFFSET(ENAVolCoef,3,impvol_order-2)*E142^3,0)+IF(impvol_order&gt;3,OFFSET(ENAVolCoef,4,impvol_order-2)*E142^4,0)+IF(impvol_order&gt;4,OFFSET(ENAVolCoef,5,impvol_order-2)*E142^5,0)</f>
        <v>0.535991241638836</v>
      </c>
      <c r="AY142" s="87" t="n">
        <f aca="true">OFFSET(ENAVolCoef,0,impvol_order-2)+OFFSET(ENAVolCoef,1,impvol_order-2)*F142+OFFSET(ENAVolCoef,2,impvol_order-2)*F142^2+IF(impvol_order&gt;2,OFFSET(ENAVolCoef,3,impvol_order-2)*F142^3,0)+IF(impvol_order&gt;3,OFFSET(ENAVolCoef,4,impvol_order-2)*F142^4,0)+IF(impvol_order&gt;4,OFFSET(ENAVolCoef,5,impvol_order-2)*F142^5,0)</f>
        <v>0.536080472837155</v>
      </c>
      <c r="AZ142" s="87" t="n">
        <f aca="true">OFFSET(ENAVolCoef,0,impvol_order-2)+OFFSET(ENAVolCoef,1,impvol_order-2)*G142+OFFSET(ENAVolCoef,2,impvol_order-2)*G142^2+IF(impvol_order&gt;2,OFFSET(ENAVolCoef,3,impvol_order-2)*G142^3,0)+IF(impvol_order&gt;3,OFFSET(ENAVolCoef,4,impvol_order-2)*G142^4,0)+IF(impvol_order&gt;4,OFFSET(ENAVolCoef,5,impvol_order-2)*G142^5,0)</f>
        <v>0.53590202066212</v>
      </c>
      <c r="BB142" s="48" t="e">
        <f aca="false">EURO(UnderlyingPrice,$D142,IntRate,Yield,AX142,$D$6,1,0)</f>
        <v>#NAME?</v>
      </c>
      <c r="BC142" s="48" t="e">
        <f aca="false">EURO(UnderlyingPrice,$D142*(1+$P$8),IntRate,Yield,AY142,$D$6,1,0)</f>
        <v>#NAME?</v>
      </c>
      <c r="BD142" s="48" t="e">
        <f aca="false">EURO(UnderlyingPrice,$D142*(1-$P$8),IntRate,Yield,AZ142,$D$6,1,0)</f>
        <v>#NAME?</v>
      </c>
      <c r="BF142" s="80" t="e">
        <f aca="false">(BC142+BD142-2*BB142)/($P$8*$D142)^2</f>
        <v>#NAME?</v>
      </c>
      <c r="BG142" s="48" t="e">
        <f aca="false">+BF142/$D$9</f>
        <v>#NAME?</v>
      </c>
      <c r="BI142" s="79"/>
    </row>
    <row r="143" customFormat="false" ht="11.25" hidden="false" customHeight="false" outlineLevel="0" collapsed="false">
      <c r="C143" s="77"/>
      <c r="D143" s="78" t="n">
        <f aca="true">+D142+UTFactor*(ROUNDUP(MAX(StrikeRange),1)-ROUNDDOWN(MIN(StrikeRange),1))/100</f>
        <v>7.55000000000001</v>
      </c>
      <c r="E143" s="64" t="n">
        <f aca="false">+D143/UnderlyingPrice-1</f>
        <v>0.558307533539735</v>
      </c>
      <c r="F143" s="64" t="n">
        <f aca="false">+D143*(1+$P$8)/UnderlyingPrice-1</f>
        <v>0.559086687306504</v>
      </c>
      <c r="G143" s="64" t="n">
        <f aca="false">+D143*(1-$P$8)/UnderlyingPrice-1</f>
        <v>0.557528379772965</v>
      </c>
      <c r="H143" s="64" t="n">
        <f aca="true">OFFSET(VolSkewCoef,0,impvol_order-2)+OFFSET(VolSkewCoef,1,impvol_order-2)*F143+OFFSET(VolSkewCoef,2,impvol_order-2)*F143^2+IF(impvol_order&gt;2,OFFSET(VolSkewCoef,3,impvol_order-2)*F143^3,0)+IF(impvol_order&gt;3,OFFSET(VolSkewCoef,4,impvol_order-2)*F143^4,0)+IF(impvol_order&gt;4,OFFSET(VolSkewCoef,5,impvol_order-2)*F143^5,0)</f>
        <v>0.576939650998468</v>
      </c>
      <c r="I143" s="64" t="n">
        <f aca="true">OFFSET(VolSkewCoef,0,impvol_order-2)+OFFSET(VolSkewCoef,1,impvol_order-2)*E143+OFFSET(VolSkewCoef,2,impvol_order-2)*E143^2+IF(impvol_order&gt;2,OFFSET(VolSkewCoef,3,impvol_order-2)*E143^3,0)+IF(impvol_order&gt;3,OFFSET(VolSkewCoef,4,impvol_order-2)*E143^4,0)+IF(impvol_order&gt;4,OFFSET(VolSkewCoef,5,impvol_order-2)*E143^5,0)</f>
        <v>0.576854693532502</v>
      </c>
      <c r="J143" s="64" t="n">
        <f aca="true">OFFSET(VolSkewCoef,0,impvol_order-2)+OFFSET(VolSkewCoef,1,impvol_order-2)*G143+OFFSET(VolSkewCoef,2,impvol_order-2)*G143^2+IF(impvol_order&gt;2,OFFSET(VolSkewCoef,3,impvol_order-2)*G143^3,0)+IF(impvol_order&gt;3,OFFSET(VolSkewCoef,4,impvol_order-2)*G143^4,0)+IF(impvol_order&gt;4,OFFSET(VolSkewCoef,5,impvol_order-2)*G143^5,0)</f>
        <v>0.576769627655662</v>
      </c>
      <c r="L143" s="79"/>
      <c r="M143" s="79"/>
      <c r="O143" s="79"/>
      <c r="P143" s="79"/>
      <c r="R143" s="80" t="n">
        <f aca="false">(1/($D143*SQRT(2*PI()*T/365.25*$I$140^2)))</f>
        <v>0.151237513494828</v>
      </c>
      <c r="S143" s="80" t="n">
        <f aca="false">LN($D143/UnderlyingPrice)+0.5*T/365.25*$I$140^2</f>
        <v>0.504635068721326</v>
      </c>
      <c r="T143" s="80" t="n">
        <f aca="false">-(S143^2)</f>
        <v>-0.254656552583378</v>
      </c>
      <c r="U143" s="80" t="n">
        <f aca="false">T143/(2*T/365.25*$I$140^2)</f>
        <v>-1.04308016839792</v>
      </c>
      <c r="V143" s="80"/>
      <c r="W143" s="100" t="e">
        <f aca="false">(Alpha2*R143)*EXP(Gamma2^2*U143)</f>
        <v>#NAME?</v>
      </c>
      <c r="Z143" s="80" t="n">
        <f aca="false">(1/(D143*SQRT(2*PI()*T/365.25*ATMImpVol^2)))</f>
        <v>0.161118056346686</v>
      </c>
      <c r="AA143" s="80" t="n">
        <f aca="false">LN(D143/UnderlyingPrice)+0.5*T/365.25*ATMImpVol^2</f>
        <v>0.497378708930644</v>
      </c>
      <c r="AB143" s="80" t="n">
        <f aca="false">-(AA143^2)</f>
        <v>-0.247385580097514</v>
      </c>
      <c r="AC143" s="80" t="n">
        <f aca="false">AB143/(2*T/365.25*ATMImpVol^2)</f>
        <v>-1.15002315725799</v>
      </c>
      <c r="AD143" s="82" t="n">
        <f aca="false">EXP(AC143)</f>
        <v>0.316629437024596</v>
      </c>
      <c r="AE143" s="82" t="n">
        <f aca="false">AD143*Z143</f>
        <v>0.0510147194755483</v>
      </c>
      <c r="AF143" s="82"/>
      <c r="AG143" s="102" t="n">
        <f aca="false">AG142+UTFactor*(MaxStandard-MinStandard)/100</f>
        <v>1.76726713120284</v>
      </c>
      <c r="AH143" s="83" t="n">
        <f aca="false">(LN(($D143*(1+$P$8))/UnderlyingPrice)+0.5*ATMImpVol^2*(T/365.25))/(ATMImpVol*SQRT(T/365.25))</f>
        <v>1.51811456026876</v>
      </c>
      <c r="AI143" s="83" t="n">
        <f aca="false">(LN($D143*(1-$P$8)/UnderlyingPrice)+0.5*ATMImpVol^2*(T/365.25))/(ATMImpVol*SQRT(T/365.25))</f>
        <v>1.51506539379394</v>
      </c>
      <c r="AJ143" s="81"/>
      <c r="AK143" s="83" t="e">
        <f aca="false">W143/(AH143-AI143)*(D143*2*$P$8)</f>
        <v>#NAME?</v>
      </c>
      <c r="AL143" s="81"/>
      <c r="AM143" s="84"/>
      <c r="AX143" s="87" t="n">
        <f aca="true">OFFSET(ENAVolCoef,0,impvol_order-2)+OFFSET(ENAVolCoef,1,impvol_order-2)*E143+OFFSET(ENAVolCoef,2,impvol_order-2)*E143^2+IF(impvol_order&gt;2,OFFSET(ENAVolCoef,3,impvol_order-2)*E143^3,0)+IF(impvol_order&gt;3,OFFSET(ENAVolCoef,4,impvol_order-2)*E143^4,0)+IF(impvol_order&gt;4,OFFSET(ENAVolCoef,5,impvol_order-2)*E143^5,0)</f>
        <v>0.544675509416728</v>
      </c>
      <c r="AY143" s="87" t="n">
        <f aca="true">OFFSET(ENAVolCoef,0,impvol_order-2)+OFFSET(ENAVolCoef,1,impvol_order-2)*F143+OFFSET(ENAVolCoef,2,impvol_order-2)*F143^2+IF(impvol_order&gt;2,OFFSET(ENAVolCoef,3,impvol_order-2)*F143^3,0)+IF(impvol_order&gt;3,OFFSET(ENAVolCoef,4,impvol_order-2)*F143^4,0)+IF(impvol_order&gt;4,OFFSET(ENAVolCoef,5,impvol_order-2)*F143^5,0)</f>
        <v>0.544768851479238</v>
      </c>
      <c r="AZ143" s="87" t="n">
        <f aca="true">OFFSET(ENAVolCoef,0,impvol_order-2)+OFFSET(ENAVolCoef,1,impvol_order-2)*G143+OFFSET(ENAVolCoef,2,impvol_order-2)*G143^2+IF(impvol_order&gt;2,OFFSET(ENAVolCoef,3,impvol_order-2)*G143^3,0)+IF(impvol_order&gt;3,OFFSET(ENAVolCoef,4,impvol_order-2)*G143^4,0)+IF(impvol_order&gt;4,OFFSET(ENAVolCoef,5,impvol_order-2)*G143^5,0)</f>
        <v>0.544582151509677</v>
      </c>
      <c r="BB143" s="48" t="e">
        <f aca="false">EURO(UnderlyingPrice,$D143,IntRate,Yield,AX143,$D$6,1,0)</f>
        <v>#NAME?</v>
      </c>
      <c r="BC143" s="48" t="e">
        <f aca="false">EURO(UnderlyingPrice,$D143*(1+$P$8),IntRate,Yield,AY143,$D$6,1,0)</f>
        <v>#NAME?</v>
      </c>
      <c r="BD143" s="48" t="e">
        <f aca="false">EURO(UnderlyingPrice,$D143*(1-$P$8),IntRate,Yield,AZ143,$D$6,1,0)</f>
        <v>#NAME?</v>
      </c>
      <c r="BF143" s="80" t="e">
        <f aca="false">(BC143+BD143-2*BB143)/($P$8*$D143)^2</f>
        <v>#NAME?</v>
      </c>
      <c r="BG143" s="48" t="e">
        <f aca="false">+BF143/$D$9</f>
        <v>#NAME?</v>
      </c>
      <c r="BI143" s="79"/>
    </row>
    <row r="144" customFormat="false" ht="11.25" hidden="false" customHeight="false" outlineLevel="0" collapsed="false">
      <c r="C144" s="77"/>
      <c r="D144" s="78" t="n">
        <f aca="true">+D143+UTFactor*(ROUNDUP(MAX(StrikeRange),1)-ROUNDDOWN(MIN(StrikeRange),1))/100</f>
        <v>7.90000000000001</v>
      </c>
      <c r="E144" s="64" t="n">
        <f aca="false">+D144/UnderlyingPrice-1</f>
        <v>0.630546955624358</v>
      </c>
      <c r="F144" s="64" t="n">
        <f aca="false">+D144*(1+$P$8)/UnderlyingPrice-1</f>
        <v>0.63136222910217</v>
      </c>
      <c r="G144" s="64" t="n">
        <f aca="false">+D144*(1-$P$8)/UnderlyingPrice-1</f>
        <v>0.629731682146546</v>
      </c>
      <c r="H144" s="64" t="n">
        <f aca="true">OFFSET(VolSkewCoef,0,impvol_order-2)+OFFSET(VolSkewCoef,1,impvol_order-2)*F144+OFFSET(VolSkewCoef,2,impvol_order-2)*F144^2+IF(impvol_order&gt;2,OFFSET(VolSkewCoef,3,impvol_order-2)*F144^3,0)+IF(impvol_order&gt;3,OFFSET(VolSkewCoef,4,impvol_order-2)*F144^4,0)+IF(impvol_order&gt;4,OFFSET(VolSkewCoef,5,impvol_order-2)*F144^5,0)</f>
        <v>0.584283257969173</v>
      </c>
      <c r="I144" s="64" t="n">
        <f aca="true">OFFSET(VolSkewCoef,0,impvol_order-2)+OFFSET(VolSkewCoef,1,impvol_order-2)*E144+OFFSET(VolSkewCoef,2,impvol_order-2)*E144^2+IF(impvol_order&gt;2,OFFSET(VolSkewCoef,3,impvol_order-2)*E144^3,0)+IF(impvol_order&gt;3,OFFSET(VolSkewCoef,4,impvol_order-2)*E144^4,0)+IF(impvol_order&gt;4,OFFSET(VolSkewCoef,5,impvol_order-2)*E144^5,0)</f>
        <v>0.584207058368047</v>
      </c>
      <c r="J144" s="64" t="n">
        <f aca="true">OFFSET(VolSkewCoef,0,impvol_order-2)+OFFSET(VolSkewCoef,1,impvol_order-2)*G144+OFFSET(VolSkewCoef,2,impvol_order-2)*G144^2+IF(impvol_order&gt;2,OFFSET(VolSkewCoef,3,impvol_order-2)*G144^3,0)+IF(impvol_order&gt;3,OFFSET(VolSkewCoef,4,impvol_order-2)*G144^4,0)+IF(impvol_order&gt;4,OFFSET(VolSkewCoef,5,impvol_order-2)*G144^5,0)</f>
        <v>0.584130691496434</v>
      </c>
      <c r="L144" s="79"/>
      <c r="M144" s="79"/>
      <c r="O144" s="79"/>
      <c r="P144" s="79"/>
      <c r="R144" s="80" t="n">
        <f aca="false">(1/($D144*SQRT(2*PI()*T/365.25*$I$140^2)))</f>
        <v>0.144537117327336</v>
      </c>
      <c r="S144" s="80" t="n">
        <f aca="false">LN($D144/UnderlyingPrice)+0.5*T/365.25*$I$140^2</f>
        <v>0.549950264933369</v>
      </c>
      <c r="T144" s="80" t="n">
        <f aca="false">-(S144^2)</f>
        <v>-0.302445293900282</v>
      </c>
      <c r="U144" s="80" t="n">
        <f aca="false">T144/(2*T/365.25*$I$140^2)</f>
        <v>-1.23882415312826</v>
      </c>
      <c r="V144" s="80"/>
      <c r="W144" s="100" t="e">
        <f aca="false">(Alpha2*R144)*EXP(Gamma2^2*U144)</f>
        <v>#NAME?</v>
      </c>
      <c r="Z144" s="80" t="n">
        <f aca="false">(1/(D144*SQRT(2*PI()*T/365.25*ATMImpVol^2)))</f>
        <v>0.153979914609808</v>
      </c>
      <c r="AA144" s="80" t="n">
        <f aca="false">LN(D144/UnderlyingPrice)+0.5*T/365.25*ATMImpVol^2</f>
        <v>0.542693905142686</v>
      </c>
      <c r="AB144" s="80" t="n">
        <f aca="false">-(AA144^2)</f>
        <v>-0.294516674679019</v>
      </c>
      <c r="AC144" s="80" t="n">
        <f aca="false">AB144/(2*T/365.25*ATMImpVol^2)</f>
        <v>-1.36912182167602</v>
      </c>
      <c r="AD144" s="82" t="n">
        <f aca="false">EXP(AC144)</f>
        <v>0.254330208788623</v>
      </c>
      <c r="AE144" s="82" t="n">
        <f aca="false">AD144*Z144</f>
        <v>0.0391617438319668</v>
      </c>
      <c r="AF144" s="82"/>
      <c r="AG144" s="102" t="n">
        <f aca="false">AG143+UTFactor*(MaxStandard-MinStandard)/100</f>
        <v>2.0030255801433</v>
      </c>
      <c r="AH144" s="83" t="n">
        <f aca="false">(LN(($D144*(1+$P$8))/UnderlyingPrice)+0.5*ATMImpVol^2*(T/365.25))/(ATMImpVol*SQRT(T/365.25))</f>
        <v>1.65628812584387</v>
      </c>
      <c r="AI144" s="83" t="n">
        <f aca="false">(LN($D144*(1-$P$8)/UnderlyingPrice)+0.5*ATMImpVol^2*(T/365.25))/(ATMImpVol*SQRT(T/365.25))</f>
        <v>1.65323895936905</v>
      </c>
      <c r="AJ144" s="81"/>
      <c r="AK144" s="83" t="e">
        <f aca="false">W144/(AH144-AI144)*(D144*2*$P$8)</f>
        <v>#NAME?</v>
      </c>
      <c r="AL144" s="81"/>
      <c r="AM144" s="84"/>
      <c r="AX144" s="87" t="n">
        <f aca="true">OFFSET(ENAVolCoef,0,impvol_order-2)+OFFSET(ENAVolCoef,1,impvol_order-2)*E144+OFFSET(ENAVolCoef,2,impvol_order-2)*E144^2+IF(impvol_order&gt;2,OFFSET(ENAVolCoef,3,impvol_order-2)*E144^3,0)+IF(impvol_order&gt;3,OFFSET(ENAVolCoef,4,impvol_order-2)*E144^4,0)+IF(impvol_order&gt;4,OFFSET(ENAVolCoef,5,impvol_order-2)*E144^5,0)</f>
        <v>0.553223575716431</v>
      </c>
      <c r="AY144" s="87" t="n">
        <f aca="true">OFFSET(ENAVolCoef,0,impvol_order-2)+OFFSET(ENAVolCoef,1,impvol_order-2)*F144+OFFSET(ENAVolCoef,2,impvol_order-2)*F144^2+IF(impvol_order&gt;2,OFFSET(ENAVolCoef,3,impvol_order-2)*F144^3,0)+IF(impvol_order&gt;3,OFFSET(ENAVolCoef,4,impvol_order-2)*F144^4,0)+IF(impvol_order&gt;4,OFFSET(ENAVolCoef,5,impvol_order-2)*F144^5,0)</f>
        <v>0.553318378790577</v>
      </c>
      <c r="AZ144" s="87" t="n">
        <f aca="true">OFFSET(ENAVolCoef,0,impvol_order-2)+OFFSET(ENAVolCoef,1,impvol_order-2)*G144+OFFSET(ENAVolCoef,2,impvol_order-2)*G144^2+IF(impvol_order&gt;2,OFFSET(ENAVolCoef,3,impvol_order-2)*G144^3,0)+IF(impvol_order&gt;3,OFFSET(ENAVolCoef,4,impvol_order-2)*G144^4,0)+IF(impvol_order&gt;4,OFFSET(ENAVolCoef,5,impvol_order-2)*G144^5,0)</f>
        <v>0.55312872564129</v>
      </c>
      <c r="BB144" s="48" t="e">
        <f aca="false">EURO(UnderlyingPrice,$D144,IntRate,Yield,AX144,$D$6,1,0)</f>
        <v>#NAME?</v>
      </c>
      <c r="BC144" s="48" t="e">
        <f aca="false">EURO(UnderlyingPrice,$D144*(1+$P$8),IntRate,Yield,AY144,$D$6,1,0)</f>
        <v>#NAME?</v>
      </c>
      <c r="BD144" s="48" t="e">
        <f aca="false">EURO(UnderlyingPrice,$D144*(1-$P$8),IntRate,Yield,AZ144,$D$6,1,0)</f>
        <v>#NAME?</v>
      </c>
      <c r="BF144" s="80" t="e">
        <f aca="false">(BC144+BD144-2*BB144)/($P$8*$D144)^2</f>
        <v>#NAME?</v>
      </c>
      <c r="BG144" s="48" t="e">
        <f aca="false">+BF144/$D$9</f>
        <v>#NAME?</v>
      </c>
      <c r="BI144" s="79"/>
    </row>
    <row r="145" customFormat="false" ht="11.25" hidden="false" customHeight="false" outlineLevel="0" collapsed="false">
      <c r="C145" s="77"/>
      <c r="D145" s="78" t="n">
        <f aca="true">+D144+UTFactor*(ROUNDUP(MAX(StrikeRange),1)-ROUNDDOWN(MIN(StrikeRange),1))/100</f>
        <v>8.25000000000001</v>
      </c>
      <c r="E145" s="64" t="n">
        <f aca="false">+D145/UnderlyingPrice-1</f>
        <v>0.702786377708981</v>
      </c>
      <c r="F145" s="64" t="n">
        <f aca="false">+D145*(1+$P$8)/UnderlyingPrice-1</f>
        <v>0.703637770897835</v>
      </c>
      <c r="G145" s="64" t="n">
        <f aca="false">+D145*(1-$P$8)/UnderlyingPrice-1</f>
        <v>0.701934984520126</v>
      </c>
      <c r="H145" s="64" t="n">
        <f aca="true">OFFSET(VolSkewCoef,0,impvol_order-2)+OFFSET(VolSkewCoef,1,impvol_order-2)*F145+OFFSET(VolSkewCoef,2,impvol_order-2)*F145^2+IF(impvol_order&gt;2,OFFSET(VolSkewCoef,3,impvol_order-2)*F145^3,0)+IF(impvol_order&gt;3,OFFSET(VolSkewCoef,4,impvol_order-2)*F145^4,0)+IF(impvol_order&gt;4,OFFSET(VolSkewCoef,5,impvol_order-2)*F145^5,0)</f>
        <v>0.590307951105689</v>
      </c>
      <c r="I145" s="64" t="n">
        <f aca="true">OFFSET(VolSkewCoef,0,impvol_order-2)+OFFSET(VolSkewCoef,1,impvol_order-2)*E145+OFFSET(VolSkewCoef,2,impvol_order-2)*E145^2+IF(impvol_order&gt;2,OFFSET(VolSkewCoef,3,impvol_order-2)*E145^3,0)+IF(impvol_order&gt;3,OFFSET(VolSkewCoef,4,impvol_order-2)*E145^4,0)+IF(impvol_order&gt;4,OFFSET(VolSkewCoef,5,impvol_order-2)*E145^5,0)</f>
        <v>0.590246131435008</v>
      </c>
      <c r="J145" s="64" t="n">
        <f aca="true">OFFSET(VolSkewCoef,0,impvol_order-2)+OFFSET(VolSkewCoef,1,impvol_order-2)*G145+OFFSET(VolSkewCoef,2,impvol_order-2)*G145^2+IF(impvol_order&gt;2,OFFSET(VolSkewCoef,3,impvol_order-2)*G145^3,0)+IF(impvol_order&gt;3,OFFSET(VolSkewCoef,4,impvol_order-2)*G145^4,0)+IF(impvol_order&gt;4,OFFSET(VolSkewCoef,5,impvol_order-2)*G145^5,0)</f>
        <v>0.590184076369298</v>
      </c>
      <c r="L145" s="79"/>
      <c r="M145" s="79"/>
      <c r="O145" s="79"/>
      <c r="P145" s="79"/>
      <c r="R145" s="80" t="n">
        <f aca="false">(1/($D145*SQRT(2*PI()*T/365.25*$I$140^2)))</f>
        <v>0.13840523962254</v>
      </c>
      <c r="S145" s="80" t="n">
        <f aca="false">LN($D145/UnderlyingPrice)+0.5*T/365.25*$I$140^2</f>
        <v>0.593300705806982</v>
      </c>
      <c r="T145" s="80" t="n">
        <f aca="false">-(S145^2)</f>
        <v>-0.352005727511063</v>
      </c>
      <c r="U145" s="80" t="n">
        <f aca="false">T145/(2*T/365.25*$I$140^2)</f>
        <v>-1.44182503770076</v>
      </c>
      <c r="V145" s="80"/>
      <c r="W145" s="100" t="e">
        <f aca="false">(Alpha2*R145)*EXP(Gamma2^2*U145)</f>
        <v>#NAME?</v>
      </c>
      <c r="Z145" s="80" t="n">
        <f aca="false">(1/(D145*SQRT(2*PI()*T/365.25*ATMImpVol^2)))</f>
        <v>0.147447433383937</v>
      </c>
      <c r="AA145" s="80" t="n">
        <f aca="false">LN(D145/UnderlyingPrice)+0.5*T/365.25*ATMImpVol^2</f>
        <v>0.5860443460163</v>
      </c>
      <c r="AB145" s="80" t="n">
        <f aca="false">-(AA145^2)</f>
        <v>-0.343447975497672</v>
      </c>
      <c r="AC145" s="80" t="n">
        <f aca="false">AB145/(2*T/365.25*ATMImpVol^2)</f>
        <v>-1.59658911800763</v>
      </c>
      <c r="AD145" s="82" t="n">
        <f aca="false">EXP(AC145)</f>
        <v>0.202586338972392</v>
      </c>
      <c r="AE145" s="82" t="n">
        <f aca="false">AD145*Z145</f>
        <v>0.0298708357201275</v>
      </c>
      <c r="AF145" s="82"/>
      <c r="AG145" s="102" t="n">
        <f aca="false">AG144+UTFactor*(MaxStandard-MinStandard)/100</f>
        <v>2.23878402908377</v>
      </c>
      <c r="AH145" s="83" t="n">
        <f aca="false">(LN(($D145*(1+$P$8))/UnderlyingPrice)+0.5*ATMImpVol^2*(T/365.25))/(ATMImpVol*SQRT(T/365.25))</f>
        <v>1.78847082580906</v>
      </c>
      <c r="AI145" s="83" t="n">
        <f aca="false">(LN($D145*(1-$P$8)/UnderlyingPrice)+0.5*ATMImpVol^2*(T/365.25))/(ATMImpVol*SQRT(T/365.25))</f>
        <v>1.78542165933424</v>
      </c>
      <c r="AJ145" s="81"/>
      <c r="AK145" s="83" t="e">
        <f aca="false">W145/(AH145-AI145)*(D145*2*$P$8)</f>
        <v>#NAME?</v>
      </c>
      <c r="AL145" s="81"/>
      <c r="AM145" s="84"/>
      <c r="AX145" s="87" t="n">
        <f aca="true">OFFSET(ENAVolCoef,0,impvol_order-2)+OFFSET(ENAVolCoef,1,impvol_order-2)*E145+OFFSET(ENAVolCoef,2,impvol_order-2)*E145^2+IF(impvol_order&gt;2,OFFSET(ENAVolCoef,3,impvol_order-2)*E145^3,0)+IF(impvol_order&gt;3,OFFSET(ENAVolCoef,4,impvol_order-2)*E145^4,0)+IF(impvol_order&gt;4,OFFSET(ENAVolCoef,5,impvol_order-2)*E145^5,0)</f>
        <v>0.561402622828557</v>
      </c>
      <c r="AY145" s="87" t="n">
        <f aca="true">OFFSET(ENAVolCoef,0,impvol_order-2)+OFFSET(ENAVolCoef,1,impvol_order-2)*F145+OFFSET(ENAVolCoef,2,impvol_order-2)*F145^2+IF(impvol_order&gt;2,OFFSET(ENAVolCoef,3,impvol_order-2)*F145^3,0)+IF(impvol_order&gt;3,OFFSET(ENAVolCoef,4,impvol_order-2)*F145^4,0)+IF(impvol_order&gt;4,OFFSET(ENAVolCoef,5,impvol_order-2)*F145^5,0)</f>
        <v>0.561495887660577</v>
      </c>
      <c r="AZ145" s="87" t="n">
        <f aca="true">OFFSET(ENAVolCoef,0,impvol_order-2)+OFFSET(ENAVolCoef,1,impvol_order-2)*G145+OFFSET(ENAVolCoef,2,impvol_order-2)*G145^2+IF(impvol_order&gt;2,OFFSET(ENAVolCoef,3,impvol_order-2)*G145^3,0)+IF(impvol_order&gt;3,OFFSET(ENAVolCoef,4,impvol_order-2)*G145^4,0)+IF(impvol_order&gt;4,OFFSET(ENAVolCoef,5,impvol_order-2)*G145^5,0)</f>
        <v>0.56130927439955</v>
      </c>
      <c r="BB145" s="48" t="e">
        <f aca="false">EURO(UnderlyingPrice,$D145,IntRate,Yield,AX145,$D$6,1,0)</f>
        <v>#NAME?</v>
      </c>
      <c r="BC145" s="48" t="e">
        <f aca="false">EURO(UnderlyingPrice,$D145*(1+$P$8),IntRate,Yield,AY145,$D$6,1,0)</f>
        <v>#NAME?</v>
      </c>
      <c r="BD145" s="48" t="e">
        <f aca="false">EURO(UnderlyingPrice,$D145*(1-$P$8),IntRate,Yield,AZ145,$D$6,1,0)</f>
        <v>#NAME?</v>
      </c>
      <c r="BF145" s="80" t="e">
        <f aca="false">(BC145+BD145-2*BB145)/($P$8*$D145)^2</f>
        <v>#NAME?</v>
      </c>
      <c r="BG145" s="48" t="e">
        <f aca="false">+BF145/$D$9</f>
        <v>#NAME?</v>
      </c>
      <c r="BI145" s="79"/>
    </row>
    <row r="146" customFormat="false" ht="11.25" hidden="false" customHeight="false" outlineLevel="0" collapsed="false">
      <c r="C146" s="77"/>
      <c r="D146" s="78" t="n">
        <f aca="true">+D145+UTFactor*(ROUNDUP(MAX(StrikeRange),1)-ROUNDDOWN(MIN(StrikeRange),1))/100</f>
        <v>8.60000000000001</v>
      </c>
      <c r="E146" s="64" t="n">
        <f aca="false">+D146/UnderlyingPrice-1</f>
        <v>0.775025799793604</v>
      </c>
      <c r="F146" s="64" t="n">
        <f aca="false">+D146*(1+$P$8)/UnderlyingPrice-1</f>
        <v>0.775913312693501</v>
      </c>
      <c r="G146" s="64" t="n">
        <f aca="false">+D146*(1-$P$8)/UnderlyingPrice-1</f>
        <v>0.774138286893708</v>
      </c>
      <c r="H146" s="64" t="n">
        <f aca="true">OFFSET(VolSkewCoef,0,impvol_order-2)+OFFSET(VolSkewCoef,1,impvol_order-2)*F146+OFFSET(VolSkewCoef,2,impvol_order-2)*F146^2+IF(impvol_order&gt;2,OFFSET(VolSkewCoef,3,impvol_order-2)*F146^3,0)+IF(impvol_order&gt;3,OFFSET(VolSkewCoef,4,impvol_order-2)*F146^4,0)+IF(impvol_order&gt;4,OFFSET(VolSkewCoef,5,impvol_order-2)*F146^5,0)</f>
        <v>0.594631778532786</v>
      </c>
      <c r="I146" s="64" t="n">
        <f aca="true">OFFSET(VolSkewCoef,0,impvol_order-2)+OFFSET(VolSkewCoef,1,impvol_order-2)*E146+OFFSET(VolSkewCoef,2,impvol_order-2)*E146^2+IF(impvol_order&gt;2,OFFSET(VolSkewCoef,3,impvol_order-2)*E146^3,0)+IF(impvol_order&gt;3,OFFSET(VolSkewCoef,4,impvol_order-2)*E146^4,0)+IF(impvol_order&gt;4,OFFSET(VolSkewCoef,5,impvol_order-2)*E146^5,0)</f>
        <v>0.594590533213515</v>
      </c>
      <c r="J146" s="64" t="n">
        <f aca="true">OFFSET(VolSkewCoef,0,impvol_order-2)+OFFSET(VolSkewCoef,1,impvol_order-2)*G146+OFFSET(VolSkewCoef,2,impvol_order-2)*G146^2+IF(impvol_order&gt;2,OFFSET(VolSkewCoef,3,impvol_order-2)*G146^3,0)+IF(impvol_order&gt;3,OFFSET(VolSkewCoef,4,impvol_order-2)*G146^4,0)+IF(impvol_order&gt;4,OFFSET(VolSkewCoef,5,impvol_order-2)*G146^5,0)</f>
        <v>0.594548974537678</v>
      </c>
      <c r="L146" s="79"/>
      <c r="M146" s="79"/>
      <c r="O146" s="79"/>
      <c r="P146" s="79"/>
      <c r="R146" s="80" t="n">
        <f aca="false">(1/($D146*SQRT(2*PI()*T/365.25*$I$140^2)))</f>
        <v>0.132772468242553</v>
      </c>
      <c r="S146" s="80" t="n">
        <f aca="false">LN($D146/UnderlyingPrice)+0.5*T/365.25*$I$140^2</f>
        <v>0.634849708719855</v>
      </c>
      <c r="T146" s="80" t="n">
        <f aca="false">-(S146^2)</f>
        <v>-0.403034152661684</v>
      </c>
      <c r="U146" s="80" t="n">
        <f aca="false">T146/(2*T/365.25*$I$140^2)</f>
        <v>-1.6508388555634</v>
      </c>
      <c r="V146" s="80"/>
      <c r="W146" s="100" t="e">
        <f aca="false">(Alpha2*R146)*EXP(Gamma2^2*U146)</f>
        <v>#NAME?</v>
      </c>
      <c r="Z146" s="80" t="n">
        <f aca="false">(1/(D146*SQRT(2*PI()*T/365.25*ATMImpVol^2)))</f>
        <v>0.141446665746219</v>
      </c>
      <c r="AA146" s="80" t="n">
        <f aca="false">LN(D146/UnderlyingPrice)+0.5*T/365.25*ATMImpVol^2</f>
        <v>0.627593348929172</v>
      </c>
      <c r="AB146" s="80" t="n">
        <f aca="false">-(AA146^2)</f>
        <v>-0.393873411620133</v>
      </c>
      <c r="AC146" s="80" t="n">
        <f aca="false">AB146/(2*T/365.25*ATMImpVol^2)</f>
        <v>-1.83100221206431</v>
      </c>
      <c r="AD146" s="82" t="n">
        <f aca="false">EXP(AC146)</f>
        <v>0.160252879897384</v>
      </c>
      <c r="AE146" s="82" t="n">
        <f aca="false">AD146*Z146</f>
        <v>0.0226672355377142</v>
      </c>
      <c r="AF146" s="82"/>
      <c r="AG146" s="102" t="n">
        <f aca="false">AG145+UTFactor*(MaxStandard-MinStandard)/100</f>
        <v>2.47454247802423</v>
      </c>
      <c r="AH146" s="83" t="n">
        <f aca="false">(LN(($D146*(1+$P$8))/UnderlyingPrice)+0.5*ATMImpVol^2*(T/365.25))/(ATMImpVol*SQRT(T/365.25))</f>
        <v>1.91516064199563</v>
      </c>
      <c r="AI146" s="83" t="n">
        <f aca="false">(LN($D146*(1-$P$8)/UnderlyingPrice)+0.5*ATMImpVol^2*(T/365.25))/(ATMImpVol*SQRT(T/365.25))</f>
        <v>1.91211147552081</v>
      </c>
      <c r="AJ146" s="81"/>
      <c r="AK146" s="83" t="e">
        <f aca="false">W146/(AH146-AI146)*(D146*2*$P$8)</f>
        <v>#NAME?</v>
      </c>
      <c r="AL146" s="81"/>
      <c r="AM146" s="84"/>
      <c r="AX146" s="87" t="n">
        <f aca="true">OFFSET(ENAVolCoef,0,impvol_order-2)+OFFSET(ENAVolCoef,1,impvol_order-2)*E146+OFFSET(ENAVolCoef,2,impvol_order-2)*E146^2+IF(impvol_order&gt;2,OFFSET(ENAVolCoef,3,impvol_order-2)*E146^3,0)+IF(impvol_order&gt;3,OFFSET(ENAVolCoef,4,impvol_order-2)*E146^4,0)+IF(impvol_order&gt;4,OFFSET(ENAVolCoef,5,impvol_order-2)*E146^5,0)</f>
        <v>0.568979833043716</v>
      </c>
      <c r="AY146" s="87" t="n">
        <f aca="true">OFFSET(ENAVolCoef,0,impvol_order-2)+OFFSET(ENAVolCoef,1,impvol_order-2)*F146+OFFSET(ENAVolCoef,2,impvol_order-2)*F146^2+IF(impvol_order&gt;2,OFFSET(ENAVolCoef,3,impvol_order-2)*F146^3,0)+IF(impvol_order&gt;3,OFFSET(ENAVolCoef,4,impvol_order-2)*F146^4,0)+IF(impvol_order&gt;4,OFFSET(ENAVolCoef,5,impvol_order-2)*F146^5,0)</f>
        <v>0.56906821097864</v>
      </c>
      <c r="AZ146" s="87" t="n">
        <f aca="true">OFFSET(ENAVolCoef,0,impvol_order-2)+OFFSET(ENAVolCoef,1,impvol_order-2)*G146+OFFSET(ENAVolCoef,2,impvol_order-2)*G146^2+IF(impvol_order&gt;2,OFFSET(ENAVolCoef,3,impvol_order-2)*G146^3,0)+IF(impvol_order&gt;3,OFFSET(ENAVolCoef,4,impvol_order-2)*G146^4,0)+IF(impvol_order&gt;4,OFFSET(ENAVolCoef,5,impvol_order-2)*G146^5,0)</f>
        <v>0.568891329127048</v>
      </c>
      <c r="BB146" s="48" t="e">
        <f aca="false">EURO(UnderlyingPrice,$D146,IntRate,Yield,AX146,$D$6,1,0)</f>
        <v>#NAME?</v>
      </c>
      <c r="BC146" s="48" t="e">
        <f aca="false">EURO(UnderlyingPrice,$D146*(1+$P$8),IntRate,Yield,AY146,$D$6,1,0)</f>
        <v>#NAME?</v>
      </c>
      <c r="BD146" s="48" t="e">
        <f aca="false">EURO(UnderlyingPrice,$D146*(1-$P$8),IntRate,Yield,AZ146,$D$6,1,0)</f>
        <v>#NAME?</v>
      </c>
      <c r="BF146" s="80" t="e">
        <f aca="false">(BC146+BD146-2*BB146)/($P$8*$D146)^2</f>
        <v>#NAME?</v>
      </c>
      <c r="BG146" s="48" t="e">
        <f aca="false">+BF146/$D$9</f>
        <v>#NAME?</v>
      </c>
      <c r="BI146" s="79"/>
    </row>
    <row r="147" customFormat="false" ht="11.25" hidden="false" customHeight="false" outlineLevel="0" collapsed="false">
      <c r="C147" s="77"/>
      <c r="D147" s="78" t="n">
        <f aca="true">+D146+UTFactor*(ROUNDUP(MAX(StrikeRange),1)-ROUNDDOWN(MIN(StrikeRange),1))/100</f>
        <v>8.95000000000001</v>
      </c>
      <c r="E147" s="64" t="n">
        <f aca="false">+D147/UnderlyingPrice-1</f>
        <v>0.847265221878228</v>
      </c>
      <c r="F147" s="64" t="n">
        <f aca="false">+D147*(1+$P$8)/UnderlyingPrice-1</f>
        <v>0.848188854489167</v>
      </c>
      <c r="G147" s="64" t="n">
        <f aca="false">+D147*(1-$P$8)/UnderlyingPrice-1</f>
        <v>0.846341589267289</v>
      </c>
      <c r="H147" s="64" t="n">
        <f aca="true">OFFSET(VolSkewCoef,0,impvol_order-2)+OFFSET(VolSkewCoef,1,impvol_order-2)*F147+OFFSET(VolSkewCoef,2,impvol_order-2)*F147^2+IF(impvol_order&gt;2,OFFSET(VolSkewCoef,3,impvol_order-2)*F147^3,0)+IF(impvol_order&gt;3,OFFSET(VolSkewCoef,4,impvol_order-2)*F147^4,0)+IF(impvol_order&gt;4,OFFSET(VolSkewCoef,5,impvol_order-2)*F147^5,0)</f>
        <v>0.596872788375232</v>
      </c>
      <c r="I147" s="64" t="n">
        <f aca="true">OFFSET(VolSkewCoef,0,impvol_order-2)+OFFSET(VolSkewCoef,1,impvol_order-2)*E147+OFFSET(VolSkewCoef,2,impvol_order-2)*E147^2+IF(impvol_order&gt;2,OFFSET(VolSkewCoef,3,impvol_order-2)*E147^3,0)+IF(impvol_order&gt;3,OFFSET(VolSkewCoef,4,impvol_order-2)*E147^4,0)+IF(impvol_order&gt;4,OFFSET(VolSkewCoef,5,impvol_order-2)*E147^5,0)</f>
        <v>0.596858884183699</v>
      </c>
      <c r="J147" s="64" t="n">
        <f aca="true">OFFSET(VolSkewCoef,0,impvol_order-2)+OFFSET(VolSkewCoef,1,impvol_order-2)*G147+OFFSET(VolSkewCoef,2,impvol_order-2)*G147^2+IF(impvol_order&gt;2,OFFSET(VolSkewCoef,3,impvol_order-2)*G147^3,0)+IF(impvol_order&gt;3,OFFSET(VolSkewCoef,4,impvol_order-2)*G147^4,0)+IF(impvol_order&gt;4,OFFSET(VolSkewCoef,5,impvol_order-2)*G147^5,0)</f>
        <v>0.596844578264997</v>
      </c>
      <c r="L147" s="79"/>
      <c r="M147" s="79"/>
      <c r="O147" s="79"/>
      <c r="P147" s="79"/>
      <c r="R147" s="80" t="n">
        <f aca="false">(1/($D147*SQRT(2*PI()*T/365.25*$I$140^2)))</f>
        <v>0.127580248814073</v>
      </c>
      <c r="S147" s="80" t="n">
        <f aca="false">LN($D147/UnderlyingPrice)+0.5*T/365.25*$I$140^2</f>
        <v>0.674741037747156</v>
      </c>
      <c r="T147" s="80" t="n">
        <f aca="false">-(S147^2)</f>
        <v>-0.45527546802011</v>
      </c>
      <c r="U147" s="80" t="n">
        <f aca="false">T147/(2*T/365.25*$I$140^2)</f>
        <v>-1.86482070471906</v>
      </c>
      <c r="V147" s="80"/>
      <c r="W147" s="100" t="e">
        <f aca="false">(Alpha2*R147)*EXP(Gamma2^2*U147)</f>
        <v>#NAME?</v>
      </c>
      <c r="Z147" s="80" t="n">
        <f aca="false">(1/(D147*SQRT(2*PI()*T/365.25*ATMImpVol^2)))</f>
        <v>0.135915231890221</v>
      </c>
      <c r="AA147" s="80" t="n">
        <f aca="false">LN(D147/UnderlyingPrice)+0.5*T/365.25*ATMImpVol^2</f>
        <v>0.667484677956474</v>
      </c>
      <c r="AB147" s="80" t="n">
        <f aca="false">-(AA147^2)</f>
        <v>-0.445535795306658</v>
      </c>
      <c r="AC147" s="80" t="n">
        <f aca="false">AB147/(2*T/365.25*ATMImpVol^2)</f>
        <v>-2.07116551331748</v>
      </c>
      <c r="AD147" s="82" t="n">
        <f aca="false">EXP(AC147)</f>
        <v>0.126038796169423</v>
      </c>
      <c r="AE147" s="82" t="n">
        <f aca="false">AD147*Z147</f>
        <v>0.0171305922085315</v>
      </c>
      <c r="AF147" s="82"/>
      <c r="AG147" s="102" t="n">
        <f aca="false">AG146+UTFactor*(MaxStandard-MinStandard)/100</f>
        <v>2.71030092696469</v>
      </c>
      <c r="AH147" s="83" t="n">
        <f aca="false">(LN(($D147*(1+$P$8))/UnderlyingPrice)+0.5*ATMImpVol^2*(T/365.25))/(ATMImpVol*SQRT(T/365.25))</f>
        <v>2.03679593496535</v>
      </c>
      <c r="AI147" s="83" t="n">
        <f aca="false">(LN($D147*(1-$P$8)/UnderlyingPrice)+0.5*ATMImpVol^2*(T/365.25))/(ATMImpVol*SQRT(T/365.25))</f>
        <v>2.03374676849053</v>
      </c>
      <c r="AJ147" s="81"/>
      <c r="AK147" s="83" t="e">
        <f aca="false">W147/(AH147-AI147)*(D147*2*$P$8)</f>
        <v>#NAME?</v>
      </c>
      <c r="AL147" s="81"/>
      <c r="AM147" s="84"/>
      <c r="AX147" s="87" t="n">
        <f aca="true">OFFSET(ENAVolCoef,0,impvol_order-2)+OFFSET(ENAVolCoef,1,impvol_order-2)*E147+OFFSET(ENAVolCoef,2,impvol_order-2)*E147^2+IF(impvol_order&gt;2,OFFSET(ENAVolCoef,3,impvol_order-2)*E147^3,0)+IF(impvol_order&gt;3,OFFSET(ENAVolCoef,4,impvol_order-2)*E147^4,0)+IF(impvol_order&gt;4,OFFSET(ENAVolCoef,5,impvol_order-2)*E147^5,0)</f>
        <v>0.575722388652519</v>
      </c>
      <c r="AY147" s="87" t="n">
        <f aca="true">OFFSET(ENAVolCoef,0,impvol_order-2)+OFFSET(ENAVolCoef,1,impvol_order-2)*F147+OFFSET(ENAVolCoef,2,impvol_order-2)*F147^2+IF(impvol_order&gt;2,OFFSET(ENAVolCoef,3,impvol_order-2)*F147^3,0)+IF(impvol_order&gt;3,OFFSET(ENAVolCoef,4,impvol_order-2)*F147^4,0)+IF(impvol_order&gt;4,OFFSET(ENAVolCoef,5,impvol_order-2)*F147^5,0)</f>
        <v>0.575802181634172</v>
      </c>
      <c r="AZ147" s="87" t="n">
        <f aca="true">OFFSET(ENAVolCoef,0,impvol_order-2)+OFFSET(ENAVolCoef,1,impvol_order-2)*G147+OFFSET(ENAVolCoef,2,impvol_order-2)*G147^2+IF(impvol_order&gt;2,OFFSET(ENAVolCoef,3,impvol_order-2)*G147^3,0)+IF(impvol_order&gt;3,OFFSET(ENAVolCoef,4,impvol_order-2)*G147^4,0)+IF(impvol_order&gt;4,OFFSET(ENAVolCoef,5,impvol_order-2)*G147^5,0)</f>
        <v>0.575642421166373</v>
      </c>
      <c r="BB147" s="48" t="e">
        <f aca="false">EURO(UnderlyingPrice,$D147,IntRate,Yield,AX147,$D$6,1,0)</f>
        <v>#NAME?</v>
      </c>
      <c r="BC147" s="48" t="e">
        <f aca="false">EURO(UnderlyingPrice,$D147*(1+$P$8),IntRate,Yield,AY147,$D$6,1,0)</f>
        <v>#NAME?</v>
      </c>
      <c r="BD147" s="48" t="e">
        <f aca="false">EURO(UnderlyingPrice,$D147*(1-$P$8),IntRate,Yield,AZ147,$D$6,1,0)</f>
        <v>#NAME?</v>
      </c>
      <c r="BF147" s="80" t="e">
        <f aca="false">(BC147+BD147-2*BB147)/($P$8*$D147)^2</f>
        <v>#NAME?</v>
      </c>
      <c r="BG147" s="48" t="e">
        <f aca="false">+BF147/$D$9</f>
        <v>#NAME?</v>
      </c>
      <c r="BI147" s="79"/>
    </row>
    <row r="148" customFormat="false" ht="11.25" hidden="false" customHeight="false" outlineLevel="0" collapsed="false">
      <c r="C148" s="77"/>
      <c r="D148" s="78" t="n">
        <f aca="true">+D147+UTFactor*(ROUNDUP(MAX(StrikeRange),1)-ROUNDDOWN(MIN(StrikeRange),1))/100</f>
        <v>9.30000000000001</v>
      </c>
      <c r="E148" s="64" t="n">
        <f aca="false">+D148/UnderlyingPrice-1</f>
        <v>0.919504643962851</v>
      </c>
      <c r="F148" s="64" t="n">
        <f aca="false">+D148*(1+$P$8)/UnderlyingPrice-1</f>
        <v>0.920464396284832</v>
      </c>
      <c r="G148" s="64" t="n">
        <f aca="false">+D148*(1-$P$8)/UnderlyingPrice-1</f>
        <v>0.918544891640869</v>
      </c>
      <c r="H148" s="64" t="n">
        <f aca="true">OFFSET(VolSkewCoef,0,impvol_order-2)+OFFSET(VolSkewCoef,1,impvol_order-2)*F148+OFFSET(VolSkewCoef,2,impvol_order-2)*F148^2+IF(impvol_order&gt;2,OFFSET(VolSkewCoef,3,impvol_order-2)*F148^3,0)+IF(impvol_order&gt;3,OFFSET(VolSkewCoef,4,impvol_order-2)*F148^4,0)+IF(impvol_order&gt;4,OFFSET(VolSkewCoef,5,impvol_order-2)*F148^5,0)</f>
        <v>0.596649028757796</v>
      </c>
      <c r="I148" s="64" t="n">
        <f aca="true">OFFSET(VolSkewCoef,0,impvol_order-2)+OFFSET(VolSkewCoef,1,impvol_order-2)*E148+OFFSET(VolSkewCoef,2,impvol_order-2)*E148^2+IF(impvol_order&gt;2,OFFSET(VolSkewCoef,3,impvol_order-2)*E148^3,0)+IF(impvol_order&gt;3,OFFSET(VolSkewCoef,4,impvol_order-2)*E148^4,0)+IF(impvol_order&gt;4,OFFSET(VolSkewCoef,5,impvol_order-2)*E148^5,0)</f>
        <v>0.59666980482569</v>
      </c>
      <c r="J148" s="64" t="n">
        <f aca="true">OFFSET(VolSkewCoef,0,impvol_order-2)+OFFSET(VolSkewCoef,1,impvol_order-2)*G148+OFFSET(VolSkewCoef,2,impvol_order-2)*G148^2+IF(impvol_order&gt;2,OFFSET(VolSkewCoef,3,impvol_order-2)*G148^3,0)+IF(impvol_order&gt;3,OFFSET(VolSkewCoef,4,impvol_order-2)*G148^4,0)+IF(impvol_order&gt;4,OFFSET(VolSkewCoef,5,impvol_order-2)*G148^5,0)</f>
        <v>0.596690079814679</v>
      </c>
      <c r="L148" s="79"/>
      <c r="M148" s="79"/>
      <c r="O148" s="79"/>
      <c r="P148" s="79"/>
      <c r="R148" s="80" t="n">
        <f aca="false">(1/($D148*SQRT(2*PI()*T/365.25*$I$140^2)))</f>
        <v>0.12277884160064</v>
      </c>
      <c r="S148" s="80" t="n">
        <f aca="false">LN($D148/UnderlyingPrice)+0.5*T/365.25*$I$140^2</f>
        <v>0.713101905619603</v>
      </c>
      <c r="T148" s="80" t="n">
        <f aca="false">-(S148^2)</f>
        <v>-0.508514327798309</v>
      </c>
      <c r="U148" s="80" t="n">
        <f aca="false">T148/(2*T/365.25*$I$140^2)</f>
        <v>-2.08288852296055</v>
      </c>
      <c r="V148" s="80"/>
      <c r="W148" s="100" t="e">
        <f aca="false">(Alpha2*R148)*EXP(Gamma2^2*U148)</f>
        <v>#NAME?</v>
      </c>
      <c r="Z148" s="80" t="n">
        <f aca="false">(1/(D148*SQRT(2*PI()*T/365.25*ATMImpVol^2)))</f>
        <v>0.130800142518009</v>
      </c>
      <c r="AA148" s="80" t="n">
        <f aca="false">LN(D148/UnderlyingPrice)+0.5*T/365.25*ATMImpVol^2</f>
        <v>0.70584554582892</v>
      </c>
      <c r="AB148" s="80" t="n">
        <f aca="false">-(AA148^2)</f>
        <v>-0.498217934566526</v>
      </c>
      <c r="AC148" s="80" t="n">
        <f aca="false">AB148/(2*T/365.25*ATMImpVol^2)</f>
        <v>-2.31606935976988</v>
      </c>
      <c r="AD148" s="82" t="n">
        <f aca="false">EXP(AC148)</f>
        <v>0.0986606238692741</v>
      </c>
      <c r="AE148" s="82" t="n">
        <f aca="false">AD148*Z148</f>
        <v>0.0129048236630167</v>
      </c>
      <c r="AF148" s="82"/>
      <c r="AG148" s="102" t="n">
        <f aca="false">AG147+UTFactor*(MaxStandard-MinStandard)/100</f>
        <v>2.94605937590516</v>
      </c>
      <c r="AH148" s="83" t="n">
        <f aca="false">(LN(($D148*(1+$P$8))/UnderlyingPrice)+0.5*ATMImpVol^2*(T/365.25))/(ATMImpVol*SQRT(T/365.25))</f>
        <v>2.15376459747955</v>
      </c>
      <c r="AI148" s="83" t="n">
        <f aca="false">(LN($D148*(1-$P$8)/UnderlyingPrice)+0.5*ATMImpVol^2*(T/365.25))/(ATMImpVol*SQRT(T/365.25))</f>
        <v>2.15071543100473</v>
      </c>
      <c r="AJ148" s="81"/>
      <c r="AK148" s="83" t="e">
        <f aca="false">W148/(AH148-AI148)*(D148*2*$P$8)</f>
        <v>#NAME?</v>
      </c>
      <c r="AL148" s="81"/>
      <c r="AM148" s="84"/>
      <c r="AX148" s="87" t="n">
        <f aca="true">OFFSET(ENAVolCoef,0,impvol_order-2)+OFFSET(ENAVolCoef,1,impvol_order-2)*E148+OFFSET(ENAVolCoef,2,impvol_order-2)*E148^2+IF(impvol_order&gt;2,OFFSET(ENAVolCoef,3,impvol_order-2)*E148^3,0)+IF(impvol_order&gt;3,OFFSET(ENAVolCoef,4,impvol_order-2)*E148^4,0)+IF(impvol_order&gt;4,OFFSET(ENAVolCoef,5,impvol_order-2)*E148^5,0)</f>
        <v>0.581397471945575</v>
      </c>
      <c r="AY148" s="87" t="n">
        <f aca="true">OFFSET(ENAVolCoef,0,impvol_order-2)+OFFSET(ENAVolCoef,1,impvol_order-2)*F148+OFFSET(ENAVolCoef,2,impvol_order-2)*F148^2+IF(impvol_order&gt;2,OFFSET(ENAVolCoef,3,impvol_order-2)*F148^3,0)+IF(impvol_order&gt;3,OFFSET(ENAVolCoef,4,impvol_order-2)*F148^4,0)+IF(impvol_order&gt;4,OFFSET(ENAVolCoef,5,impvol_order-2)*F148^5,0)</f>
        <v>0.581464632516577</v>
      </c>
      <c r="AZ148" s="87" t="n">
        <f aca="true">OFFSET(ENAVolCoef,0,impvol_order-2)+OFFSET(ENAVolCoef,1,impvol_order-2)*G148+OFFSET(ENAVolCoef,2,impvol_order-2)*G148^2+IF(impvol_order&gt;2,OFFSET(ENAVolCoef,3,impvol_order-2)*G148^3,0)+IF(impvol_order&gt;3,OFFSET(ENAVolCoef,4,impvol_order-2)*G148^4,0)+IF(impvol_order&gt;4,OFFSET(ENAVolCoef,5,impvol_order-2)*G148^5,0)</f>
        <v>0.581330081860116</v>
      </c>
      <c r="BB148" s="48" t="e">
        <f aca="false">EURO(UnderlyingPrice,$D148,IntRate,Yield,AX148,$D$6,1,0)</f>
        <v>#NAME?</v>
      </c>
      <c r="BC148" s="48" t="e">
        <f aca="false">EURO(UnderlyingPrice,$D148*(1+$P$8),IntRate,Yield,AY148,$D$6,1,0)</f>
        <v>#NAME?</v>
      </c>
      <c r="BD148" s="48" t="e">
        <f aca="false">EURO(UnderlyingPrice,$D148*(1-$P$8),IntRate,Yield,AZ148,$D$6,1,0)</f>
        <v>#NAME?</v>
      </c>
      <c r="BF148" s="80" t="e">
        <f aca="false">(BC148+BD148-2*BB148)/($P$8*$D148)^2</f>
        <v>#NAME?</v>
      </c>
      <c r="BG148" s="48" t="e">
        <f aca="false">+BF148/$D$9</f>
        <v>#NAME?</v>
      </c>
      <c r="BI148" s="79"/>
    </row>
    <row r="149" customFormat="false" ht="11.25" hidden="false" customHeight="false" outlineLevel="0" collapsed="false">
      <c r="C149" s="77"/>
      <c r="D149" s="78" t="n">
        <f aca="true">+D148+UTFactor*(ROUNDUP(MAX(StrikeRange),1)-ROUNDDOWN(MIN(StrikeRange),1))/100</f>
        <v>9.65000000000001</v>
      </c>
      <c r="E149" s="64" t="n">
        <f aca="false">+D149/UnderlyingPrice-1</f>
        <v>0.991744066047474</v>
      </c>
      <c r="F149" s="64" t="n">
        <f aca="false">+D149*(1+$P$8)/UnderlyingPrice-1</f>
        <v>0.992739938080498</v>
      </c>
      <c r="G149" s="64" t="n">
        <f aca="false">+D149*(1-$P$8)/UnderlyingPrice-1</f>
        <v>0.99074819401445</v>
      </c>
      <c r="H149" s="64" t="n">
        <f aca="true">OFFSET(VolSkewCoef,0,impvol_order-2)+OFFSET(VolSkewCoef,1,impvol_order-2)*F149+OFFSET(VolSkewCoef,2,impvol_order-2)*F149^2+IF(impvol_order&gt;2,OFFSET(VolSkewCoef,3,impvol_order-2)*F149^3,0)+IF(impvol_order&gt;3,OFFSET(VolSkewCoef,4,impvol_order-2)*F149^4,0)+IF(impvol_order&gt;4,OFFSET(VolSkewCoef,5,impvol_order-2)*F149^5,0)</f>
        <v>0.593578547805245</v>
      </c>
      <c r="I149" s="64" t="n">
        <f aca="true">OFFSET(VolSkewCoef,0,impvol_order-2)+OFFSET(VolSkewCoef,1,impvol_order-2)*E149+OFFSET(VolSkewCoef,2,impvol_order-2)*E149^2+IF(impvol_order&gt;2,OFFSET(VolSkewCoef,3,impvol_order-2)*E149^3,0)+IF(impvol_order&gt;3,OFFSET(VolSkewCoef,4,impvol_order-2)*E149^4,0)+IF(impvol_order&gt;4,OFFSET(VolSkewCoef,5,impvol_order-2)*E149^5,0)</f>
        <v>0.593641915619619</v>
      </c>
      <c r="J149" s="64" t="n">
        <f aca="true">OFFSET(VolSkewCoef,0,impvol_order-2)+OFFSET(VolSkewCoef,1,impvol_order-2)*G149+OFFSET(VolSkewCoef,2,impvol_order-2)*G149^2+IF(impvol_order&gt;2,OFFSET(VolSkewCoef,3,impvol_order-2)*G149^3,0)+IF(impvol_order&gt;3,OFFSET(VolSkewCoef,4,impvol_order-2)*G149^4,0)+IF(impvol_order&gt;4,OFFSET(VolSkewCoef,5,impvol_order-2)*G149^5,0)</f>
        <v>0.593704671450148</v>
      </c>
      <c r="L149" s="79"/>
      <c r="M149" s="79"/>
      <c r="O149" s="79"/>
      <c r="P149" s="79"/>
      <c r="R149" s="80" t="n">
        <f aca="false">(1/($D149*SQRT(2*PI()*T/365.25*$I$140^2)))</f>
        <v>0.118325722993363</v>
      </c>
      <c r="S149" s="80" t="n">
        <f aca="false">LN($D149/UnderlyingPrice)+0.5*T/365.25*$I$140^2</f>
        <v>0.750045420811287</v>
      </c>
      <c r="T149" s="80" t="n">
        <f aca="false">-(S149^2)</f>
        <v>-0.56256813327998</v>
      </c>
      <c r="U149" s="80" t="n">
        <f aca="false">T149/(2*T/365.25*$I$140^2)</f>
        <v>-2.30429438097754</v>
      </c>
      <c r="V149" s="80"/>
      <c r="W149" s="100" t="e">
        <f aca="false">(Alpha2*R149)*EXP(Gamma2^2*U149)</f>
        <v>#NAME?</v>
      </c>
      <c r="Z149" s="80" t="n">
        <f aca="false">(1/(D149*SQRT(2*PI()*T/365.25*ATMImpVol^2)))</f>
        <v>0.126056095898184</v>
      </c>
      <c r="AA149" s="80" t="n">
        <f aca="false">LN(D149/UnderlyingPrice)+0.5*T/365.25*ATMImpVol^2</f>
        <v>0.742789061020604</v>
      </c>
      <c r="AB149" s="80" t="n">
        <f aca="false">-(AA149^2)</f>
        <v>-0.551735589171871</v>
      </c>
      <c r="AC149" s="80" t="n">
        <f aca="false">AB149/(2*T/365.25*ATMImpVol^2)</f>
        <v>-2.56485727252543</v>
      </c>
      <c r="AD149" s="82" t="n">
        <f aca="false">EXP(AC149)</f>
        <v>0.0769301607058505</v>
      </c>
      <c r="AE149" s="82" t="n">
        <f aca="false">AD149*Z149</f>
        <v>0.00969751571539943</v>
      </c>
      <c r="AF149" s="82"/>
      <c r="AG149" s="102" t="n">
        <f aca="false">AG148+UTFactor*(MaxStandard-MinStandard)/100</f>
        <v>3.18181782484562</v>
      </c>
      <c r="AH149" s="83" t="n">
        <f aca="false">(LN(($D149*(1+$P$8))/UnderlyingPrice)+0.5*ATMImpVol^2*(T/365.25))/(ATMImpVol*SQRT(T/365.25))</f>
        <v>2.26641151607673</v>
      </c>
      <c r="AI149" s="83" t="n">
        <f aca="false">(LN($D149*(1-$P$8)/UnderlyingPrice)+0.5*ATMImpVol^2*(T/365.25))/(ATMImpVol*SQRT(T/365.25))</f>
        <v>2.26336234960191</v>
      </c>
      <c r="AJ149" s="81"/>
      <c r="AK149" s="83" t="e">
        <f aca="false">W149/(AH149-AI149)*(D149*2*$P$8)</f>
        <v>#NAME?</v>
      </c>
      <c r="AL149" s="81"/>
      <c r="AM149" s="84"/>
      <c r="AX149" s="87" t="n">
        <f aca="true">OFFSET(ENAVolCoef,0,impvol_order-2)+OFFSET(ENAVolCoef,1,impvol_order-2)*E149+OFFSET(ENAVolCoef,2,impvol_order-2)*E149^2+IF(impvol_order&gt;2,OFFSET(ENAVolCoef,3,impvol_order-2)*E149^3,0)+IF(impvol_order&gt;3,OFFSET(ENAVolCoef,4,impvol_order-2)*E149^4,0)+IF(impvol_order&gt;4,OFFSET(ENAVolCoef,5,impvol_order-2)*E149^5,0)</f>
        <v>0.585772265213497</v>
      </c>
      <c r="AY149" s="87" t="n">
        <f aca="true">OFFSET(ENAVolCoef,0,impvol_order-2)+OFFSET(ENAVolCoef,1,impvol_order-2)*F149+OFFSET(ENAVolCoef,2,impvol_order-2)*F149^2+IF(impvol_order&gt;2,OFFSET(ENAVolCoef,3,impvol_order-2)*F149^3,0)+IF(impvol_order&gt;3,OFFSET(ENAVolCoef,4,impvol_order-2)*F149^4,0)+IF(impvol_order&gt;4,OFFSET(ENAVolCoef,5,impvol_order-2)*F149^5,0)</f>
        <v>0.585822396515258</v>
      </c>
      <c r="AZ149" s="87" t="n">
        <f aca="true">OFFSET(ENAVolCoef,0,impvol_order-2)+OFFSET(ENAVolCoef,1,impvol_order-2)*G149+OFFSET(ENAVolCoef,2,impvol_order-2)*G149^2+IF(impvol_order&gt;2,OFFSET(ENAVolCoef,3,impvol_order-2)*G149^3,0)+IF(impvol_order&gt;3,OFFSET(ENAVolCoef,4,impvol_order-2)*G149^4,0)+IF(impvol_order&gt;4,OFFSET(ENAVolCoef,5,impvol_order-2)*G149^5,0)</f>
        <v>0.585721842550868</v>
      </c>
      <c r="BB149" s="48" t="e">
        <f aca="false">EURO(UnderlyingPrice,$D149,IntRate,Yield,AX149,$D$6,1,0)</f>
        <v>#NAME?</v>
      </c>
      <c r="BC149" s="48" t="e">
        <f aca="false">EURO(UnderlyingPrice,$D149*(1+$P$8),IntRate,Yield,AY149,$D$6,1,0)</f>
        <v>#NAME?</v>
      </c>
      <c r="BD149" s="48" t="e">
        <f aca="false">EURO(UnderlyingPrice,$D149*(1-$P$8),IntRate,Yield,AZ149,$D$6,1,0)</f>
        <v>#NAME?</v>
      </c>
      <c r="BF149" s="80" t="e">
        <f aca="false">(BC149+BD149-2*BB149)/($P$8*$D149)^2</f>
        <v>#NAME?</v>
      </c>
      <c r="BG149" s="48" t="e">
        <f aca="false">+BF149/$D$9</f>
        <v>#NAME?</v>
      </c>
      <c r="BI149" s="79"/>
    </row>
    <row r="150" customFormat="false" ht="11.25" hidden="false" customHeight="false" outlineLevel="0" collapsed="false">
      <c r="C150" s="77"/>
      <c r="D150" s="78" t="n">
        <f aca="true">+D149+UTFactor*(ROUNDUP(MAX(StrikeRange),1)-ROUNDDOWN(MIN(StrikeRange),1))/100</f>
        <v>10</v>
      </c>
      <c r="E150" s="64" t="n">
        <f aca="false">+D150/UnderlyingPrice-1</f>
        <v>1.0639834881321</v>
      </c>
      <c r="F150" s="64" t="n">
        <f aca="false">+D150*(1+$P$8)/UnderlyingPrice-1</f>
        <v>1.06501547987616</v>
      </c>
      <c r="G150" s="64" t="n">
        <f aca="false">+D150*(1-$P$8)/UnderlyingPrice-1</f>
        <v>1.06295149638803</v>
      </c>
      <c r="H150" s="64" t="n">
        <f aca="true">OFFSET(VolSkewCoef,0,impvol_order-2)+OFFSET(VolSkewCoef,1,impvol_order-2)*F150+OFFSET(VolSkewCoef,2,impvol_order-2)*F150^2+IF(impvol_order&gt;2,OFFSET(VolSkewCoef,3,impvol_order-2)*F150^3,0)+IF(impvol_order&gt;3,OFFSET(VolSkewCoef,4,impvol_order-2)*F150^4,0)+IF(impvol_order&gt;4,OFFSET(VolSkewCoef,5,impvol_order-2)*F150^5,0)</f>
        <v>0.587279393642349</v>
      </c>
      <c r="I150" s="64" t="n">
        <f aca="true">OFFSET(VolSkewCoef,0,impvol_order-2)+OFFSET(VolSkewCoef,1,impvol_order-2)*E150+OFFSET(VolSkewCoef,2,impvol_order-2)*E150^2+IF(impvol_order&gt;2,OFFSET(VolSkewCoef,3,impvol_order-2)*E150^3,0)+IF(impvol_order&gt;3,OFFSET(VolSkewCoef,4,impvol_order-2)*E150^4,0)+IF(impvol_order&gt;4,OFFSET(VolSkewCoef,5,impvol_order-2)*E150^5,0)</f>
        <v>0.587393837045617</v>
      </c>
      <c r="J150" s="64" t="n">
        <f aca="true">OFFSET(VolSkewCoef,0,impvol_order-2)+OFFSET(VolSkewCoef,1,impvol_order-2)*G150+OFFSET(VolSkewCoef,2,impvol_order-2)*G150^2+IF(impvol_order&gt;2,OFFSET(VolSkewCoef,3,impvol_order-2)*G150^3,0)+IF(impvol_order&gt;3,OFFSET(VolSkewCoef,4,impvol_order-2)*G150^4,0)+IF(impvol_order&gt;4,OFFSET(VolSkewCoef,5,impvol_order-2)*G150^5,0)</f>
        <v>0.587507545434826</v>
      </c>
      <c r="L150" s="79"/>
      <c r="M150" s="79"/>
      <c r="O150" s="79"/>
      <c r="P150" s="79"/>
      <c r="R150" s="80" t="n">
        <f aca="false">(1/($D150*SQRT(2*PI()*T/365.25*$I$140^2)))</f>
        <v>0.114184322688596</v>
      </c>
      <c r="S150" s="80" t="n">
        <f aca="false">LN($D150/UnderlyingPrice)+0.5*T/365.25*$I$140^2</f>
        <v>0.785672598454438</v>
      </c>
      <c r="T150" s="80" t="n">
        <f aca="false">-(S150^2)</f>
        <v>-0.617281431962148</v>
      </c>
      <c r="U150" s="80" t="n">
        <f aca="false">T150/(2*T/365.25*$I$140^2)</f>
        <v>-2.52840154108808</v>
      </c>
      <c r="V150" s="80"/>
      <c r="W150" s="100" t="e">
        <f aca="false">(Alpha2*R150)*EXP(Gamma2^2*U150)</f>
        <v>#NAME?</v>
      </c>
      <c r="Z150" s="80" t="n">
        <f aca="false">(1/(D150*SQRT(2*PI()*T/365.25*ATMImpVol^2)))</f>
        <v>0.121644132541748</v>
      </c>
      <c r="AA150" s="80" t="n">
        <f aca="false">LN(D150/UnderlyingPrice)+0.5*T/365.25*ATMImpVol^2</f>
        <v>0.778416238663755</v>
      </c>
      <c r="AB150" s="80" t="n">
        <f aca="false">-(AA150^2)</f>
        <v>-0.605931840615428</v>
      </c>
      <c r="AC150" s="80" t="n">
        <f aca="false">AB150/(2*T/365.25*ATMImpVol^2)</f>
        <v>-2.81679978337064</v>
      </c>
      <c r="AD150" s="82" t="n">
        <f aca="false">EXP(AC150)</f>
        <v>0.0597970001876074</v>
      </c>
      <c r="AE150" s="82" t="n">
        <f aca="false">AD150*Z150</f>
        <v>0.00727395421642025</v>
      </c>
      <c r="AF150" s="82"/>
      <c r="AG150" s="102" t="n">
        <f aca="false">AG149+UTFactor*(MaxStandard-MinStandard)/100</f>
        <v>3.41757627378609</v>
      </c>
      <c r="AH150" s="83" t="n">
        <f aca="false">(LN(($D150*(1+$P$8))/UnderlyingPrice)+0.5*ATMImpVol^2*(T/365.25))/(ATMImpVol*SQRT(T/365.25))</f>
        <v>2.37504470268586</v>
      </c>
      <c r="AI150" s="83" t="n">
        <f aca="false">(LN($D150*(1-$P$8)/UnderlyingPrice)+0.5*ATMImpVol^2*(T/365.25))/(ATMImpVol*SQRT(T/365.25))</f>
        <v>2.37199553621104</v>
      </c>
      <c r="AJ150" s="81"/>
      <c r="AK150" s="83" t="e">
        <f aca="false">W150/(AH150-AI150)*(D150*2*$P$8)</f>
        <v>#NAME?</v>
      </c>
      <c r="AL150" s="81"/>
      <c r="AM150" s="84"/>
      <c r="AX150" s="87" t="n">
        <f aca="true">OFFSET(ENAVolCoef,0,impvol_order-2)+OFFSET(ENAVolCoef,1,impvol_order-2)*E150+OFFSET(ENAVolCoef,2,impvol_order-2)*E150^2+IF(impvol_order&gt;2,OFFSET(ENAVolCoef,3,impvol_order-2)*E150^3,0)+IF(impvol_order&gt;3,OFFSET(ENAVolCoef,4,impvol_order-2)*E150^4,0)+IF(impvol_order&gt;4,OFFSET(ENAVolCoef,5,impvol_order-2)*E150^5,0)</f>
        <v>0.588613950746894</v>
      </c>
      <c r="AY150" s="87" t="n">
        <f aca="true">OFFSET(ENAVolCoef,0,impvol_order-2)+OFFSET(ENAVolCoef,1,impvol_order-2)*F150+OFFSET(ENAVolCoef,2,impvol_order-2)*F150^2+IF(impvol_order&gt;2,OFFSET(ENAVolCoef,3,impvol_order-2)*F150^3,0)+IF(impvol_order&gt;3,OFFSET(ENAVolCoef,4,impvol_order-2)*F150^4,0)+IF(impvol_order&gt;4,OFFSET(ENAVolCoef,5,impvol_order-2)*F150^5,0)</f>
        <v>0.58864230651962</v>
      </c>
      <c r="AZ150" s="87" t="n">
        <f aca="true">OFFSET(ENAVolCoef,0,impvol_order-2)+OFFSET(ENAVolCoef,1,impvol_order-2)*G150+OFFSET(ENAVolCoef,2,impvol_order-2)*G150^2+IF(impvol_order&gt;2,OFFSET(ENAVolCoef,3,impvol_order-2)*G150^3,0)+IF(impvol_order&gt;3,OFFSET(ENAVolCoef,4,impvol_order-2)*G150^4,0)+IF(impvol_order&gt;4,OFFSET(ENAVolCoef,5,impvol_order-2)*G150^5,0)</f>
        <v>0.588585234581219</v>
      </c>
      <c r="BB150" s="48" t="e">
        <f aca="false">EURO(UnderlyingPrice,$D150,IntRate,Yield,AX150,$D$6,1,0)</f>
        <v>#NAME?</v>
      </c>
      <c r="BC150" s="48" t="e">
        <f aca="false">EURO(UnderlyingPrice,$D150*(1+$P$8),IntRate,Yield,AY150,$D$6,1,0)</f>
        <v>#NAME?</v>
      </c>
      <c r="BD150" s="48" t="e">
        <f aca="false">EURO(UnderlyingPrice,$D150*(1-$P$8),IntRate,Yield,AZ150,$D$6,1,0)</f>
        <v>#NAME?</v>
      </c>
      <c r="BF150" s="80" t="e">
        <f aca="false">(BC150+BD150-2*BB150)/($P$8*$D150)^2</f>
        <v>#NAME?</v>
      </c>
      <c r="BG150" s="48" t="e">
        <f aca="false">+BF150/$D$9</f>
        <v>#NAME?</v>
      </c>
      <c r="BI150" s="79"/>
    </row>
    <row r="151" customFormat="false" ht="11.25" hidden="false" customHeight="false" outlineLevel="0" collapsed="false">
      <c r="C151" s="77"/>
      <c r="D151" s="78" t="n">
        <f aca="true">+D150+UTFactor*(ROUNDUP(MAX(StrikeRange),1)-ROUNDDOWN(MIN(StrikeRange),1))/100</f>
        <v>10.35</v>
      </c>
      <c r="E151" s="64" t="n">
        <f aca="false">+D151/UnderlyingPrice-1</f>
        <v>1.13622291021672</v>
      </c>
      <c r="F151" s="64" t="n">
        <f aca="false">+D151*(1+$P$8)/UnderlyingPrice-1</f>
        <v>1.13729102167183</v>
      </c>
      <c r="G151" s="64" t="n">
        <f aca="false">+D151*(1-$P$8)/UnderlyingPrice-1</f>
        <v>1.13515479876161</v>
      </c>
      <c r="H151" s="64" t="n">
        <f aca="true">OFFSET(VolSkewCoef,0,impvol_order-2)+OFFSET(VolSkewCoef,1,impvol_order-2)*F151+OFFSET(VolSkewCoef,2,impvol_order-2)*F151^2+IF(impvol_order&gt;2,OFFSET(VolSkewCoef,3,impvol_order-2)*F151^3,0)+IF(impvol_order&gt;3,OFFSET(VolSkewCoef,4,impvol_order-2)*F151^4,0)+IF(impvol_order&gt;4,OFFSET(VolSkewCoef,5,impvol_order-2)*F151^5,0)</f>
        <v>0.577369614393877</v>
      </c>
      <c r="I151" s="64" t="n">
        <f aca="true">OFFSET(VolSkewCoef,0,impvol_order-2)+OFFSET(VolSkewCoef,1,impvol_order-2)*E151+OFFSET(VolSkewCoef,2,impvol_order-2)*E151^2+IF(impvol_order&gt;2,OFFSET(VolSkewCoef,3,impvol_order-2)*E151^3,0)+IF(impvol_order&gt;3,OFFSET(VolSkewCoef,4,impvol_order-2)*E151^4,0)+IF(impvol_order&gt;4,OFFSET(VolSkewCoef,5,impvol_order-2)*E151^5,0)</f>
        <v>0.577544189583814</v>
      </c>
      <c r="J151" s="64" t="n">
        <f aca="true">OFFSET(VolSkewCoef,0,impvol_order-2)+OFFSET(VolSkewCoef,1,impvol_order-2)*G151+OFFSET(VolSkewCoef,2,impvol_order-2)*G151^2+IF(impvol_order&gt;2,OFFSET(VolSkewCoef,3,impvol_order-2)*G151^3,0)+IF(impvol_order&gt;3,OFFSET(VolSkewCoef,4,impvol_order-2)*G151^4,0)+IF(impvol_order&gt;4,OFFSET(VolSkewCoef,5,impvol_order-2)*G151^5,0)</f>
        <v>0.577717894032138</v>
      </c>
      <c r="L151" s="79"/>
      <c r="M151" s="79"/>
      <c r="O151" s="79"/>
      <c r="P151" s="79"/>
      <c r="R151" s="80" t="n">
        <f aca="false">(1/($D151*SQRT(2*PI()*T/365.25*$I$140^2)))</f>
        <v>0.11032301709043</v>
      </c>
      <c r="S151" s="80" t="n">
        <f aca="false">LN($D151/UnderlyingPrice)+0.5*T/365.25*$I$140^2</f>
        <v>0.82007402517177</v>
      </c>
      <c r="T151" s="80" t="n">
        <f aca="false">-(S151^2)</f>
        <v>-0.672521406761429</v>
      </c>
      <c r="U151" s="80" t="n">
        <f aca="false">T151/(2*T/365.25*$I$140^2)</f>
        <v>-2.75466598090478</v>
      </c>
      <c r="V151" s="80"/>
      <c r="W151" s="100" t="e">
        <f aca="false">(Alpha2*R151)*EXP(Gamma2^2*U151)</f>
        <v>#NAME?</v>
      </c>
      <c r="Z151" s="80" t="n">
        <f aca="false">(1/(D151*SQRT(2*PI()*T/365.25*ATMImpVol^2)))</f>
        <v>0.117530562842269</v>
      </c>
      <c r="AA151" s="80" t="n">
        <f aca="false">LN(D151/UnderlyingPrice)+0.5*T/365.25*ATMImpVol^2</f>
        <v>0.812817665381088</v>
      </c>
      <c r="AB151" s="80" t="n">
        <f aca="false">-(AA151^2)</f>
        <v>-0.660672557155562</v>
      </c>
      <c r="AC151" s="80" t="n">
        <f aca="false">AB151/(2*T/365.25*ATMImpVol^2)</f>
        <v>-3.07127335309623</v>
      </c>
      <c r="AD151" s="82" t="n">
        <f aca="false">EXP(AC151)</f>
        <v>0.046362081954477</v>
      </c>
      <c r="AE151" s="82" t="n">
        <f aca="false">AD151*Z151</f>
        <v>0.00544896158664906</v>
      </c>
      <c r="AF151" s="82"/>
      <c r="AG151" s="102" t="n">
        <f aca="false">AG150+UTFactor*(MaxStandard-MinStandard)/100</f>
        <v>3.65333472272655</v>
      </c>
      <c r="AH151" s="83" t="n">
        <f aca="false">(LN(($D151*(1+$P$8))/UnderlyingPrice)+0.5*ATMImpVol^2*(T/365.25))/(ATMImpVol*SQRT(T/365.25))</f>
        <v>2.47994037097696</v>
      </c>
      <c r="AI151" s="83" t="n">
        <f aca="false">(LN($D151*(1-$P$8)/UnderlyingPrice)+0.5*ATMImpVol^2*(T/365.25))/(ATMImpVol*SQRT(T/365.25))</f>
        <v>2.47689120450214</v>
      </c>
      <c r="AJ151" s="81"/>
      <c r="AK151" s="83" t="e">
        <f aca="false">W151/(AH151-AI151)*(D151*2*$P$8)</f>
        <v>#NAME?</v>
      </c>
      <c r="AL151" s="81"/>
      <c r="AM151" s="84"/>
      <c r="AX151" s="87" t="n">
        <f aca="true">OFFSET(ENAVolCoef,0,impvol_order-2)+OFFSET(ENAVolCoef,1,impvol_order-2)*E151+OFFSET(ENAVolCoef,2,impvol_order-2)*E151^2+IF(impvol_order&gt;2,OFFSET(ENAVolCoef,3,impvol_order-2)*E151^3,0)+IF(impvol_order&gt;3,OFFSET(ENAVolCoef,4,impvol_order-2)*E151^4,0)+IF(impvol_order&gt;4,OFFSET(ENAVolCoef,5,impvol_order-2)*E151^5,0)</f>
        <v>0.589689710836376</v>
      </c>
      <c r="AY151" s="87" t="n">
        <f aca="true">OFFSET(ENAVolCoef,0,impvol_order-2)+OFFSET(ENAVolCoef,1,impvol_order-2)*F151+OFFSET(ENAVolCoef,2,impvol_order-2)*F151^2+IF(impvol_order&gt;2,OFFSET(ENAVolCoef,3,impvol_order-2)*F151^3,0)+IF(impvol_order&gt;3,OFFSET(ENAVolCoef,4,impvol_order-2)*F151^4,0)+IF(impvol_order&gt;4,OFFSET(ENAVolCoef,5,impvol_order-2)*F151^5,0)</f>
        <v>0.589691195419067</v>
      </c>
      <c r="AZ151" s="87" t="n">
        <f aca="true">OFFSET(ENAVolCoef,0,impvol_order-2)+OFFSET(ENAVolCoef,1,impvol_order-2)*G151+OFFSET(ENAVolCoef,2,impvol_order-2)*G151^2+IF(impvol_order&gt;2,OFFSET(ENAVolCoef,3,impvol_order-2)*G151^3,0)+IF(impvol_order&gt;3,OFFSET(ENAVolCoef,4,impvol_order-2)*G151^4,0)+IF(impvol_order&gt;4,OFFSET(ENAVolCoef,5,impvol_order-2)*G151^5,0)</f>
        <v>0.58968778929376</v>
      </c>
      <c r="BB151" s="48" t="e">
        <f aca="false">EURO(UnderlyingPrice,$D151,IntRate,Yield,AX151,$D$6,1,0)</f>
        <v>#NAME?</v>
      </c>
      <c r="BC151" s="48" t="e">
        <f aca="false">EURO(UnderlyingPrice,$D151*(1+$P$8),IntRate,Yield,AY151,$D$6,1,0)</f>
        <v>#NAME?</v>
      </c>
      <c r="BD151" s="48" t="e">
        <f aca="false">EURO(UnderlyingPrice,$D151*(1-$P$8),IntRate,Yield,AZ151,$D$6,1,0)</f>
        <v>#NAME?</v>
      </c>
      <c r="BF151" s="80" t="e">
        <f aca="false">(BC151+BD151-2*BB151)/($P$8*$D151)^2</f>
        <v>#NAME?</v>
      </c>
      <c r="BG151" s="48" t="e">
        <f aca="false">+BF151/$D$9</f>
        <v>#NAME?</v>
      </c>
      <c r="BI151" s="79"/>
    </row>
    <row r="152" customFormat="false" ht="11.25" hidden="false" customHeight="false" outlineLevel="0" collapsed="false">
      <c r="C152" s="77"/>
      <c r="D152" s="78" t="n">
        <f aca="true">+D151+UTFactor*(ROUNDUP(MAX(StrikeRange),1)-ROUNDDOWN(MIN(StrikeRange),1))/100</f>
        <v>10.7</v>
      </c>
      <c r="E152" s="64" t="n">
        <f aca="false">+D152/UnderlyingPrice-1</f>
        <v>1.20846233230134</v>
      </c>
      <c r="F152" s="64" t="n">
        <f aca="false">+D152*(1+$P$8)/UnderlyingPrice-1</f>
        <v>1.20956656346749</v>
      </c>
      <c r="G152" s="64" t="n">
        <f aca="false">+D152*(1-$P$8)/UnderlyingPrice-1</f>
        <v>1.20735810113519</v>
      </c>
      <c r="H152" s="64" t="n">
        <f aca="true">OFFSET(VolSkewCoef,0,impvol_order-2)+OFFSET(VolSkewCoef,1,impvol_order-2)*F152+OFFSET(VolSkewCoef,2,impvol_order-2)*F152^2+IF(impvol_order&gt;2,OFFSET(VolSkewCoef,3,impvol_order-2)*F152^3,0)+IF(impvol_order&gt;3,OFFSET(VolSkewCoef,4,impvol_order-2)*F152^4,0)+IF(impvol_order&gt;4,OFFSET(VolSkewCoef,5,impvol_order-2)*F152^5,0)</f>
        <v>0.563467258184595</v>
      </c>
      <c r="I152" s="64" t="n">
        <f aca="true">OFFSET(VolSkewCoef,0,impvol_order-2)+OFFSET(VolSkewCoef,1,impvol_order-2)*E152+OFFSET(VolSkewCoef,2,impvol_order-2)*E152^2+IF(impvol_order&gt;2,OFFSET(VolSkewCoef,3,impvol_order-2)*E152^3,0)+IF(impvol_order&gt;3,OFFSET(VolSkewCoef,4,impvol_order-2)*E152^4,0)+IF(impvol_order&gt;4,OFFSET(VolSkewCoef,5,impvol_order-2)*E152^5,0)</f>
        <v>0.563711593714341</v>
      </c>
      <c r="J152" s="64" t="n">
        <f aca="true">OFFSET(VolSkewCoef,0,impvol_order-2)+OFFSET(VolSkewCoef,1,impvol_order-2)*G152+OFFSET(VolSkewCoef,2,impvol_order-2)*G152^2+IF(impvol_order&gt;2,OFFSET(VolSkewCoef,3,impvol_order-2)*G152^3,0)+IF(impvol_order&gt;3,OFFSET(VolSkewCoef,4,impvol_order-2)*G152^4,0)+IF(impvol_order&gt;4,OFFSET(VolSkewCoef,5,impvol_order-2)*G152^5,0)</f>
        <v>0.563954909505507</v>
      </c>
      <c r="L152" s="79"/>
      <c r="M152" s="79"/>
      <c r="O152" s="79"/>
      <c r="P152" s="79"/>
      <c r="R152" s="80" t="n">
        <f aca="false">(1/($D152*SQRT(2*PI()*T/365.25*$I$140^2)))</f>
        <v>0.106714320269715</v>
      </c>
      <c r="S152" s="80" t="n">
        <f aca="false">LN($D152/UnderlyingPrice)+0.5*T/365.25*$I$140^2</f>
        <v>0.853331246928253</v>
      </c>
      <c r="T152" s="80" t="n">
        <f aca="false">-(S152^2)</f>
        <v>-0.728174216984126</v>
      </c>
      <c r="U152" s="80" t="n">
        <f aca="false">T152/(2*T/365.25*$I$140^2)</f>
        <v>-2.98262140584875</v>
      </c>
      <c r="V152" s="80"/>
      <c r="W152" s="100" t="e">
        <f aca="false">(Alpha2*R152)*EXP(Gamma2^2*U152)</f>
        <v>#NAME?</v>
      </c>
      <c r="Z152" s="80" t="n">
        <f aca="false">(1/(D152*SQRT(2*PI()*T/365.25*ATMImpVol^2)))</f>
        <v>0.113686105179204</v>
      </c>
      <c r="AA152" s="80" t="n">
        <f aca="false">LN(D152/UnderlyingPrice)+0.5*T/365.25*ATMImpVol^2</f>
        <v>0.84607488713757</v>
      </c>
      <c r="AB152" s="80" t="n">
        <f aca="false">-(AA152^2)</f>
        <v>-0.715842714644852</v>
      </c>
      <c r="AC152" s="80" t="n">
        <f aca="false">AB152/(2*T/365.25*ATMImpVol^2)</f>
        <v>-3.327743268106</v>
      </c>
      <c r="AD152" s="82" t="n">
        <f aca="false">EXP(AC152)</f>
        <v>0.035873971722306</v>
      </c>
      <c r="AE152" s="82" t="n">
        <f aca="false">AD152*Z152</f>
        <v>0.00407837212241786</v>
      </c>
      <c r="AF152" s="82"/>
      <c r="AG152" s="102" t="n">
        <f aca="false">AG151+UTFactor*(MaxStandard-MinStandard)/100</f>
        <v>3.88909317166701</v>
      </c>
      <c r="AH152" s="83" t="n">
        <f aca="false">(LN(($D152*(1+$P$8))/UnderlyingPrice)+0.5*ATMImpVol^2*(T/365.25))/(ATMImpVol*SQRT(T/365.25))</f>
        <v>2.58134716815185</v>
      </c>
      <c r="AI152" s="83" t="n">
        <f aca="false">(LN($D152*(1-$P$8)/UnderlyingPrice)+0.5*ATMImpVol^2*(T/365.25))/(ATMImpVol*SQRT(T/365.25))</f>
        <v>2.57829800167704</v>
      </c>
      <c r="AJ152" s="81"/>
      <c r="AK152" s="83" t="e">
        <f aca="false">W152/(AH152-AI152)*(D152*2*$P$8)</f>
        <v>#NAME?</v>
      </c>
      <c r="AL152" s="81"/>
      <c r="AM152" s="84"/>
      <c r="AX152" s="87" t="n">
        <f aca="true">OFFSET(ENAVolCoef,0,impvol_order-2)+OFFSET(ENAVolCoef,1,impvol_order-2)*E152+OFFSET(ENAVolCoef,2,impvol_order-2)*E152^2+IF(impvol_order&gt;2,OFFSET(ENAVolCoef,3,impvol_order-2)*E152^3,0)+IF(impvol_order&gt;3,OFFSET(ENAVolCoef,4,impvol_order-2)*E152^4,0)+IF(impvol_order&gt;4,OFFSET(ENAVolCoef,5,impvol_order-2)*E152^5,0)</f>
        <v>0.588766727772556</v>
      </c>
      <c r="AY152" s="87" t="n">
        <f aca="true">OFFSET(ENAVolCoef,0,impvol_order-2)+OFFSET(ENAVolCoef,1,impvol_order-2)*F152+OFFSET(ENAVolCoef,2,impvol_order-2)*F152^2+IF(impvol_order&gt;2,OFFSET(ENAVolCoef,3,impvol_order-2)*F152^3,0)+IF(impvol_order&gt;3,OFFSET(ENAVolCoef,4,impvol_order-2)*F152^4,0)+IF(impvol_order&gt;4,OFFSET(ENAVolCoef,5,impvol_order-2)*F152^5,0)</f>
        <v>0.588735896103003</v>
      </c>
      <c r="AZ152" s="87" t="n">
        <f aca="true">OFFSET(ENAVolCoef,0,impvol_order-2)+OFFSET(ENAVolCoef,1,impvol_order-2)*G152+OFFSET(ENAVolCoef,2,impvol_order-2)*G152^2+IF(impvol_order&gt;2,OFFSET(ENAVolCoef,3,impvol_order-2)*G152^3,0)+IF(impvol_order&gt;3,OFFSET(ENAVolCoef,4,impvol_order-2)*G152^4,0)+IF(impvol_order&gt;4,OFFSET(ENAVolCoef,5,impvol_order-2)*G152^5,0)</f>
        <v>0.588797038031081</v>
      </c>
      <c r="BB152" s="48" t="e">
        <f aca="false">EURO(UnderlyingPrice,$D152,IntRate,Yield,AX152,$D$6,1,0)</f>
        <v>#NAME?</v>
      </c>
      <c r="BC152" s="48" t="e">
        <f aca="false">EURO(UnderlyingPrice,$D152*(1+$P$8),IntRate,Yield,AY152,$D$6,1,0)</f>
        <v>#NAME?</v>
      </c>
      <c r="BD152" s="48" t="e">
        <f aca="false">EURO(UnderlyingPrice,$D152*(1-$P$8),IntRate,Yield,AZ152,$D$6,1,0)</f>
        <v>#NAME?</v>
      </c>
      <c r="BF152" s="80" t="e">
        <f aca="false">(BC152+BD152-2*BB152)/($P$8*$D152)^2</f>
        <v>#NAME?</v>
      </c>
      <c r="BG152" s="48" t="e">
        <f aca="false">+BF152/$D$9</f>
        <v>#NAME?</v>
      </c>
      <c r="BI152" s="79"/>
    </row>
    <row r="153" customFormat="false" ht="11.25" hidden="false" customHeight="false" outlineLevel="0" collapsed="false">
      <c r="C153" s="77"/>
      <c r="D153" s="78" t="n">
        <f aca="true">+D152+UTFactor*(ROUNDUP(MAX(StrikeRange),1)-ROUNDDOWN(MIN(StrikeRange),1))/100</f>
        <v>11.05</v>
      </c>
      <c r="E153" s="64" t="n">
        <f aca="false">+D153/UnderlyingPrice-1</f>
        <v>1.28070175438597</v>
      </c>
      <c r="F153" s="64" t="n">
        <f aca="false">+D153*(1+$P$8)/UnderlyingPrice-1</f>
        <v>1.28184210526316</v>
      </c>
      <c r="G153" s="64" t="n">
        <f aca="false">+D153*(1-$P$8)/UnderlyingPrice-1</f>
        <v>1.27956140350877</v>
      </c>
      <c r="H153" s="64" t="n">
        <f aca="true">OFFSET(VolSkewCoef,0,impvol_order-2)+OFFSET(VolSkewCoef,1,impvol_order-2)*F153+OFFSET(VolSkewCoef,2,impvol_order-2)*F153^2+IF(impvol_order&gt;2,OFFSET(VolSkewCoef,3,impvol_order-2)*F153^3,0)+IF(impvol_order&gt;3,OFFSET(VolSkewCoef,4,impvol_order-2)*F153^4,0)+IF(impvol_order&gt;4,OFFSET(VolSkewCoef,5,impvol_order-2)*F153^5,0)</f>
        <v>0.545190373139274</v>
      </c>
      <c r="I153" s="64" t="n">
        <f aca="true">OFFSET(VolSkewCoef,0,impvol_order-2)+OFFSET(VolSkewCoef,1,impvol_order-2)*E153+OFFSET(VolSkewCoef,2,impvol_order-2)*E153^2+IF(impvol_order&gt;2,OFFSET(VolSkewCoef,3,impvol_order-2)*E153^3,0)+IF(impvol_order&gt;3,OFFSET(VolSkewCoef,4,impvol_order-2)*E153^4,0)+IF(impvol_order&gt;4,OFFSET(VolSkewCoef,5,impvol_order-2)*E153^5,0)</f>
        <v>0.545514669917329</v>
      </c>
      <c r="J153" s="64" t="n">
        <f aca="true">OFFSET(VolSkewCoef,0,impvol_order-2)+OFFSET(VolSkewCoef,1,impvol_order-2)*G153+OFFSET(VolSkewCoef,2,impvol_order-2)*G153^2+IF(impvol_order&gt;2,OFFSET(VolSkewCoef,3,impvol_order-2)*G153^3,0)+IF(impvol_order&gt;3,OFFSET(VolSkewCoef,4,impvol_order-2)*G153^4,0)+IF(impvol_order&gt;4,OFFSET(VolSkewCoef,5,impvol_order-2)*G153^5,0)</f>
        <v>0.545837784118356</v>
      </c>
      <c r="L153" s="79"/>
      <c r="M153" s="79"/>
      <c r="O153" s="79"/>
      <c r="P153" s="79"/>
      <c r="R153" s="80" t="n">
        <f aca="false">(1/($D153*SQRT(2*PI()*T/365.25*$I$140^2)))</f>
        <v>0.103334228677462</v>
      </c>
      <c r="S153" s="80" t="n">
        <f aca="false">LN($D153/UnderlyingPrice)+0.5*T/365.25*$I$140^2</f>
        <v>0.885517933424154</v>
      </c>
      <c r="T153" s="80" t="n">
        <f aca="false">-(S153^2)</f>
        <v>-0.784142010415784</v>
      </c>
      <c r="U153" s="80" t="n">
        <f aca="false">T153/(2*T/365.25*$I$140^2)</f>
        <v>-3.21186701058707</v>
      </c>
      <c r="V153" s="80"/>
      <c r="W153" s="100" t="e">
        <f aca="false">(Alpha2*R153)*EXP(Gamma2^2*U153)</f>
        <v>#NAME?</v>
      </c>
      <c r="Z153" s="80" t="n">
        <f aca="false">(1/(D153*SQRT(2*PI()*T/365.25*ATMImpVol^2)))</f>
        <v>0.110085187820586</v>
      </c>
      <c r="AA153" s="80" t="n">
        <f aca="false">LN(D153/UnderlyingPrice)+0.5*T/365.25*ATMImpVol^2</f>
        <v>0.878261573633471</v>
      </c>
      <c r="AB153" s="80" t="n">
        <f aca="false">-(AA153^2)</f>
        <v>-0.771343391721141</v>
      </c>
      <c r="AC153" s="80" t="n">
        <f aca="false">AB153/(2*T/365.25*ATMImpVol^2)</f>
        <v>-3.58574967193953</v>
      </c>
      <c r="AD153" s="82" t="n">
        <f aca="false">EXP(AC153)</f>
        <v>0.0277158820209295</v>
      </c>
      <c r="AE153" s="82" t="n">
        <f aca="false">AD153*Z153</f>
        <v>0.00305110807788724</v>
      </c>
      <c r="AF153" s="82"/>
      <c r="AG153" s="102" t="n">
        <f aca="false">AG152+UTFactor*(MaxStandard-MinStandard)/100</f>
        <v>4.12485162060748</v>
      </c>
      <c r="AH153" s="83" t="n">
        <f aca="false">(LN(($D153*(1+$P$8))/UnderlyingPrice)+0.5*ATMImpVol^2*(T/365.25))/(ATMImpVol*SQRT(T/365.25))</f>
        <v>2.67948972537209</v>
      </c>
      <c r="AI153" s="83" t="n">
        <f aca="false">(LN($D153*(1-$P$8)/UnderlyingPrice)+0.5*ATMImpVol^2*(T/365.25))/(ATMImpVol*SQRT(T/365.25))</f>
        <v>2.67644055889728</v>
      </c>
      <c r="AJ153" s="81"/>
      <c r="AK153" s="83" t="e">
        <f aca="false">W153/(AH153-AI153)*(D153*2*$P$8)</f>
        <v>#NAME?</v>
      </c>
      <c r="AL153" s="81"/>
      <c r="AM153" s="84"/>
      <c r="AX153" s="87" t="n">
        <f aca="true">OFFSET(ENAVolCoef,0,impvol_order-2)+OFFSET(ENAVolCoef,1,impvol_order-2)*E153+OFFSET(ENAVolCoef,2,impvol_order-2)*E153^2+IF(impvol_order&gt;2,OFFSET(ENAVolCoef,3,impvol_order-2)*E153^3,0)+IF(impvol_order&gt;3,OFFSET(ENAVolCoef,4,impvol_order-2)*E153^4,0)+IF(impvol_order&gt;4,OFFSET(ENAVolCoef,5,impvol_order-2)*E153^5,0)</f>
        <v>0.585612183846042</v>
      </c>
      <c r="AY153" s="87" t="n">
        <f aca="true">OFFSET(ENAVolCoef,0,impvol_order-2)+OFFSET(ENAVolCoef,1,impvol_order-2)*F153+OFFSET(ENAVolCoef,2,impvol_order-2)*F153^2+IF(impvol_order&gt;2,OFFSET(ENAVolCoef,3,impvol_order-2)*F153^3,0)+IF(impvol_order&gt;3,OFFSET(ENAVolCoef,4,impvol_order-2)*F153^4,0)+IF(impvol_order&gt;4,OFFSET(ENAVolCoef,5,impvol_order-2)*F153^5,0)</f>
        <v>0.585543241460832</v>
      </c>
      <c r="AZ153" s="87" t="n">
        <f aca="true">OFFSET(ENAVolCoef,0,impvol_order-2)+OFFSET(ENAVolCoef,1,impvol_order-2)*G153+OFFSET(ENAVolCoef,2,impvol_order-2)*G153^2+IF(impvol_order&gt;2,OFFSET(ENAVolCoef,3,impvol_order-2)*G153^3,0)+IF(impvol_order&gt;3,OFFSET(ENAVolCoef,4,impvol_order-2)*G153^4,0)+IF(impvol_order&gt;4,OFFSET(ENAVolCoef,5,impvol_order-2)*G153^5,0)</f>
        <v>0.585680512135773</v>
      </c>
      <c r="BB153" s="48" t="e">
        <f aca="false">EURO(UnderlyingPrice,$D153,IntRate,Yield,AX153,$D$6,1,0)</f>
        <v>#NAME?</v>
      </c>
      <c r="BC153" s="48" t="e">
        <f aca="false">EURO(UnderlyingPrice,$D153*(1+$P$8),IntRate,Yield,AY153,$D$6,1,0)</f>
        <v>#NAME?</v>
      </c>
      <c r="BD153" s="48" t="e">
        <f aca="false">EURO(UnderlyingPrice,$D153*(1-$P$8),IntRate,Yield,AZ153,$D$6,1,0)</f>
        <v>#NAME?</v>
      </c>
      <c r="BF153" s="80" t="e">
        <f aca="false">(BC153+BD153-2*BB153)/($P$8*$D153)^2</f>
        <v>#NAME?</v>
      </c>
      <c r="BG153" s="48" t="e">
        <f aca="false">+BF153/$D$9</f>
        <v>#NAME?</v>
      </c>
      <c r="BI153" s="79"/>
    </row>
    <row r="154" customFormat="false" ht="11.25" hidden="false" customHeight="false" outlineLevel="0" collapsed="false">
      <c r="C154" s="77"/>
      <c r="D154" s="78" t="n">
        <f aca="true">+D153+UTFactor*(ROUNDUP(MAX(StrikeRange),1)-ROUNDDOWN(MIN(StrikeRange),1))/100</f>
        <v>11.4</v>
      </c>
      <c r="E154" s="64" t="n">
        <f aca="false">+D154/UnderlyingPrice-1</f>
        <v>1.35294117647059</v>
      </c>
      <c r="F154" s="64" t="n">
        <f aca="false">+D154*(1+$P$8)/UnderlyingPrice-1</f>
        <v>1.35411764705883</v>
      </c>
      <c r="G154" s="64" t="n">
        <f aca="false">+D154*(1-$P$8)/UnderlyingPrice-1</f>
        <v>1.35176470588236</v>
      </c>
      <c r="H154" s="64" t="n">
        <f aca="true">OFFSET(VolSkewCoef,0,impvol_order-2)+OFFSET(VolSkewCoef,1,impvol_order-2)*F154+OFFSET(VolSkewCoef,2,impvol_order-2)*F154^2+IF(impvol_order&gt;2,OFFSET(VolSkewCoef,3,impvol_order-2)*F154^3,0)+IF(impvol_order&gt;3,OFFSET(VolSkewCoef,4,impvol_order-2)*F154^4,0)+IF(impvol_order&gt;4,OFFSET(VolSkewCoef,5,impvol_order-2)*F154^5,0)</f>
        <v>0.522157007382682</v>
      </c>
      <c r="I154" s="64" t="n">
        <f aca="true">OFFSET(VolSkewCoef,0,impvol_order-2)+OFFSET(VolSkewCoef,1,impvol_order-2)*E154+OFFSET(VolSkewCoef,2,impvol_order-2)*E154^2+IF(impvol_order&gt;2,OFFSET(VolSkewCoef,3,impvol_order-2)*E154^3,0)+IF(impvol_order&gt;3,OFFSET(VolSkewCoef,4,impvol_order-2)*E154^4,0)+IF(impvol_order&gt;4,OFFSET(VolSkewCoef,5,impvol_order-2)*E154^5,0)</f>
        <v>0.522572038672908</v>
      </c>
      <c r="J154" s="64" t="n">
        <f aca="true">OFFSET(VolSkewCoef,0,impvol_order-2)+OFFSET(VolSkewCoef,1,impvol_order-2)*G154+OFFSET(VolSkewCoef,2,impvol_order-2)*G154^2+IF(impvol_order&gt;2,OFFSET(VolSkewCoef,3,impvol_order-2)*G154^3,0)+IF(impvol_order&gt;3,OFFSET(VolSkewCoef,4,impvol_order-2)*G154^4,0)+IF(impvol_order&gt;4,OFFSET(VolSkewCoef,5,impvol_order-2)*G154^5,0)</f>
        <v>0.522985710134109</v>
      </c>
      <c r="L154" s="79"/>
      <c r="M154" s="79"/>
      <c r="O154" s="79"/>
      <c r="P154" s="79"/>
      <c r="R154" s="80" t="n">
        <f aca="false">(1/($D154*SQRT(2*PI()*T/365.25*$I$140^2)))</f>
        <v>0.100161686568944</v>
      </c>
      <c r="S154" s="80" t="n">
        <f aca="false">LN($D154/UnderlyingPrice)+0.5*T/365.25*$I$140^2</f>
        <v>0.916700860860842</v>
      </c>
      <c r="T154" s="80" t="n">
        <f aca="false">-(S154^2)</f>
        <v>-0.840340468303008</v>
      </c>
      <c r="U154" s="80" t="n">
        <f aca="false">T154/(2*T/365.25*$I$140^2)</f>
        <v>-3.44205742321161</v>
      </c>
      <c r="V154" s="80"/>
      <c r="W154" s="100" t="e">
        <f aca="false">(Alpha2*R154)*EXP(Gamma2^2*U154)</f>
        <v>#NAME?</v>
      </c>
      <c r="Z154" s="80" t="n">
        <f aca="false">(1/(D154*SQRT(2*PI()*T/365.25*ATMImpVol^2)))</f>
        <v>0.106705379422586</v>
      </c>
      <c r="AA154" s="80" t="n">
        <f aca="false">LN(D154/UnderlyingPrice)+0.5*T/365.25*ATMImpVol^2</f>
        <v>0.909444501070159</v>
      </c>
      <c r="AB154" s="80" t="n">
        <f aca="false">-(AA154^2)</f>
        <v>-0.82708930052675</v>
      </c>
      <c r="AC154" s="80" t="n">
        <f aca="false">AB154/(2*T/365.25*ATMImpVol^2)</f>
        <v>-3.84489608630844</v>
      </c>
      <c r="AD154" s="82" t="n">
        <f aca="false">EXP(AC154)</f>
        <v>0.0213886240165624</v>
      </c>
      <c r="AE154" s="82" t="n">
        <f aca="false">AD154*Z154</f>
        <v>0.00228228124101432</v>
      </c>
      <c r="AF154" s="82"/>
      <c r="AG154" s="102" t="n">
        <f aca="false">AG153+UTFactor*(MaxStandard-MinStandard)/100</f>
        <v>4.36061006954794</v>
      </c>
      <c r="AH154" s="83" t="n">
        <f aca="false">(LN(($D154*(1+$P$8))/UnderlyingPrice)+0.5*ATMImpVol^2*(T/365.25))/(ATMImpVol*SQRT(T/365.25))</f>
        <v>2.77457165437524</v>
      </c>
      <c r="AI154" s="83" t="n">
        <f aca="false">(LN($D154*(1-$P$8)/UnderlyingPrice)+0.5*ATMImpVol^2*(T/365.25))/(ATMImpVol*SQRT(T/365.25))</f>
        <v>2.77152248790042</v>
      </c>
      <c r="AJ154" s="81"/>
      <c r="AK154" s="83" t="e">
        <f aca="false">W154/(AH154-AI154)*(D154*2*$P$8)</f>
        <v>#NAME?</v>
      </c>
      <c r="AL154" s="81"/>
      <c r="AM154" s="84"/>
      <c r="AX154" s="87" t="n">
        <f aca="true">OFFSET(ENAVolCoef,0,impvol_order-2)+OFFSET(ENAVolCoef,1,impvol_order-2)*E154+OFFSET(ENAVolCoef,2,impvol_order-2)*E154^2+IF(impvol_order&gt;2,OFFSET(ENAVolCoef,3,impvol_order-2)*E154^3,0)+IF(impvol_order&gt;3,OFFSET(ENAVolCoef,4,impvol_order-2)*E154^4,0)+IF(impvol_order&gt;4,OFFSET(ENAVolCoef,5,impvol_order-2)*E154^5,0)</f>
        <v>0.579993261347445</v>
      </c>
      <c r="AY154" s="87" t="n">
        <f aca="true">OFFSET(ENAVolCoef,0,impvol_order-2)+OFFSET(ENAVolCoef,1,impvol_order-2)*F154+OFFSET(ENAVolCoef,2,impvol_order-2)*F154^2+IF(impvol_order&gt;2,OFFSET(ENAVolCoef,3,impvol_order-2)*F154^3,0)+IF(impvol_order&gt;3,OFFSET(ENAVolCoef,4,impvol_order-2)*F154^4,0)+IF(impvol_order&gt;4,OFFSET(ENAVolCoef,5,impvol_order-2)*F154^5,0)</f>
        <v>0.579880064381958</v>
      </c>
      <c r="AZ154" s="87" t="n">
        <f aca="true">OFFSET(ENAVolCoef,0,impvol_order-2)+OFFSET(ENAVolCoef,1,impvol_order-2)*G154+OFFSET(ENAVolCoef,2,impvol_order-2)*G154^2+IF(impvol_order&gt;2,OFFSET(ENAVolCoef,3,impvol_order-2)*G154^3,0)+IF(impvol_order&gt;3,OFFSET(ENAVolCoef,4,impvol_order-2)*G154^4,0)+IF(impvol_order&gt;4,OFFSET(ENAVolCoef,5,impvol_order-2)*G154^5,0)</f>
        <v>0.580105742950425</v>
      </c>
      <c r="BB154" s="48" t="e">
        <f aca="false">EURO(UnderlyingPrice,$D154,IntRate,Yield,AX154,$D$6,1,0)</f>
        <v>#NAME?</v>
      </c>
      <c r="BC154" s="48" t="e">
        <f aca="false">EURO(UnderlyingPrice,$D154*(1+$P$8),IntRate,Yield,AY154,$D$6,1,0)</f>
        <v>#NAME?</v>
      </c>
      <c r="BD154" s="48" t="e">
        <f aca="false">EURO(UnderlyingPrice,$D154*(1-$P$8),IntRate,Yield,AZ154,$D$6,1,0)</f>
        <v>#NAME?</v>
      </c>
      <c r="BF154" s="80" t="e">
        <f aca="false">(BC154+BD154-2*BB154)/($P$8*$D154)^2</f>
        <v>#NAME?</v>
      </c>
      <c r="BG154" s="48" t="e">
        <f aca="false">+BF154/$D$9</f>
        <v>#NAME?</v>
      </c>
      <c r="BI154" s="79"/>
    </row>
    <row r="155" customFormat="false" ht="11.25" hidden="false" customHeight="false" outlineLevel="0" collapsed="false">
      <c r="C155" s="77"/>
      <c r="D155" s="78" t="n">
        <f aca="true">+D154+UTFactor*(ROUNDUP(MAX(StrikeRange),1)-ROUNDDOWN(MIN(StrikeRange),1))/100</f>
        <v>11.75</v>
      </c>
      <c r="E155" s="64" t="n">
        <f aca="false">+D155/UnderlyingPrice-1</f>
        <v>1.42518059855521</v>
      </c>
      <c r="F155" s="64" t="n">
        <f aca="false">+D155*(1+$P$8)/UnderlyingPrice-1</f>
        <v>1.42639318885449</v>
      </c>
      <c r="G155" s="64" t="n">
        <f aca="false">+D155*(1-$P$8)/UnderlyingPrice-1</f>
        <v>1.42396800825594</v>
      </c>
      <c r="H155" s="64" t="n">
        <f aca="true">OFFSET(VolSkewCoef,0,impvol_order-2)+OFFSET(VolSkewCoef,1,impvol_order-2)*F155+OFFSET(VolSkewCoef,2,impvol_order-2)*F155^2+IF(impvol_order&gt;2,OFFSET(VolSkewCoef,3,impvol_order-2)*F155^3,0)+IF(impvol_order&gt;3,OFFSET(VolSkewCoef,4,impvol_order-2)*F155^4,0)+IF(impvol_order&gt;4,OFFSET(VolSkewCoef,5,impvol_order-2)*F155^5,0)</f>
        <v>0.493985209039587</v>
      </c>
      <c r="I155" s="64" t="n">
        <f aca="true">OFFSET(VolSkewCoef,0,impvol_order-2)+OFFSET(VolSkewCoef,1,impvol_order-2)*E155+OFFSET(VolSkewCoef,2,impvol_order-2)*E155^2+IF(impvol_order&gt;2,OFFSET(VolSkewCoef,3,impvol_order-2)*E155^3,0)+IF(impvol_order&gt;3,OFFSET(VolSkewCoef,4,impvol_order-2)*E155^4,0)+IF(impvol_order&gt;4,OFFSET(VolSkewCoef,5,impvol_order-2)*E155^5,0)</f>
        <v>0.494502320461209</v>
      </c>
      <c r="J155" s="64" t="n">
        <f aca="true">OFFSET(VolSkewCoef,0,impvol_order-2)+OFFSET(VolSkewCoef,1,impvol_order-2)*G155+OFFSET(VolSkewCoef,2,impvol_order-2)*G155^2+IF(impvol_order&gt;2,OFFSET(VolSkewCoef,3,impvol_order-2)*G155^3,0)+IF(impvol_order&gt;3,OFFSET(VolSkewCoef,4,impvol_order-2)*G155^4,0)+IF(impvol_order&gt;4,OFFSET(VolSkewCoef,5,impvol_order-2)*G155^5,0)</f>
        <v>0.495017879816189</v>
      </c>
      <c r="L155" s="79"/>
      <c r="M155" s="79"/>
      <c r="O155" s="79"/>
      <c r="P155" s="79"/>
      <c r="R155" s="80" t="n">
        <f aca="false">(1/($D155*SQRT(2*PI()*T/365.25*$I$140^2)))</f>
        <v>0.0971781469690175</v>
      </c>
      <c r="S155" s="80" t="n">
        <f aca="false">LN($D155/UnderlyingPrice)+0.5*T/365.25*$I$140^2</f>
        <v>0.94694074605056</v>
      </c>
      <c r="T155" s="80" t="n">
        <f aca="false">-(S155^2)</f>
        <v>-0.896696776530791</v>
      </c>
      <c r="U155" s="80" t="n">
        <f aca="false">T155/(2*T/365.25*$I$140^2)</f>
        <v>-3.67289439512606</v>
      </c>
      <c r="V155" s="80"/>
      <c r="W155" s="100" t="e">
        <f aca="false">(Alpha2*R155)*EXP(Gamma2^2*U155)</f>
        <v>#NAME?</v>
      </c>
      <c r="Z155" s="80" t="n">
        <f aca="false">(1/(D155*SQRT(2*PI()*T/365.25*ATMImpVol^2)))</f>
        <v>0.103526921312126</v>
      </c>
      <c r="AA155" s="80" t="n">
        <f aca="false">LN(D155/UnderlyingPrice)+0.5*T/365.25*ATMImpVol^2</f>
        <v>0.939684386259877</v>
      </c>
      <c r="AB155" s="80" t="n">
        <f aca="false">-(AA155^2)</f>
        <v>-0.883006745780602</v>
      </c>
      <c r="AC155" s="80" t="n">
        <f aca="false">AB155/(2*T/365.25*ATMImpVol^2)</f>
        <v>-4.10483992342007</v>
      </c>
      <c r="AD155" s="82" t="n">
        <f aca="false">EXP(AC155)</f>
        <v>0.0164926587154663</v>
      </c>
      <c r="AE155" s="82" t="n">
        <f aca="false">AD155*Z155</f>
        <v>0.00170743418106383</v>
      </c>
      <c r="AF155" s="82"/>
      <c r="AG155" s="102" t="n">
        <f aca="false">AG154+UTFactor*(MaxStandard-MinStandard)/100</f>
        <v>4.59636851848841</v>
      </c>
      <c r="AH155" s="83" t="n">
        <f aca="false">(LN(($D155*(1+$P$8))/UnderlyingPrice)+0.5*ATMImpVol^2*(T/365.25))/(ATMImpVol*SQRT(T/365.25))</f>
        <v>2.86677809081421</v>
      </c>
      <c r="AI155" s="83" t="n">
        <f aca="false">(LN($D155*(1-$P$8)/UnderlyingPrice)+0.5*ATMImpVol^2*(T/365.25))/(ATMImpVol*SQRT(T/365.25))</f>
        <v>2.86372892433939</v>
      </c>
      <c r="AJ155" s="81"/>
      <c r="AK155" s="83" t="e">
        <f aca="false">W155/(AH155-AI155)*(D155*2*$P$8)</f>
        <v>#NAME?</v>
      </c>
      <c r="AL155" s="81"/>
      <c r="AM155" s="84"/>
      <c r="AX155" s="87" t="n">
        <f aca="true">OFFSET(ENAVolCoef,0,impvol_order-2)+OFFSET(ENAVolCoef,1,impvol_order-2)*E155+OFFSET(ENAVolCoef,2,impvol_order-2)*E155^2+IF(impvol_order&gt;2,OFFSET(ENAVolCoef,3,impvol_order-2)*E155^3,0)+IF(impvol_order&gt;3,OFFSET(ENAVolCoef,4,impvol_order-2)*E155^4,0)+IF(impvol_order&gt;4,OFFSET(ENAVolCoef,5,impvol_order-2)*E155^5,0)</f>
        <v>0.571677142567377</v>
      </c>
      <c r="AY155" s="87" t="n">
        <f aca="true">OFFSET(ENAVolCoef,0,impvol_order-2)+OFFSET(ENAVolCoef,1,impvol_order-2)*F155+OFFSET(ENAVolCoef,2,impvol_order-2)*F155^2+IF(impvol_order&gt;2,OFFSET(ENAVolCoef,3,impvol_order-2)*F155^3,0)+IF(impvol_order&gt;3,OFFSET(ENAVolCoef,4,impvol_order-2)*F155^4,0)+IF(impvol_order&gt;4,OFFSET(ENAVolCoef,5,impvol_order-2)*F155^5,0)</f>
        <v>0.571513197755785</v>
      </c>
      <c r="AZ155" s="87" t="n">
        <f aca="true">OFFSET(ENAVolCoef,0,impvol_order-2)+OFFSET(ENAVolCoef,1,impvol_order-2)*G155+OFFSET(ENAVolCoef,2,impvol_order-2)*G155^2+IF(impvol_order&gt;2,OFFSET(ENAVolCoef,3,impvol_order-2)*G155^3,0)+IF(impvol_order&gt;3,OFFSET(ENAVolCoef,4,impvol_order-2)*G155^4,0)+IF(impvol_order&gt;4,OFFSET(ENAVolCoef,5,impvol_order-2)*G155^5,0)</f>
        <v>0.57184026181763</v>
      </c>
      <c r="BB155" s="48" t="e">
        <f aca="false">EURO(UnderlyingPrice,$D155,IntRate,Yield,AX155,$D$6,1,0)</f>
        <v>#NAME?</v>
      </c>
      <c r="BC155" s="48" t="e">
        <f aca="false">EURO(UnderlyingPrice,$D155*(1+$P$8),IntRate,Yield,AY155,$D$6,1,0)</f>
        <v>#NAME?</v>
      </c>
      <c r="BD155" s="48" t="e">
        <f aca="false">EURO(UnderlyingPrice,$D155*(1-$P$8),IntRate,Yield,AZ155,$D$6,1,0)</f>
        <v>#NAME?</v>
      </c>
      <c r="BF155" s="80" t="e">
        <f aca="false">(BC155+BD155-2*BB155)/($P$8*$D155)^2</f>
        <v>#NAME?</v>
      </c>
      <c r="BG155" s="48" t="e">
        <f aca="false">+BF155/$D$9</f>
        <v>#NAME?</v>
      </c>
      <c r="BI155" s="79"/>
    </row>
    <row r="156" customFormat="false" ht="11.25" hidden="false" customHeight="false" outlineLevel="0" collapsed="false">
      <c r="C156" s="77"/>
      <c r="D156" s="78" t="n">
        <f aca="true">+D155+UTFactor*(ROUNDUP(MAX(StrikeRange),1)-ROUNDDOWN(MIN(StrikeRange),1))/100</f>
        <v>12.1</v>
      </c>
      <c r="E156" s="64" t="n">
        <f aca="false">+D156/UnderlyingPrice-1</f>
        <v>1.49742002063984</v>
      </c>
      <c r="F156" s="64" t="n">
        <f aca="false">+D156*(1+$P$8)/UnderlyingPrice-1</f>
        <v>1.49866873065016</v>
      </c>
      <c r="G156" s="64" t="n">
        <f aca="false">+D156*(1-$P$8)/UnderlyingPrice-1</f>
        <v>1.49617131062952</v>
      </c>
      <c r="H156" s="64" t="n">
        <f aca="true">OFFSET(VolSkewCoef,0,impvol_order-2)+OFFSET(VolSkewCoef,1,impvol_order-2)*F156+OFFSET(VolSkewCoef,2,impvol_order-2)*F156^2+IF(impvol_order&gt;2,OFFSET(VolSkewCoef,3,impvol_order-2)*F156^3,0)+IF(impvol_order&gt;3,OFFSET(VolSkewCoef,4,impvol_order-2)*F156^4,0)+IF(impvol_order&gt;4,OFFSET(VolSkewCoef,5,impvol_order-2)*F156^5,0)</f>
        <v>0.460293026234758</v>
      </c>
      <c r="I156" s="64" t="n">
        <f aca="true">OFFSET(VolSkewCoef,0,impvol_order-2)+OFFSET(VolSkewCoef,1,impvol_order-2)*E156+OFFSET(VolSkewCoef,2,impvol_order-2)*E156^2+IF(impvol_order&gt;2,OFFSET(VolSkewCoef,3,impvol_order-2)*E156^3,0)+IF(impvol_order&gt;3,OFFSET(VolSkewCoef,4,impvol_order-2)*E156^4,0)+IF(impvol_order&gt;4,OFFSET(VolSkewCoef,5,impvol_order-2)*E156^5,0)</f>
        <v>0.460924135762362</v>
      </c>
      <c r="J156" s="64" t="n">
        <f aca="true">OFFSET(VolSkewCoef,0,impvol_order-2)+OFFSET(VolSkewCoef,1,impvol_order-2)*G156+OFFSET(VolSkewCoef,2,impvol_order-2)*G156^2+IF(impvol_order&gt;2,OFFSET(VolSkewCoef,3,impvol_order-2)*G156^3,0)+IF(impvol_order&gt;3,OFFSET(VolSkewCoef,4,impvol_order-2)*G156^4,0)+IF(impvol_order&gt;4,OFFSET(VolSkewCoef,5,impvol_order-2)*G156^5,0)</f>
        <v>0.461553485428021</v>
      </c>
      <c r="L156" s="79"/>
      <c r="M156" s="79"/>
      <c r="O156" s="79"/>
      <c r="P156" s="79"/>
      <c r="R156" s="80" t="n">
        <f aca="false">(1/($D156*SQRT(2*PI()*T/365.25*$I$140^2)))</f>
        <v>0.0943672088335501</v>
      </c>
      <c r="S156" s="80" t="n">
        <f aca="false">LN($D156/UnderlyingPrice)+0.5*T/365.25*$I$140^2</f>
        <v>0.976292958063087</v>
      </c>
      <c r="T156" s="80" t="n">
        <f aca="false">-(S156^2)</f>
        <v>-0.953147939963573</v>
      </c>
      <c r="U156" s="80" t="n">
        <f aca="false">T156/(2*T/365.25*$I$140^2)</f>
        <v>-3.90411989654114</v>
      </c>
      <c r="V156" s="80"/>
      <c r="W156" s="100" t="e">
        <f aca="false">(Alpha2*R156)*EXP(Gamma2^2*U156)</f>
        <v>#NAME?</v>
      </c>
      <c r="Z156" s="80" t="n">
        <f aca="false">(1/(D156*SQRT(2*PI()*T/365.25*ATMImpVol^2)))</f>
        <v>0.100532340943593</v>
      </c>
      <c r="AA156" s="80" t="n">
        <f aca="false">LN(D156/UnderlyingPrice)+0.5*T/365.25*ATMImpVol^2</f>
        <v>0.969036598272405</v>
      </c>
      <c r="AB156" s="80" t="n">
        <f aca="false">-(AA156^2)</f>
        <v>-0.939031928791354</v>
      </c>
      <c r="AC156" s="80" t="n">
        <f aca="false">AB156/(2*T/365.25*ATMImpVol^2)</f>
        <v>-4.36528460183093</v>
      </c>
      <c r="AD156" s="82" t="n">
        <f aca="false">EXP(AC156)</f>
        <v>0.0127110370759905</v>
      </c>
      <c r="AE156" s="82" t="n">
        <f aca="false">AD156*Z156</f>
        <v>0.00127787031307013</v>
      </c>
      <c r="AF156" s="82"/>
      <c r="AG156" s="102" t="n">
        <f aca="false">AG155+UTFactor*(MaxStandard-MinStandard)/100</f>
        <v>4.83212696742887</v>
      </c>
      <c r="AH156" s="83" t="n">
        <f aca="false">(LN(($D156*(1+$P$8))/UnderlyingPrice)+0.5*ATMImpVol^2*(T/365.25))/(ATMImpVol*SQRT(T/365.25))</f>
        <v>2.95627786418625</v>
      </c>
      <c r="AI156" s="83" t="n">
        <f aca="false">(LN($D156*(1-$P$8)/UnderlyingPrice)+0.5*ATMImpVol^2*(T/365.25))/(ATMImpVol*SQRT(T/365.25))</f>
        <v>2.95322869771144</v>
      </c>
      <c r="AJ156" s="81"/>
      <c r="AK156" s="83" t="e">
        <f aca="false">W156/(AH156-AI156)*(D156*2*$P$8)</f>
        <v>#NAME?</v>
      </c>
      <c r="AL156" s="81"/>
      <c r="AM156" s="84"/>
      <c r="AX156" s="87" t="n">
        <f aca="true">OFFSET(ENAVolCoef,0,impvol_order-2)+OFFSET(ENAVolCoef,1,impvol_order-2)*E156+OFFSET(ENAVolCoef,2,impvol_order-2)*E156^2+IF(impvol_order&gt;2,OFFSET(ENAVolCoef,3,impvol_order-2)*E156^3,0)+IF(impvol_order&gt;3,OFFSET(ENAVolCoef,4,impvol_order-2)*E156^4,0)+IF(impvol_order&gt;4,OFFSET(ENAVolCoef,5,impvol_order-2)*E156^5,0)</f>
        <v>0.560431009796448</v>
      </c>
      <c r="AY156" s="87" t="n">
        <f aca="true">OFFSET(ENAVolCoef,0,impvol_order-2)+OFFSET(ENAVolCoef,1,impvol_order-2)*F156+OFFSET(ENAVolCoef,2,impvol_order-2)*F156^2+IF(impvol_order&gt;2,OFFSET(ENAVolCoef,3,impvol_order-2)*F156^3,0)+IF(impvol_order&gt;3,OFFSET(ENAVolCoef,4,impvol_order-2)*F156^4,0)+IF(impvol_order&gt;4,OFFSET(ENAVolCoef,5,impvol_order-2)*F156^5,0)</f>
        <v>0.560209474471718</v>
      </c>
      <c r="AZ156" s="87" t="n">
        <f aca="true">OFFSET(ENAVolCoef,0,impvol_order-2)+OFFSET(ENAVolCoef,1,impvol_order-2)*G156+OFFSET(ENAVolCoef,2,impvol_order-2)*G156^2+IF(impvol_order&gt;2,OFFSET(ENAVolCoef,3,impvol_order-2)*G156^3,0)+IF(impvol_order&gt;3,OFFSET(ENAVolCoef,4,impvol_order-2)*G156^4,0)+IF(impvol_order&gt;4,OFFSET(ENAVolCoef,5,impvol_order-2)*G156^5,0)</f>
        <v>0.560651600079976</v>
      </c>
      <c r="BB156" s="48" t="e">
        <f aca="false">EURO(UnderlyingPrice,$D156,IntRate,Yield,AX156,$D$6,1,0)</f>
        <v>#NAME?</v>
      </c>
      <c r="BC156" s="48" t="e">
        <f aca="false">EURO(UnderlyingPrice,$D156*(1+$P$8),IntRate,Yield,AY156,$D$6,1,0)</f>
        <v>#NAME?</v>
      </c>
      <c r="BD156" s="48" t="e">
        <f aca="false">EURO(UnderlyingPrice,$D156*(1-$P$8),IntRate,Yield,AZ156,$D$6,1,0)</f>
        <v>#NAME?</v>
      </c>
      <c r="BF156" s="80" t="e">
        <f aca="false">(BC156+BD156-2*BB156)/($P$8*$D156)^2</f>
        <v>#NAME?</v>
      </c>
      <c r="BG156" s="48" t="e">
        <f aca="false">+BF156/$D$9</f>
        <v>#NAME?</v>
      </c>
      <c r="BI156" s="79"/>
    </row>
    <row r="157" customFormat="false" ht="11.25" hidden="false" customHeight="false" outlineLevel="0" collapsed="false">
      <c r="C157" s="77"/>
      <c r="D157" s="78" t="n">
        <f aca="true">+D156+UTFactor*(ROUNDUP(MAX(StrikeRange),1)-ROUNDDOWN(MIN(StrikeRange),1))/100</f>
        <v>12.45</v>
      </c>
      <c r="E157" s="64" t="n">
        <f aca="false">+D157/UnderlyingPrice-1</f>
        <v>1.56965944272446</v>
      </c>
      <c r="F157" s="64" t="n">
        <f aca="false">+D157*(1+$P$8)/UnderlyingPrice-1</f>
        <v>1.57094427244582</v>
      </c>
      <c r="G157" s="64" t="n">
        <f aca="false">+D157*(1-$P$8)/UnderlyingPrice-1</f>
        <v>1.5683746130031</v>
      </c>
      <c r="H157" s="64" t="n">
        <f aca="true">OFFSET(VolSkewCoef,0,impvol_order-2)+OFFSET(VolSkewCoef,1,impvol_order-2)*F157+OFFSET(VolSkewCoef,2,impvol_order-2)*F157^2+IF(impvol_order&gt;2,OFFSET(VolSkewCoef,3,impvol_order-2)*F157^3,0)+IF(impvol_order&gt;3,OFFSET(VolSkewCoef,4,impvol_order-2)*F157^4,0)+IF(impvol_order&gt;4,OFFSET(VolSkewCoef,5,impvol_order-2)*F157^5,0)</f>
        <v>0.420698507092963</v>
      </c>
      <c r="I157" s="64" t="n">
        <f aca="true">OFFSET(VolSkewCoef,0,impvol_order-2)+OFFSET(VolSkewCoef,1,impvol_order-2)*E157+OFFSET(VolSkewCoef,2,impvol_order-2)*E157^2+IF(impvol_order&gt;2,OFFSET(VolSkewCoef,3,impvol_order-2)*E157^3,0)+IF(impvol_order&gt;3,OFFSET(VolSkewCoef,4,impvol_order-2)*E157^4,0)+IF(impvol_order&gt;4,OFFSET(VolSkewCoef,5,impvol_order-2)*E157^5,0)</f>
        <v>0.421456105056499</v>
      </c>
      <c r="J157" s="64" t="n">
        <f aca="true">OFFSET(VolSkewCoef,0,impvol_order-2)+OFFSET(VolSkewCoef,1,impvol_order-2)*G157+OFFSET(VolSkewCoef,2,impvol_order-2)*G157^2+IF(impvol_order&gt;2,OFFSET(VolSkewCoef,3,impvol_order-2)*G157^3,0)+IF(impvol_order&gt;3,OFFSET(VolSkewCoef,4,impvol_order-2)*G157^4,0)+IF(impvol_order&gt;4,OFFSET(VolSkewCoef,5,impvol_order-2)*G157^5,0)</f>
        <v>0.422211719233026</v>
      </c>
      <c r="L157" s="79"/>
      <c r="M157" s="79"/>
      <c r="O157" s="79"/>
      <c r="P157" s="79"/>
      <c r="R157" s="80" t="n">
        <f aca="false">(1/($D157*SQRT(2*PI()*T/365.25*$I$140^2)))</f>
        <v>0.0917143154125266</v>
      </c>
      <c r="S157" s="80" t="n">
        <f aca="false">LN($D157/UnderlyingPrice)+0.5*T/365.25*$I$140^2</f>
        <v>1.00480812837111</v>
      </c>
      <c r="T157" s="80" t="n">
        <f aca="false">-(S157^2)</f>
        <v>-1.00963937484065</v>
      </c>
      <c r="U157" s="80" t="n">
        <f aca="false">T157/(2*T/365.25*$I$140^2)</f>
        <v>-4.13551035088779</v>
      </c>
      <c r="V157" s="80"/>
      <c r="W157" s="100" t="e">
        <f aca="false">(Alpha2*R157)*EXP(Gamma2^2*U157)</f>
        <v>#NAME?</v>
      </c>
      <c r="Z157" s="80" t="n">
        <f aca="false">(1/(D157*SQRT(2*PI()*T/365.25*ATMImpVol^2)))</f>
        <v>0.097706130555621</v>
      </c>
      <c r="AA157" s="80" t="n">
        <f aca="false">LN(D157/UnderlyingPrice)+0.5*T/365.25*ATMImpVol^2</f>
        <v>0.997551768580426</v>
      </c>
      <c r="AB157" s="80" t="n">
        <f aca="false">-(AA157^2)</f>
        <v>-0.995109530997935</v>
      </c>
      <c r="AC157" s="80" t="n">
        <f aca="false">AB157/(2*T/365.25*ATMImpVol^2)</f>
        <v>-4.6259729617412</v>
      </c>
      <c r="AD157" s="82" t="n">
        <f aca="false">EXP(AC157)</f>
        <v>0.00979412109338083</v>
      </c>
      <c r="AE157" s="82" t="n">
        <f aca="false">AD157*Z157</f>
        <v>0.000956945674227429</v>
      </c>
      <c r="AF157" s="82"/>
      <c r="AG157" s="102" t="n">
        <f aca="false">AG156+UTFactor*(MaxStandard-MinStandard)/100</f>
        <v>5.06788541636933</v>
      </c>
      <c r="AH157" s="83" t="n">
        <f aca="false">(LN(($D157*(1+$P$8))/UnderlyingPrice)+0.5*ATMImpVol^2*(T/365.25))/(ATMImpVol*SQRT(T/365.25))</f>
        <v>3.04322535826758</v>
      </c>
      <c r="AI157" s="83" t="n">
        <f aca="false">(LN($D157*(1-$P$8)/UnderlyingPrice)+0.5*ATMImpVol^2*(T/365.25))/(ATMImpVol*SQRT(T/365.25))</f>
        <v>3.04017619179276</v>
      </c>
      <c r="AJ157" s="81"/>
      <c r="AK157" s="83" t="e">
        <f aca="false">W157/(AH157-AI157)*(D157*2*$P$8)</f>
        <v>#NAME?</v>
      </c>
      <c r="AL157" s="81"/>
      <c r="AM157" s="81"/>
      <c r="AX157" s="87" t="n">
        <f aca="true">OFFSET(ENAVolCoef,0,impvol_order-2)+OFFSET(ENAVolCoef,1,impvol_order-2)*E157+OFFSET(ENAVolCoef,2,impvol_order-2)*E157^2+IF(impvol_order&gt;2,OFFSET(ENAVolCoef,3,impvol_order-2)*E157^3,0)+IF(impvol_order&gt;3,OFFSET(ENAVolCoef,4,impvol_order-2)*E157^4,0)+IF(impvol_order&gt;4,OFFSET(ENAVolCoef,5,impvol_order-2)*E157^5,0)</f>
        <v>0.546022045325268</v>
      </c>
      <c r="AY157" s="87" t="n">
        <f aca="true">OFFSET(ENAVolCoef,0,impvol_order-2)+OFFSET(ENAVolCoef,1,impvol_order-2)*F157+OFFSET(ENAVolCoef,2,impvol_order-2)*F157^2+IF(impvol_order&gt;2,OFFSET(ENAVolCoef,3,impvol_order-2)*F157^3,0)+IF(impvol_order&gt;3,OFFSET(ENAVolCoef,4,impvol_order-2)*F157^4,0)+IF(impvol_order&gt;4,OFFSET(ENAVolCoef,5,impvol_order-2)*F157^5,0)</f>
        <v>0.54573572741916</v>
      </c>
      <c r="AZ157" s="87" t="n">
        <f aca="true">OFFSET(ENAVolCoef,0,impvol_order-2)+OFFSET(ENAVolCoef,1,impvol_order-2)*G157+OFFSET(ENAVolCoef,2,impvol_order-2)*G157^2+IF(impvol_order&gt;2,OFFSET(ENAVolCoef,3,impvol_order-2)*G157^3,0)+IF(impvol_order&gt;3,OFFSET(ENAVolCoef,4,impvol_order-2)*G157^4,0)+IF(impvol_order&gt;4,OFFSET(ENAVolCoef,5,impvol_order-2)*G157^5,0)</f>
        <v>0.546307289080054</v>
      </c>
      <c r="BB157" s="48" t="e">
        <f aca="false">EURO(UnderlyingPrice,$D157,IntRate,Yield,AX157,$D$6,1,0)</f>
        <v>#NAME?</v>
      </c>
      <c r="BC157" s="48" t="e">
        <f aca="false">EURO(UnderlyingPrice,$D157*(1+$P$8),IntRate,Yield,AY157,$D$6,1,0)</f>
        <v>#NAME?</v>
      </c>
      <c r="BD157" s="48" t="e">
        <f aca="false">EURO(UnderlyingPrice,$D157*(1-$P$8),IntRate,Yield,AZ157,$D$6,1,0)</f>
        <v>#NAME?</v>
      </c>
      <c r="BF157" s="80" t="e">
        <f aca="false">(BC157+BD157-2*BB157)/($P$8*$D157)^2</f>
        <v>#NAME?</v>
      </c>
      <c r="BG157" s="48" t="e">
        <f aca="false">+BF157/$D$9</f>
        <v>#NAME?</v>
      </c>
      <c r="BI157" s="79"/>
    </row>
    <row r="158" customFormat="false" ht="11.25" hidden="false" customHeight="false" outlineLevel="0" collapsed="false">
      <c r="C158" s="77"/>
      <c r="D158" s="78" t="n">
        <f aca="true">+D157+UTFactor*(ROUNDUP(MAX(StrikeRange),1)-ROUNDDOWN(MIN(StrikeRange),1))/100</f>
        <v>12.8</v>
      </c>
      <c r="E158" s="64" t="n">
        <f aca="false">+D158/UnderlyingPrice-1</f>
        <v>1.64189886480908</v>
      </c>
      <c r="F158" s="64" t="n">
        <f aca="false">+D158*(1+$P$8)/UnderlyingPrice-1</f>
        <v>1.64321981424149</v>
      </c>
      <c r="G158" s="64" t="n">
        <f aca="false">+D158*(1-$P$8)/UnderlyingPrice-1</f>
        <v>1.64057791537668</v>
      </c>
      <c r="H158" s="64" t="n">
        <f aca="true">OFFSET(VolSkewCoef,0,impvol_order-2)+OFFSET(VolSkewCoef,1,impvol_order-2)*F158+OFFSET(VolSkewCoef,2,impvol_order-2)*F158^2+IF(impvol_order&gt;2,OFFSET(VolSkewCoef,3,impvol_order-2)*F158^3,0)+IF(impvol_order&gt;3,OFFSET(VolSkewCoef,4,impvol_order-2)*F158^4,0)+IF(impvol_order&gt;4,OFFSET(VolSkewCoef,5,impvol_order-2)*F158^5,0)</f>
        <v>0.374819699738971</v>
      </c>
      <c r="I158" s="64" t="n">
        <f aca="true">OFFSET(VolSkewCoef,0,impvol_order-2)+OFFSET(VolSkewCoef,1,impvol_order-2)*E158+OFFSET(VolSkewCoef,2,impvol_order-2)*E158^2+IF(impvol_order&gt;2,OFFSET(VolSkewCoef,3,impvol_order-2)*E158^3,0)+IF(impvol_order&gt;3,OFFSET(VolSkewCoef,4,impvol_order-2)*E158^4,0)+IF(impvol_order&gt;4,OFFSET(VolSkewCoef,5,impvol_order-2)*E158^5,0)</f>
        <v>0.37571684882375</v>
      </c>
      <c r="J158" s="64" t="n">
        <f aca="true">OFFSET(VolSkewCoef,0,impvol_order-2)+OFFSET(VolSkewCoef,1,impvol_order-2)*G158+OFFSET(VolSkewCoef,2,impvol_order-2)*G158^2+IF(impvol_order&gt;2,OFFSET(VolSkewCoef,3,impvol_order-2)*G158^3,0)+IF(impvol_order&gt;3,OFFSET(VolSkewCoef,4,impvol_order-2)*G158^4,0)+IF(impvol_order&gt;4,OFFSET(VolSkewCoef,5,impvol_order-2)*G158^5,0)</f>
        <v>0.37661177349463</v>
      </c>
      <c r="L158" s="79"/>
      <c r="M158" s="79"/>
      <c r="O158" s="79"/>
      <c r="P158" s="79"/>
      <c r="R158" s="80" t="n">
        <f aca="false">(1/($D158*SQRT(2*PI()*T/365.25*$I$140^2)))</f>
        <v>0.0892065021004653</v>
      </c>
      <c r="S158" s="80" t="n">
        <f aca="false">LN($D158/UnderlyingPrice)+0.5*T/365.25*$I$140^2</f>
        <v>1.03253267638596</v>
      </c>
      <c r="T158" s="80" t="n">
        <f aca="false">-(S158^2)</f>
        <v>-1.06612372780476</v>
      </c>
      <c r="U158" s="80" t="n">
        <f aca="false">T158/(2*T/365.25*$I$140^2)</f>
        <v>-4.36687179752625</v>
      </c>
      <c r="V158" s="80"/>
      <c r="W158" s="100" t="e">
        <f aca="false">(Alpha2*R158)*EXP(Gamma2^2*U158)</f>
        <v>#NAME?</v>
      </c>
      <c r="Z158" s="80" t="n">
        <f aca="false">(1/(D158*SQRT(2*PI()*T/365.25*ATMImpVol^2)))</f>
        <v>0.0950344785482407</v>
      </c>
      <c r="AA158" s="80" t="n">
        <f aca="false">LN(D158/UnderlyingPrice)+0.5*T/365.25*ATMImpVol^2</f>
        <v>1.02527631659528</v>
      </c>
      <c r="AB158" s="80" t="n">
        <f aca="false">-(AA158^2)</f>
        <v>-1.05119152537119</v>
      </c>
      <c r="AC158" s="80" t="n">
        <f aca="false">AB158/(2*T/365.25*ATMImpVol^2)</f>
        <v>-4.88668173954881</v>
      </c>
      <c r="AD158" s="82" t="n">
        <f aca="false">EXP(AC158)</f>
        <v>0.00754642196820473</v>
      </c>
      <c r="AE158" s="82" t="n">
        <f aca="false">AD158*Z158</f>
        <v>0.000717170276653325</v>
      </c>
      <c r="AF158" s="82"/>
      <c r="AG158" s="102" t="n">
        <f aca="false">AG157+UTFactor*(MaxStandard-MinStandard)/100</f>
        <v>5.3036438653098</v>
      </c>
      <c r="AH158" s="83" t="n">
        <f aca="false">(LN(($D158*(1+$P$8))/UnderlyingPrice)+0.5*ATMImpVol^2*(T/365.25))/(ATMImpVol*SQRT(T/365.25))</f>
        <v>3.12776211355924</v>
      </c>
      <c r="AI158" s="83" t="n">
        <f aca="false">(LN($D158*(1-$P$8)/UnderlyingPrice)+0.5*ATMImpVol^2*(T/365.25))/(ATMImpVol*SQRT(T/365.25))</f>
        <v>3.12471294708442</v>
      </c>
      <c r="AJ158" s="81"/>
      <c r="AK158" s="83" t="e">
        <f aca="false">W158/(AH158-AI158)*(D158*2*$P$8)</f>
        <v>#NAME?</v>
      </c>
      <c r="AL158" s="81"/>
      <c r="AM158" s="81"/>
      <c r="AX158" s="87" t="n">
        <f aca="true">OFFSET(ENAVolCoef,0,impvol_order-2)+OFFSET(ENAVolCoef,1,impvol_order-2)*E158+OFFSET(ENAVolCoef,2,impvol_order-2)*E158^2+IF(impvol_order&gt;2,OFFSET(ENAVolCoef,3,impvol_order-2)*E158^3,0)+IF(impvol_order&gt;3,OFFSET(ENAVolCoef,4,impvol_order-2)*E158^4,0)+IF(impvol_order&gt;4,OFFSET(ENAVolCoef,5,impvol_order-2)*E158^5,0)</f>
        <v>0.528217431444448</v>
      </c>
      <c r="AY158" s="87" t="n">
        <f aca="true">OFFSET(ENAVolCoef,0,impvol_order-2)+OFFSET(ENAVolCoef,1,impvol_order-2)*F158+OFFSET(ENAVolCoef,2,impvol_order-2)*F158^2+IF(impvol_order&gt;2,OFFSET(ENAVolCoef,3,impvol_order-2)*F158^3,0)+IF(impvol_order&gt;3,OFFSET(ENAVolCoef,4,impvol_order-2)*F158^4,0)+IF(impvol_order&gt;4,OFFSET(ENAVolCoef,5,impvol_order-2)*F158^5,0)</f>
        <v>0.527858789487516</v>
      </c>
      <c r="AZ158" s="87" t="n">
        <f aca="true">OFFSET(ENAVolCoef,0,impvol_order-2)+OFFSET(ENAVolCoef,1,impvol_order-2)*G158+OFFSET(ENAVolCoef,2,impvol_order-2)*G158^2+IF(impvol_order&gt;2,OFFSET(ENAVolCoef,3,impvol_order-2)*G158^3,0)+IF(impvol_order&gt;3,OFFSET(ENAVolCoef,4,impvol_order-2)*G158^4,0)+IF(impvol_order&gt;4,OFFSET(ENAVolCoef,5,impvol_order-2)*G158^5,0)</f>
        <v>0.528574860160456</v>
      </c>
      <c r="BB158" s="48" t="e">
        <f aca="false">EURO(UnderlyingPrice,$D158,IntRate,Yield,AX158,$D$6,1,0)</f>
        <v>#NAME?</v>
      </c>
      <c r="BC158" s="48" t="e">
        <f aca="false">EURO(UnderlyingPrice,$D158*(1+$P$8),IntRate,Yield,AY158,$D$6,1,0)</f>
        <v>#NAME?</v>
      </c>
      <c r="BD158" s="48" t="e">
        <f aca="false">EURO(UnderlyingPrice,$D158*(1-$P$8),IntRate,Yield,AZ158,$D$6,1,0)</f>
        <v>#NAME?</v>
      </c>
      <c r="BF158" s="80" t="e">
        <f aca="false">(BC158+BD158-2*BB158)/($P$8*$D158)^2</f>
        <v>#NAME?</v>
      </c>
      <c r="BG158" s="48" t="e">
        <f aca="false">+BF158/$D$9</f>
        <v>#NAME?</v>
      </c>
      <c r="BI158" s="79"/>
    </row>
    <row r="159" customFormat="false" ht="11.25" hidden="false" customHeight="false" outlineLevel="0" collapsed="false">
      <c r="C159" s="77"/>
      <c r="D159" s="78" t="n">
        <f aca="true">+D158+UTFactor*(ROUNDUP(MAX(StrikeRange),1)-ROUNDDOWN(MIN(StrikeRange),1))/100</f>
        <v>13.15</v>
      </c>
      <c r="E159" s="64" t="n">
        <f aca="false">+D159/UnderlyingPrice-1</f>
        <v>1.71413828689371</v>
      </c>
      <c r="F159" s="64" t="n">
        <f aca="false">+D159*(1+$P$8)/UnderlyingPrice-1</f>
        <v>1.71549535603715</v>
      </c>
      <c r="G159" s="64" t="n">
        <f aca="false">+D159*(1-$P$8)/UnderlyingPrice-1</f>
        <v>1.71278121775026</v>
      </c>
      <c r="H159" s="64" t="n">
        <f aca="true">OFFSET(VolSkewCoef,0,impvol_order-2)+OFFSET(VolSkewCoef,1,impvol_order-2)*F159+OFFSET(VolSkewCoef,2,impvol_order-2)*F159^2+IF(impvol_order&gt;2,OFFSET(VolSkewCoef,3,impvol_order-2)*F159^3,0)+IF(impvol_order&gt;3,OFFSET(VolSkewCoef,4,impvol_order-2)*F159^4,0)+IF(impvol_order&gt;4,OFFSET(VolSkewCoef,5,impvol_order-2)*F159^5,0)</f>
        <v>0.32227465229755</v>
      </c>
      <c r="I159" s="64" t="n">
        <f aca="true">OFFSET(VolSkewCoef,0,impvol_order-2)+OFFSET(VolSkewCoef,1,impvol_order-2)*E159+OFFSET(VolSkewCoef,2,impvol_order-2)*E159^2+IF(impvol_order&gt;2,OFFSET(VolSkewCoef,3,impvol_order-2)*E159^3,0)+IF(impvol_order&gt;3,OFFSET(VolSkewCoef,4,impvol_order-2)*E159^4,0)+IF(impvol_order&gt;4,OFFSET(VolSkewCoef,5,impvol_order-2)*E159^5,0)</f>
        <v>0.323324987544245</v>
      </c>
      <c r="J159" s="64" t="n">
        <f aca="true">OFFSET(VolSkewCoef,0,impvol_order-2)+OFFSET(VolSkewCoef,1,impvol_order-2)*G159+OFFSET(VolSkewCoef,2,impvol_order-2)*G159^2+IF(impvol_order&gt;2,OFFSET(VolSkewCoef,3,impvol_order-2)*G159^3,0)+IF(impvol_order&gt;3,OFFSET(VolSkewCoef,4,impvol_order-2)*G159^4,0)+IF(impvol_order&gt;4,OFFSET(VolSkewCoef,5,impvol_order-2)*G159^5,0)</f>
        <v>0.324372840476255</v>
      </c>
      <c r="L159" s="79"/>
      <c r="M159" s="79"/>
      <c r="O159" s="79"/>
      <c r="P159" s="79"/>
      <c r="R159" s="80" t="n">
        <f aca="false">(1/($D159*SQRT(2*PI()*T/365.25*$I$140^2)))</f>
        <v>0.0868321845540651</v>
      </c>
      <c r="S159" s="80" t="n">
        <f aca="false">LN($D159/UnderlyingPrice)+0.5*T/365.25*$I$140^2</f>
        <v>1.05950926408417</v>
      </c>
      <c r="T159" s="80" t="n">
        <f aca="false">-(S159^2)</f>
        <v>-1.12255988068017</v>
      </c>
      <c r="U159" s="80" t="n">
        <f aca="false">T159/(2*T/365.25*$I$140^2)</f>
        <v>-4.5980358152899</v>
      </c>
      <c r="V159" s="80"/>
      <c r="W159" s="100" t="e">
        <f aca="false">(Alpha2*R159)*EXP(Gamma2^2*U159)</f>
        <v>#NAME?</v>
      </c>
      <c r="Z159" s="80" t="n">
        <f aca="false">(1/(D159*SQRT(2*PI()*T/365.25*ATMImpVol^2)))</f>
        <v>0.0925050437579834</v>
      </c>
      <c r="AA159" s="80" t="n">
        <f aca="false">LN(D159/UnderlyingPrice)+0.5*T/365.25*ATMImpVol^2</f>
        <v>1.05225290429348</v>
      </c>
      <c r="AB159" s="80" t="n">
        <f aca="false">-(AA159^2)</f>
        <v>-1.10723617459407</v>
      </c>
      <c r="AC159" s="80" t="n">
        <f aca="false">AB159/(2*T/365.25*ATMImpVol^2)</f>
        <v>-5.14721691068251</v>
      </c>
      <c r="AD159" s="82" t="n">
        <f aca="false">EXP(AC159)</f>
        <v>0.00581556746893012</v>
      </c>
      <c r="AE159" s="82" t="n">
        <f aca="false">AD159*Z159</f>
        <v>0.000537969323190886</v>
      </c>
      <c r="AF159" s="82"/>
      <c r="AG159" s="102" t="n">
        <f aca="false">AG158+UTFactor*(MaxStandard-MinStandard)/100</f>
        <v>5.53940231425026</v>
      </c>
      <c r="AH159" s="83" t="n">
        <f aca="false">(LN(($D159*(1+$P$8))/UnderlyingPrice)+0.5*ATMImpVol^2*(T/365.25))/(ATMImpVol*SQRT(T/365.25))</f>
        <v>3.21001821351891</v>
      </c>
      <c r="AI159" s="83" t="n">
        <f aca="false">(LN($D159*(1-$P$8)/UnderlyingPrice)+0.5*ATMImpVol^2*(T/365.25))/(ATMImpVol*SQRT(T/365.25))</f>
        <v>3.20696904704409</v>
      </c>
      <c r="AJ159" s="81"/>
      <c r="AK159" s="83" t="e">
        <f aca="false">W159/(AH159-AI159)*(D159*2*$P$8)</f>
        <v>#NAME?</v>
      </c>
      <c r="AL159" s="81"/>
      <c r="AM159" s="81"/>
      <c r="AX159" s="87" t="n">
        <f aca="true">OFFSET(ENAVolCoef,0,impvol_order-2)+OFFSET(ENAVolCoef,1,impvol_order-2)*E159+OFFSET(ENAVolCoef,2,impvol_order-2)*E159^2+IF(impvol_order&gt;2,OFFSET(ENAVolCoef,3,impvol_order-2)*E159^3,0)+IF(impvol_order&gt;3,OFFSET(ENAVolCoef,4,impvol_order-2)*E159^4,0)+IF(impvol_order&gt;4,OFFSET(ENAVolCoef,5,impvol_order-2)*E159^5,0)</f>
        <v>0.506784350444599</v>
      </c>
      <c r="AY159" s="87" t="n">
        <f aca="true">OFFSET(ENAVolCoef,0,impvol_order-2)+OFFSET(ENAVolCoef,1,impvol_order-2)*F159+OFFSET(ENAVolCoef,2,impvol_order-2)*F159^2+IF(impvol_order&gt;2,OFFSET(ENAVolCoef,3,impvol_order-2)*F159^3,0)+IF(impvol_order&gt;3,OFFSET(ENAVolCoef,4,impvol_order-2)*F159^4,0)+IF(impvol_order&gt;4,OFFSET(ENAVolCoef,5,impvol_order-2)*F159^5,0)</f>
        <v>0.506345493566189</v>
      </c>
      <c r="AZ159" s="87" t="n">
        <f aca="true">OFFSET(ENAVolCoef,0,impvol_order-2)+OFFSET(ENAVolCoef,1,impvol_order-2)*G159+OFFSET(ENAVolCoef,2,impvol_order-2)*G159^2+IF(impvol_order&gt;2,OFFSET(ENAVolCoef,3,impvol_order-2)*G159^3,0)+IF(impvol_order&gt;3,OFFSET(ENAVolCoef,4,impvol_order-2)*G159^4,0)+IF(impvol_order&gt;4,OFFSET(ENAVolCoef,5,impvol_order-2)*G159^5,0)</f>
        <v>0.507221844663771</v>
      </c>
      <c r="BB159" s="48" t="e">
        <f aca="false">EURO(UnderlyingPrice,$D159,IntRate,Yield,AX159,$D$6,1,0)</f>
        <v>#NAME?</v>
      </c>
      <c r="BC159" s="48" t="e">
        <f aca="false">EURO(UnderlyingPrice,$D159*(1+$P$8),IntRate,Yield,AY159,$D$6,1,0)</f>
        <v>#NAME?</v>
      </c>
      <c r="BD159" s="48" t="e">
        <f aca="false">EURO(UnderlyingPrice,$D159*(1-$P$8),IntRate,Yield,AZ159,$D$6,1,0)</f>
        <v>#NAME?</v>
      </c>
      <c r="BF159" s="80" t="e">
        <f aca="false">(BC159+BD159-2*BB159)/($P$8*$D159)^2</f>
        <v>#NAME?</v>
      </c>
      <c r="BG159" s="48" t="e">
        <f aca="false">+BF159/$D$9</f>
        <v>#NAME?</v>
      </c>
      <c r="BI159" s="79"/>
    </row>
    <row r="160" customFormat="false" ht="11.25" hidden="false" customHeight="false" outlineLevel="0" collapsed="false">
      <c r="C160" s="77"/>
      <c r="D160" s="78" t="n">
        <f aca="true">+D159+UTFactor*(ROUNDUP(MAX(StrikeRange),1)-ROUNDDOWN(MIN(StrikeRange),1))/100</f>
        <v>13.5</v>
      </c>
      <c r="E160" s="64" t="n">
        <f aca="false">+D160/UnderlyingPrice-1</f>
        <v>1.78637770897833</v>
      </c>
      <c r="F160" s="64" t="n">
        <f aca="false">+D160*(1+$P$8)/UnderlyingPrice-1</f>
        <v>1.78777089783282</v>
      </c>
      <c r="G160" s="64" t="n">
        <f aca="false">+D160*(1-$P$8)/UnderlyingPrice-1</f>
        <v>1.78498452012384</v>
      </c>
      <c r="H160" s="64" t="n">
        <f aca="true">OFFSET(VolSkewCoef,0,impvol_order-2)+OFFSET(VolSkewCoef,1,impvol_order-2)*F160+OFFSET(VolSkewCoef,2,impvol_order-2)*F160^2+IF(impvol_order&gt;2,OFFSET(VolSkewCoef,3,impvol_order-2)*F160^3,0)+IF(impvol_order&gt;3,OFFSET(VolSkewCoef,4,impvol_order-2)*F160^4,0)+IF(impvol_order&gt;4,OFFSET(VolSkewCoef,5,impvol_order-2)*F160^5,0)</f>
        <v>0.26268141289347</v>
      </c>
      <c r="I160" s="64" t="n">
        <f aca="true">OFFSET(VolSkewCoef,0,impvol_order-2)+OFFSET(VolSkewCoef,1,impvol_order-2)*E160+OFFSET(VolSkewCoef,2,impvol_order-2)*E160^2+IF(impvol_order&gt;2,OFFSET(VolSkewCoef,3,impvol_order-2)*E160^3,0)+IF(impvol_order&gt;3,OFFSET(VolSkewCoef,4,impvol_order-2)*E160^4,0)+IF(impvol_order&gt;4,OFFSET(VolSkewCoef,5,impvol_order-2)*E160^5,0)</f>
        <v>0.263899141698116</v>
      </c>
      <c r="J160" s="64" t="n">
        <f aca="true">OFFSET(VolSkewCoef,0,impvol_order-2)+OFFSET(VolSkewCoef,1,impvol_order-2)*G160+OFFSET(VolSkewCoef,2,impvol_order-2)*G160^2+IF(impvol_order&gt;2,OFFSET(VolSkewCoef,3,impvol_order-2)*G160^3,0)+IF(impvol_order&gt;3,OFFSET(VolSkewCoef,4,impvol_order-2)*G160^4,0)+IF(impvol_order&gt;4,OFFSET(VolSkewCoef,5,impvol_order-2)*G160^5,0)</f>
        <v>0.265114112441324</v>
      </c>
      <c r="L160" s="79"/>
      <c r="M160" s="79"/>
      <c r="O160" s="79"/>
      <c r="P160" s="79"/>
      <c r="R160" s="80" t="n">
        <f aca="false">(1/($D160*SQRT(2*PI()*T/365.25*$I$140^2)))</f>
        <v>0.0845809797693301</v>
      </c>
      <c r="S160" s="80" t="n">
        <f aca="false">LN($D160/UnderlyingPrice)+0.5*T/365.25*$I$140^2</f>
        <v>1.08577719090478</v>
      </c>
      <c r="T160" s="80" t="n">
        <f aca="false">-(S160^2)</f>
        <v>-1.17891210828906</v>
      </c>
      <c r="U160" s="80" t="n">
        <f aca="false">T160/(2*T/365.25*$I$140^2)</f>
        <v>-4.82885607287836</v>
      </c>
      <c r="V160" s="80"/>
      <c r="W160" s="100" t="e">
        <f aca="false">(Alpha2*R160)*EXP(Gamma2^2*U160)</f>
        <v>#NAME?</v>
      </c>
      <c r="Z160" s="80" t="n">
        <f aca="false">(1/(D160*SQRT(2*PI()*T/365.25*ATMImpVol^2)))</f>
        <v>0.0901067648457394</v>
      </c>
      <c r="AA160" s="80" t="n">
        <f aca="false">LN(D160/UnderlyingPrice)+0.5*T/365.25*ATMImpVol^2</f>
        <v>1.07852083111409</v>
      </c>
      <c r="AB160" s="80" t="n">
        <f aca="false">-(AA160^2)</f>
        <v>-1.16320718314703</v>
      </c>
      <c r="AC160" s="80" t="n">
        <f aca="false">AB160/(2*T/365.25*ATMImpVol^2)</f>
        <v>-5.40740974789486</v>
      </c>
      <c r="AD160" s="82" t="n">
        <f aca="false">EXP(AC160)</f>
        <v>0.00448323790080452</v>
      </c>
      <c r="AE160" s="82" t="n">
        <f aca="false">AD160*Z160</f>
        <v>0.000403970063275299</v>
      </c>
      <c r="AF160" s="82"/>
      <c r="AG160" s="102" t="n">
        <f aca="false">AG159+UTFactor*(MaxStandard-MinStandard)/100</f>
        <v>5.77516076319073</v>
      </c>
      <c r="AH160" s="83" t="n">
        <f aca="false">(LN(($D160*(1+$P$8))/UnderlyingPrice)+0.5*ATMImpVol^2*(T/365.25))/(ATMImpVol*SQRT(T/365.25))</f>
        <v>3.29011348866869</v>
      </c>
      <c r="AI160" s="83" t="n">
        <f aca="false">(LN($D160*(1-$P$8)/UnderlyingPrice)+0.5*ATMImpVol^2*(T/365.25))/(ATMImpVol*SQRT(T/365.25))</f>
        <v>3.28706432219387</v>
      </c>
      <c r="AJ160" s="81"/>
      <c r="AK160" s="83" t="e">
        <f aca="false">W160/(AH160-AI160)*(D160*2*$P$8)</f>
        <v>#NAME?</v>
      </c>
      <c r="AL160" s="81"/>
      <c r="AM160" s="81"/>
      <c r="AX160" s="87" t="n">
        <f aca="true">OFFSET(ENAVolCoef,0,impvol_order-2)+OFFSET(ENAVolCoef,1,impvol_order-2)*E160+OFFSET(ENAVolCoef,2,impvol_order-2)*E160^2+IF(impvol_order&gt;2,OFFSET(ENAVolCoef,3,impvol_order-2)*E160^3,0)+IF(impvol_order&gt;3,OFFSET(ENAVolCoef,4,impvol_order-2)*E160^4,0)+IF(impvol_order&gt;4,OFFSET(ENAVolCoef,5,impvol_order-2)*E160^5,0)</f>
        <v>0.48148998461633</v>
      </c>
      <c r="AY160" s="87" t="n">
        <f aca="true">OFFSET(ENAVolCoef,0,impvol_order-2)+OFFSET(ENAVolCoef,1,impvol_order-2)*F160+OFFSET(ENAVolCoef,2,impvol_order-2)*F160^2+IF(impvol_order&gt;2,OFFSET(ENAVolCoef,3,impvol_order-2)*F160^3,0)+IF(impvol_order&gt;3,OFFSET(ENAVolCoef,4,impvol_order-2)*F160^4,0)+IF(impvol_order&gt;4,OFFSET(ENAVolCoef,5,impvol_order-2)*F160^5,0)</f>
        <v>0.480962672544585</v>
      </c>
      <c r="AZ160" s="87" t="n">
        <f aca="true">OFFSET(ENAVolCoef,0,impvol_order-2)+OFFSET(ENAVolCoef,1,impvol_order-2)*G160+OFFSET(ENAVolCoef,2,impvol_order-2)*G160^2+IF(impvol_order&gt;2,OFFSET(ENAVolCoef,3,impvol_order-2)*G160^3,0)+IF(impvol_order&gt;3,OFFSET(ENAVolCoef,4,impvol_order-2)*G160^4,0)+IF(impvol_order&gt;4,OFFSET(ENAVolCoef,5,impvol_order-2)*G160^5,0)</f>
        <v>0.48201577393259</v>
      </c>
      <c r="BB160" s="48" t="e">
        <f aca="false">EURO(UnderlyingPrice,$D160,IntRate,Yield,AX160,$D$6,1,0)</f>
        <v>#NAME?</v>
      </c>
      <c r="BC160" s="48" t="e">
        <f aca="false">EURO(UnderlyingPrice,$D160*(1+$P$8),IntRate,Yield,AY160,$D$6,1,0)</f>
        <v>#NAME?</v>
      </c>
      <c r="BD160" s="48" t="e">
        <f aca="false">EURO(UnderlyingPrice,$D160*(1-$P$8),IntRate,Yield,AZ160,$D$6,1,0)</f>
        <v>#NAME?</v>
      </c>
      <c r="BF160" s="80" t="e">
        <f aca="false">(BC160+BD160-2*BB160)/($P$8*$D160)^2</f>
        <v>#NAME?</v>
      </c>
      <c r="BG160" s="48" t="e">
        <f aca="false">+BF160/$D$9</f>
        <v>#NAME?</v>
      </c>
      <c r="BI160" s="79"/>
    </row>
    <row r="161" customFormat="false" ht="11.25" hidden="false" customHeight="false" outlineLevel="0" collapsed="false">
      <c r="C161" s="77"/>
      <c r="D161" s="78" t="n">
        <f aca="true">+D160+UTFactor*(ROUNDUP(MAX(StrikeRange),1)-ROUNDDOWN(MIN(StrikeRange),1))/100</f>
        <v>13.85</v>
      </c>
      <c r="E161" s="64" t="n">
        <f aca="false">+D161/UnderlyingPrice-1</f>
        <v>1.85861713106295</v>
      </c>
      <c r="F161" s="64" t="n">
        <f aca="false">+D161*(1+$P$8)/UnderlyingPrice-1</f>
        <v>1.86004643962848</v>
      </c>
      <c r="G161" s="64" t="n">
        <f aca="false">+D161*(1-$P$8)/UnderlyingPrice-1</f>
        <v>1.85718782249742</v>
      </c>
      <c r="H161" s="64" t="n">
        <f aca="true">OFFSET(VolSkewCoef,0,impvol_order-2)+OFFSET(VolSkewCoef,1,impvol_order-2)*F161+OFFSET(VolSkewCoef,2,impvol_order-2)*F161^2+IF(impvol_order&gt;2,OFFSET(VolSkewCoef,3,impvol_order-2)*F161^3,0)+IF(impvol_order&gt;3,OFFSET(VolSkewCoef,4,impvol_order-2)*F161^4,0)+IF(impvol_order&gt;4,OFFSET(VolSkewCoef,5,impvol_order-2)*F161^5,0)</f>
        <v>0.195658029651498</v>
      </c>
      <c r="I161" s="64" t="n">
        <f aca="true">OFFSET(VolSkewCoef,0,impvol_order-2)+OFFSET(VolSkewCoef,1,impvol_order-2)*E161+OFFSET(VolSkewCoef,2,impvol_order-2)*E161^2+IF(impvol_order&gt;2,OFFSET(VolSkewCoef,3,impvol_order-2)*E161^3,0)+IF(impvol_order&gt;3,OFFSET(VolSkewCoef,4,impvol_order-2)*E161^4,0)+IF(impvol_order&gt;4,OFFSET(VolSkewCoef,5,impvol_order-2)*E161^5,0)</f>
        <v>0.197057931765493</v>
      </c>
      <c r="J161" s="64" t="n">
        <f aca="true">OFFSET(VolSkewCoef,0,impvol_order-2)+OFFSET(VolSkewCoef,1,impvol_order-2)*G161+OFFSET(VolSkewCoef,2,impvol_order-2)*G161^2+IF(impvol_order&gt;2,OFFSET(VolSkewCoef,3,impvol_order-2)*G161^3,0)+IF(impvol_order&gt;3,OFFSET(VolSkewCoef,4,impvol_order-2)*G161^4,0)+IF(impvol_order&gt;4,OFFSET(VolSkewCoef,5,impvol_order-2)*G161^5,0)</f>
        <v>0.198454781653262</v>
      </c>
      <c r="L161" s="79"/>
      <c r="M161" s="79"/>
      <c r="O161" s="79"/>
      <c r="P161" s="79"/>
      <c r="R161" s="80" t="n">
        <f aca="false">(1/($D161*SQRT(2*PI()*T/365.25*$I$140^2)))</f>
        <v>0.0824435542877947</v>
      </c>
      <c r="S161" s="80" t="n">
        <f aca="false">LN($D161/UnderlyingPrice)+0.5*T/365.25*$I$140^2</f>
        <v>1.11137273809374</v>
      </c>
      <c r="T161" s="80" t="n">
        <f aca="false">-(S161^2)</f>
        <v>-1.23514936297797</v>
      </c>
      <c r="U161" s="80" t="n">
        <f aca="false">T161/(2*T/365.25*$I$140^2)</f>
        <v>-5.05920539825823</v>
      </c>
      <c r="V161" s="80"/>
      <c r="W161" s="100" t="e">
        <f aca="false">(Alpha2*R161)*EXP(Gamma2^2*U161)</f>
        <v>#NAME?</v>
      </c>
      <c r="Z161" s="80" t="n">
        <f aca="false">(1/(D161*SQRT(2*PI()*T/365.25*ATMImpVol^2)))</f>
        <v>0.0878296985860997</v>
      </c>
      <c r="AA161" s="80" t="n">
        <f aca="false">LN(D161/UnderlyingPrice)+0.5*T/365.25*ATMImpVol^2</f>
        <v>1.10411637830306</v>
      </c>
      <c r="AB161" s="80" t="n">
        <f aca="false">-(AA161^2)</f>
        <v>-1.21907297683706</v>
      </c>
      <c r="AC161" s="80" t="n">
        <f aca="false">AB161/(2*T/365.25*ATMImpVol^2)</f>
        <v>-5.6671134720036</v>
      </c>
      <c r="AD161" s="82" t="n">
        <f aca="false">EXP(AC161)</f>
        <v>0.00345783201346335</v>
      </c>
      <c r="AE161" s="82" t="n">
        <f aca="false">AD161*Z161</f>
        <v>0.000303700343503853</v>
      </c>
      <c r="AF161" s="82"/>
      <c r="AG161" s="102" t="n">
        <f aca="false">AG160+UTFactor*(MaxStandard-MinStandard)/100</f>
        <v>6.01091921213119</v>
      </c>
      <c r="AH161" s="83" t="n">
        <f aca="false">(LN(($D161*(1+$P$8))/UnderlyingPrice)+0.5*ATMImpVol^2*(T/365.25))/(ATMImpVol*SQRT(T/365.25))</f>
        <v>3.36815856655815</v>
      </c>
      <c r="AI161" s="83" t="n">
        <f aca="false">(LN($D161*(1-$P$8)/UnderlyingPrice)+0.5*ATMImpVol^2*(T/365.25))/(ATMImpVol*SQRT(T/365.25))</f>
        <v>3.36510940008333</v>
      </c>
      <c r="AJ161" s="81"/>
      <c r="AK161" s="83" t="e">
        <f aca="false">W161/(AH161-AI161)*(D161*2*$P$8)</f>
        <v>#NAME?</v>
      </c>
      <c r="AL161" s="81"/>
      <c r="AM161" s="81"/>
      <c r="AX161" s="87" t="n">
        <f aca="true">OFFSET(ENAVolCoef,0,impvol_order-2)+OFFSET(ENAVolCoef,1,impvol_order-2)*E161+OFFSET(ENAVolCoef,2,impvol_order-2)*E161^2+IF(impvol_order&gt;2,OFFSET(ENAVolCoef,3,impvol_order-2)*E161^3,0)+IF(impvol_order&gt;3,OFFSET(ENAVolCoef,4,impvol_order-2)*E161^4,0)+IF(impvol_order&gt;4,OFFSET(ENAVolCoef,5,impvol_order-2)*E161^5,0)</f>
        <v>0.452101516250253</v>
      </c>
      <c r="AY161" s="87" t="n">
        <f aca="true">OFFSET(ENAVolCoef,0,impvol_order-2)+OFFSET(ENAVolCoef,1,impvol_order-2)*F161+OFFSET(ENAVolCoef,2,impvol_order-2)*F161^2+IF(impvol_order&gt;2,OFFSET(ENAVolCoef,3,impvol_order-2)*F161^3,0)+IF(impvol_order&gt;3,OFFSET(ENAVolCoef,4,impvol_order-2)*F161^4,0)+IF(impvol_order&gt;4,OFFSET(ENAVolCoef,5,impvol_order-2)*F161^5,0)</f>
        <v>0.451477159312106</v>
      </c>
      <c r="AZ161" s="87" t="n">
        <f aca="true">OFFSET(ENAVolCoef,0,impvol_order-2)+OFFSET(ENAVolCoef,1,impvol_order-2)*G161+OFFSET(ENAVolCoef,2,impvol_order-2)*G161^2+IF(impvol_order&gt;2,OFFSET(ENAVolCoef,3,impvol_order-2)*G161^3,0)+IF(impvol_order&gt;3,OFFSET(ENAVolCoef,4,impvol_order-2)*G161^4,0)+IF(impvol_order&gt;4,OFFSET(ENAVolCoef,5,impvol_order-2)*G161^5,0)</f>
        <v>0.452724179309504</v>
      </c>
      <c r="BB161" s="48" t="e">
        <f aca="false">EURO(UnderlyingPrice,$D161,IntRate,Yield,AX161,$D$6,1,0)</f>
        <v>#NAME?</v>
      </c>
      <c r="BC161" s="48" t="e">
        <f aca="false">EURO(UnderlyingPrice,$D161*(1+$P$8),IntRate,Yield,AY161,$D$6,1,0)</f>
        <v>#NAME?</v>
      </c>
      <c r="BD161" s="48" t="e">
        <f aca="false">EURO(UnderlyingPrice,$D161*(1-$P$8),IntRate,Yield,AZ161,$D$6,1,0)</f>
        <v>#NAME?</v>
      </c>
      <c r="BF161" s="80" t="e">
        <f aca="false">(BC161+BD161-2*BB161)/($P$8*$D161)^2</f>
        <v>#NAME?</v>
      </c>
      <c r="BG161" s="48" t="e">
        <f aca="false">+BF161/$D$9</f>
        <v>#NAME?</v>
      </c>
      <c r="BI161" s="79"/>
    </row>
    <row r="162" customFormat="false" ht="11.25" hidden="false" customHeight="false" outlineLevel="0" collapsed="false">
      <c r="C162" s="77"/>
      <c r="D162" s="78" t="n">
        <f aca="true">+D161+UTFactor*(ROUNDUP(MAX(StrikeRange),1)-ROUNDDOWN(MIN(StrikeRange),1))/100</f>
        <v>14.2</v>
      </c>
      <c r="E162" s="64" t="n">
        <f aca="false">+D162/UnderlyingPrice-1</f>
        <v>1.93085655314758</v>
      </c>
      <c r="F162" s="64" t="n">
        <f aca="false">+D162*(1+$P$8)/UnderlyingPrice-1</f>
        <v>1.93232198142415</v>
      </c>
      <c r="G162" s="64" t="n">
        <f aca="false">+D162*(1-$P$8)/UnderlyingPrice-1</f>
        <v>1.929391124871</v>
      </c>
      <c r="H162" s="64" t="n">
        <f aca="true">OFFSET(VolSkewCoef,0,impvol_order-2)+OFFSET(VolSkewCoef,1,impvol_order-2)*F162+OFFSET(VolSkewCoef,2,impvol_order-2)*F162^2+IF(impvol_order&gt;2,OFFSET(VolSkewCoef,3,impvol_order-2)*F162^3,0)+IF(impvol_order&gt;3,OFFSET(VolSkewCoef,4,impvol_order-2)*F162^4,0)+IF(impvol_order&gt;4,OFFSET(VolSkewCoef,5,impvol_order-2)*F162^5,0)</f>
        <v>0.120822550696403</v>
      </c>
      <c r="I162" s="64" t="n">
        <f aca="true">OFFSET(VolSkewCoef,0,impvol_order-2)+OFFSET(VolSkewCoef,1,impvol_order-2)*E162+OFFSET(VolSkewCoef,2,impvol_order-2)*E162^2+IF(impvol_order&gt;2,OFFSET(VolSkewCoef,3,impvol_order-2)*E162^3,0)+IF(impvol_order&gt;3,OFFSET(VolSkewCoef,4,impvol_order-2)*E162^4,0)+IF(impvol_order&gt;4,OFFSET(VolSkewCoef,5,impvol_order-2)*E162^5,0)</f>
        <v>0.122419978226506</v>
      </c>
      <c r="J162" s="64" t="n">
        <f aca="true">OFFSET(VolSkewCoef,0,impvol_order-2)+OFFSET(VolSkewCoef,1,impvol_order-2)*G162+OFFSET(VolSkewCoef,2,impvol_order-2)*G162^2+IF(impvol_order&gt;2,OFFSET(VolSkewCoef,3,impvol_order-2)*G162^3,0)+IF(impvol_order&gt;3,OFFSET(VolSkewCoef,4,impvol_order-2)*G162^4,0)+IF(impvol_order&gt;4,OFFSET(VolSkewCoef,5,impvol_order-2)*G162^5,0)</f>
        <v>0.124014040375492</v>
      </c>
      <c r="L162" s="79"/>
      <c r="M162" s="79"/>
      <c r="O162" s="79"/>
      <c r="P162" s="79"/>
      <c r="R162" s="80" t="n">
        <f aca="false">(1/($D162*SQRT(2*PI()*T/365.25*$I$140^2)))</f>
        <v>0.0804114948511237</v>
      </c>
      <c r="S162" s="80" t="n">
        <f aca="false">LN($D162/UnderlyingPrice)+0.5*T/365.25*$I$140^2</f>
        <v>1.13632947006761</v>
      </c>
      <c r="T162" s="80" t="n">
        <f aca="false">-(S162^2)</f>
        <v>-1.29124466454413</v>
      </c>
      <c r="U162" s="80" t="n">
        <f aca="false">T162/(2*T/365.25*$I$140^2)</f>
        <v>-5.28897327978485</v>
      </c>
      <c r="V162" s="80"/>
      <c r="W162" s="100" t="e">
        <f aca="false">(Alpha2*R162)*EXP(Gamma2^2*U162)</f>
        <v>#NAME?</v>
      </c>
      <c r="Z162" s="80" t="n">
        <f aca="false">(1/(D162*SQRT(2*PI()*T/365.25*ATMImpVol^2)))</f>
        <v>0.0856648820716536</v>
      </c>
      <c r="AA162" s="80" t="n">
        <f aca="false">LN(D162/UnderlyingPrice)+0.5*T/365.25*ATMImpVol^2</f>
        <v>1.12907311027692</v>
      </c>
      <c r="AB162" s="80" t="n">
        <f aca="false">-(AA162^2)</f>
        <v>-1.27480608835041</v>
      </c>
      <c r="AC162" s="80" t="n">
        <f aca="false">AB162/(2*T/365.25*ATMImpVol^2)</f>
        <v>-5.92620039550629</v>
      </c>
      <c r="AD162" s="82" t="n">
        <f aca="false">EXP(AC162)</f>
        <v>0.00266860238346026</v>
      </c>
      <c r="AE162" s="82" t="n">
        <f aca="false">AD162*Z162</f>
        <v>0.000228605508475257</v>
      </c>
      <c r="AF162" s="82"/>
      <c r="AG162" s="102" t="n">
        <f aca="false">AG161+UTFactor*(MaxStandard-MinStandard)/100</f>
        <v>6.24667766107165</v>
      </c>
      <c r="AH162" s="83" t="n">
        <f aca="false">(LN(($D162*(1+$P$8))/UnderlyingPrice)+0.5*ATMImpVol^2*(T/365.25))/(ATMImpVol*SQRT(T/365.25))</f>
        <v>3.44425579067246</v>
      </c>
      <c r="AI162" s="83" t="n">
        <f aca="false">(LN($D162*(1-$P$8)/UnderlyingPrice)+0.5*ATMImpVol^2*(T/365.25))/(ATMImpVol*SQRT(T/365.25))</f>
        <v>3.44120662419764</v>
      </c>
      <c r="AJ162" s="81"/>
      <c r="AK162" s="83" t="e">
        <f aca="false">W162/(AH162-AI162)*(D162*2*$P$8)</f>
        <v>#NAME?</v>
      </c>
      <c r="AL162" s="81"/>
      <c r="AM162" s="81"/>
      <c r="AX162" s="87" t="n">
        <f aca="true">OFFSET(ENAVolCoef,0,impvol_order-2)+OFFSET(ENAVolCoef,1,impvol_order-2)*E162+OFFSET(ENAVolCoef,2,impvol_order-2)*E162^2+IF(impvol_order&gt;2,OFFSET(ENAVolCoef,3,impvol_order-2)*E162^3,0)+IF(impvol_order&gt;3,OFFSET(ENAVolCoef,4,impvol_order-2)*E162^4,0)+IF(impvol_order&gt;4,OFFSET(ENAVolCoef,5,impvol_order-2)*E162^5,0)</f>
        <v>0.418386127636979</v>
      </c>
      <c r="AY162" s="87" t="n">
        <f aca="true">OFFSET(ENAVolCoef,0,impvol_order-2)+OFFSET(ENAVolCoef,1,impvol_order-2)*F162+OFFSET(ENAVolCoef,2,impvol_order-2)*F162^2+IF(impvol_order&gt;2,OFFSET(ENAVolCoef,3,impvol_order-2)*F162^3,0)+IF(impvol_order&gt;3,OFFSET(ENAVolCoef,4,impvol_order-2)*F162^4,0)+IF(impvol_order&gt;4,OFFSET(ENAVolCoef,5,impvol_order-2)*F162^5,0)</f>
        <v>0.417655786758157</v>
      </c>
      <c r="AZ162" s="87" t="n">
        <f aca="true">OFFSET(ENAVolCoef,0,impvol_order-2)+OFFSET(ENAVolCoef,1,impvol_order-2)*G162+OFFSET(ENAVolCoef,2,impvol_order-2)*G162^2+IF(impvol_order&gt;2,OFFSET(ENAVolCoef,3,impvol_order-2)*G162^3,0)+IF(impvol_order&gt;3,OFFSET(ENAVolCoef,4,impvol_order-2)*G162^4,0)+IF(impvol_order&gt;4,OFFSET(ENAVolCoef,5,impvol_order-2)*G162^5,0)</f>
        <v>0.419114592137103</v>
      </c>
      <c r="BB162" s="48" t="e">
        <f aca="false">EURO(UnderlyingPrice,$D162,IntRate,Yield,AX162,$D$6,1,0)</f>
        <v>#NAME?</v>
      </c>
      <c r="BC162" s="48" t="e">
        <f aca="false">EURO(UnderlyingPrice,$D162*(1+$P$8),IntRate,Yield,AY162,$D$6,1,0)</f>
        <v>#NAME?</v>
      </c>
      <c r="BD162" s="48" t="e">
        <f aca="false">EURO(UnderlyingPrice,$D162*(1-$P$8),IntRate,Yield,AZ162,$D$6,1,0)</f>
        <v>#NAME?</v>
      </c>
      <c r="BF162" s="80" t="e">
        <f aca="false">(BC162+BD162-2*BB162)/($P$8*$D162)^2</f>
        <v>#NAME?</v>
      </c>
      <c r="BG162" s="48" t="e">
        <f aca="false">+BF162/$D$9</f>
        <v>#NAME?</v>
      </c>
      <c r="BI162" s="79"/>
    </row>
    <row r="163" customFormat="false" ht="11.25" hidden="false" customHeight="false" outlineLevel="0" collapsed="false">
      <c r="C163" s="77"/>
      <c r="D163" s="78" t="n">
        <f aca="true">+D162+UTFactor*(ROUNDUP(MAX(StrikeRange),1)-ROUNDDOWN(MIN(StrikeRange),1))/100</f>
        <v>14.55</v>
      </c>
      <c r="E163" s="64" t="n">
        <f aca="false">+D163/UnderlyingPrice-1</f>
        <v>2.0030959752322</v>
      </c>
      <c r="F163" s="64" t="n">
        <f aca="false">+D163*(1+$P$8)/UnderlyingPrice-1</f>
        <v>2.00459752321982</v>
      </c>
      <c r="G163" s="64" t="n">
        <f aca="false">+D163*(1-$P$8)/UnderlyingPrice-1</f>
        <v>2.00159442724458</v>
      </c>
      <c r="H163" s="64" t="n">
        <f aca="true">OFFSET(VolSkewCoef,0,impvol_order-2)+OFFSET(VolSkewCoef,1,impvol_order-2)*F163+OFFSET(VolSkewCoef,2,impvol_order-2)*F163^2+IF(impvol_order&gt;2,OFFSET(VolSkewCoef,3,impvol_order-2)*F163^3,0)+IF(impvol_order&gt;3,OFFSET(VolSkewCoef,4,impvol_order-2)*F163^4,0)+IF(impvol_order&gt;4,OFFSET(VolSkewCoef,5,impvol_order-2)*F163^5,0)</f>
        <v>0.0377930241529538</v>
      </c>
      <c r="I163" s="64" t="n">
        <f aca="true">OFFSET(VolSkewCoef,0,impvol_order-2)+OFFSET(VolSkewCoef,1,impvol_order-2)*E163+OFFSET(VolSkewCoef,2,impvol_order-2)*E163^2+IF(impvol_order&gt;2,OFFSET(VolSkewCoef,3,impvol_order-2)*E163^3,0)+IF(impvol_order&gt;3,OFFSET(VolSkewCoef,4,impvol_order-2)*E163^4,0)+IF(impvol_order&gt;4,OFFSET(VolSkewCoef,5,impvol_order-2)*E163^5,0)</f>
        <v>0.0396039015612866</v>
      </c>
      <c r="J163" s="64" t="n">
        <f aca="true">OFFSET(VolSkewCoef,0,impvol_order-2)+OFFSET(VolSkewCoef,1,impvol_order-2)*G163+OFFSET(VolSkewCoef,2,impvol_order-2)*G163^2+IF(impvol_order&gt;2,OFFSET(VolSkewCoef,3,impvol_order-2)*G163^3,0)+IF(impvol_order&gt;3,OFFSET(VolSkewCoef,4,impvol_order-2)*G163^4,0)+IF(impvol_order&gt;4,OFFSET(VolSkewCoef,5,impvol_order-2)*G163^5,0)</f>
        <v>0.0414110808714372</v>
      </c>
      <c r="L163" s="79"/>
      <c r="M163" s="79"/>
      <c r="O163" s="79"/>
      <c r="P163" s="79"/>
      <c r="R163" s="80" t="n">
        <f aca="false">(1/($D163*SQRT(2*PI()*T/365.25*$I$140^2)))</f>
        <v>0.0784771977241207</v>
      </c>
      <c r="S163" s="80" t="n">
        <f aca="false">LN($D163/UnderlyingPrice)+0.5*T/365.25*$I$140^2</f>
        <v>1.16067849907789</v>
      </c>
      <c r="T163" s="80" t="n">
        <f aca="false">-(S163^2)</f>
        <v>-1.34717457822171</v>
      </c>
      <c r="U163" s="80" t="n">
        <f aca="false">T163/(2*T/365.25*$I$140^2)</f>
        <v>-5.51806372801981</v>
      </c>
      <c r="V163" s="80"/>
      <c r="W163" s="100" t="e">
        <f aca="false">(Alpha2*R163)*EXP(Gamma2^2*U163)</f>
        <v>#NAME?</v>
      </c>
      <c r="Z163" s="80" t="n">
        <f aca="false">(1/(D163*SQRT(2*PI()*T/365.25*ATMImpVol^2)))</f>
        <v>0.0836042148053252</v>
      </c>
      <c r="AA163" s="80" t="n">
        <f aca="false">LN(D163/UnderlyingPrice)+0.5*T/365.25*ATMImpVol^2</f>
        <v>1.15342213928721</v>
      </c>
      <c r="AB163" s="80" t="n">
        <f aca="false">-(AA163^2)</f>
        <v>-1.33038263139789</v>
      </c>
      <c r="AC163" s="80" t="n">
        <f aca="false">AB163/(2*T/365.25*ATMImpVol^2)</f>
        <v>-6.18455947803548</v>
      </c>
      <c r="AD163" s="82" t="n">
        <f aca="false">EXP(AC163)</f>
        <v>0.00206100927253887</v>
      </c>
      <c r="AE163" s="82" t="n">
        <f aca="false">AD163*Z163</f>
        <v>0.000172309061937106</v>
      </c>
      <c r="AF163" s="82"/>
      <c r="AG163" s="102" t="n">
        <f aca="false">AG162+UTFactor*(MaxStandard-MinStandard)/100</f>
        <v>6.48243611001212</v>
      </c>
      <c r="AH163" s="83" t="n">
        <f aca="false">(LN(($D163*(1+$P$8))/UnderlyingPrice)+0.5*ATMImpVol^2*(T/365.25))/(ATMImpVol*SQRT(T/365.25))</f>
        <v>3.51850002743798</v>
      </c>
      <c r="AI163" s="83" t="n">
        <f aca="false">(LN($D163*(1-$P$8)/UnderlyingPrice)+0.5*ATMImpVol^2*(T/365.25))/(ATMImpVol*SQRT(T/365.25))</f>
        <v>3.51545086096316</v>
      </c>
      <c r="AJ163" s="81"/>
      <c r="AK163" s="83" t="e">
        <f aca="false">W163/(AH163-AI163)*(D163*2*$P$8)</f>
        <v>#NAME?</v>
      </c>
      <c r="AL163" s="81"/>
      <c r="AM163" s="81"/>
      <c r="AX163" s="87" t="n">
        <f aca="true">OFFSET(ENAVolCoef,0,impvol_order-2)+OFFSET(ENAVolCoef,1,impvol_order-2)*E163+OFFSET(ENAVolCoef,2,impvol_order-2)*E163^2+IF(impvol_order&gt;2,OFFSET(ENAVolCoef,3,impvol_order-2)*E163^3,0)+IF(impvol_order&gt;3,OFFSET(ENAVolCoef,4,impvol_order-2)*E163^4,0)+IF(impvol_order&gt;4,OFFSET(ENAVolCoef,5,impvol_order-2)*E163^5,0)</f>
        <v>0.380111001067117</v>
      </c>
      <c r="AY163" s="87" t="n">
        <f aca="true">OFFSET(ENAVolCoef,0,impvol_order-2)+OFFSET(ENAVolCoef,1,impvol_order-2)*F163+OFFSET(ENAVolCoef,2,impvol_order-2)*F163^2+IF(impvol_order&gt;2,OFFSET(ENAVolCoef,3,impvol_order-2)*F163^3,0)+IF(impvol_order&gt;3,OFFSET(ENAVolCoef,4,impvol_order-2)*F163^4,0)+IF(impvol_order&gt;4,OFFSET(ENAVolCoef,5,impvol_order-2)*F163^5,0)</f>
        <v>0.379265387772143</v>
      </c>
      <c r="AZ163" s="87" t="n">
        <f aca="true">OFFSET(ENAVolCoef,0,impvol_order-2)+OFFSET(ENAVolCoef,1,impvol_order-2)*G163+OFFSET(ENAVolCoef,2,impvol_order-2)*G163^2+IF(impvol_order&gt;2,OFFSET(ENAVolCoef,3,impvol_order-2)*G163^3,0)+IF(impvol_order&gt;3,OFFSET(ENAVolCoef,4,impvol_order-2)*G163^4,0)+IF(impvol_order&gt;4,OFFSET(ENAVolCoef,5,impvol_order-2)*G163^5,0)</f>
        <v>0.380954543757976</v>
      </c>
      <c r="BB163" s="48" t="e">
        <f aca="false">EURO(UnderlyingPrice,$D163,IntRate,Yield,AX163,$D$6,1,0)</f>
        <v>#NAME?</v>
      </c>
      <c r="BC163" s="48" t="e">
        <f aca="false">EURO(UnderlyingPrice,$D163*(1+$P$8),IntRate,Yield,AY163,$D$6,1,0)</f>
        <v>#NAME?</v>
      </c>
      <c r="BD163" s="48" t="e">
        <f aca="false">EURO(UnderlyingPrice,$D163*(1-$P$8),IntRate,Yield,AZ163,$D$6,1,0)</f>
        <v>#NAME?</v>
      </c>
      <c r="BF163" s="80" t="e">
        <f aca="false">(BC163+BD163-2*BB163)/($P$8*$D163)^2</f>
        <v>#NAME?</v>
      </c>
      <c r="BG163" s="48" t="e">
        <f aca="false">+BF163/$D$9</f>
        <v>#NAME?</v>
      </c>
      <c r="BI163" s="79"/>
    </row>
    <row r="164" customFormat="false" ht="11.25" hidden="false" customHeight="false" outlineLevel="0" collapsed="false">
      <c r="C164" s="77"/>
      <c r="D164" s="78" t="n">
        <f aca="true">+D163+UTFactor*(ROUNDUP(MAX(StrikeRange),1)-ROUNDDOWN(MIN(StrikeRange),1))/100</f>
        <v>14.9</v>
      </c>
      <c r="E164" s="64" t="n">
        <f aca="false">+D164/UnderlyingPrice-1</f>
        <v>2.07533539731682</v>
      </c>
      <c r="F164" s="64" t="n">
        <f aca="false">+D164*(1+$P$8)/UnderlyingPrice-1</f>
        <v>2.07687306501548</v>
      </c>
      <c r="G164" s="64" t="n">
        <f aca="false">+D164*(1-$P$8)/UnderlyingPrice-1</f>
        <v>2.07379772961817</v>
      </c>
      <c r="H164" s="64" t="n">
        <f aca="true">OFFSET(VolSkewCoef,0,impvol_order-2)+OFFSET(VolSkewCoef,1,impvol_order-2)*F164+OFFSET(VolSkewCoef,2,impvol_order-2)*F164^2+IF(impvol_order&gt;2,OFFSET(VolSkewCoef,3,impvol_order-2)*F164^3,0)+IF(impvol_order&gt;3,OFFSET(VolSkewCoef,4,impvol_order-2)*F164^4,0)+IF(impvol_order&gt;4,OFFSET(VolSkewCoef,5,impvol_order-2)*F164^5,0)</f>
        <v>-0.0538125018540812</v>
      </c>
      <c r="I164" s="64" t="n">
        <f aca="true">OFFSET(VolSkewCoef,0,impvol_order-2)+OFFSET(VolSkewCoef,1,impvol_order-2)*E164+OFFSET(VolSkewCoef,2,impvol_order-2)*E164^2+IF(impvol_order&gt;2,OFFSET(VolSkewCoef,3,impvol_order-2)*E164^3,0)+IF(impvol_order&gt;3,OFFSET(VolSkewCoef,4,impvol_order-2)*E164^4,0)+IF(impvol_order&gt;4,OFFSET(VolSkewCoef,5,impvol_order-2)*E164^5,0)</f>
        <v>-0.0517716777500354</v>
      </c>
      <c r="J164" s="64" t="n">
        <f aca="true">OFFSET(VolSkewCoef,0,impvol_order-2)+OFFSET(VolSkewCoef,1,impvol_order-2)*G164+OFFSET(VolSkewCoef,2,impvol_order-2)*G164^2+IF(impvol_order&gt;2,OFFSET(VolSkewCoef,3,impvol_order-2)*G164^3,0)+IF(impvol_order&gt;3,OFFSET(VolSkewCoef,4,impvol_order-2)*G164^4,0)+IF(impvol_order&gt;4,OFFSET(VolSkewCoef,5,impvol_order-2)*G164^5,0)</f>
        <v>-0.0497349045954791</v>
      </c>
      <c r="L164" s="79"/>
      <c r="M164" s="79"/>
      <c r="O164" s="79"/>
      <c r="P164" s="79"/>
      <c r="R164" s="80" t="n">
        <f aca="false">(1/($D164*SQRT(2*PI()*T/365.25*$I$140^2)))</f>
        <v>0.0766337736165071</v>
      </c>
      <c r="S164" s="80" t="n">
        <f aca="false">LN($D164/UnderlyingPrice)+0.5*T/365.25*$I$140^2</f>
        <v>1.1844487184118</v>
      </c>
      <c r="T164" s="80" t="n">
        <f aca="false">-(S164^2)</f>
        <v>-1.40291876654737</v>
      </c>
      <c r="U164" s="80" t="n">
        <f aca="false">T164/(2*T/365.25*$I$140^2)</f>
        <v>-5.74639344015982</v>
      </c>
      <c r="V164" s="80"/>
      <c r="W164" s="100" t="e">
        <f aca="false">(Alpha2*R164)*EXP(Gamma2^2*U164)</f>
        <v>#NAME?</v>
      </c>
      <c r="Z164" s="80" t="n">
        <f aca="false">(1/(D164*SQRT(2*PI()*T/365.25*ATMImpVol^2)))</f>
        <v>0.0816403574105692</v>
      </c>
      <c r="AA164" s="80" t="n">
        <f aca="false">LN(D164/UnderlyingPrice)+0.5*T/365.25*ATMImpVol^2</f>
        <v>1.17719235862112</v>
      </c>
      <c r="AB164" s="80" t="n">
        <f aca="false">-(AA164^2)</f>
        <v>-1.38578184919596</v>
      </c>
      <c r="AC164" s="80" t="n">
        <f aca="false">AB164/(2*T/365.25*ATMImpVol^2)</f>
        <v>-6.44209422737961</v>
      </c>
      <c r="AD164" s="82" t="n">
        <f aca="false">EXP(AC164)</f>
        <v>0.00159306694034109</v>
      </c>
      <c r="AE164" s="82" t="n">
        <f aca="false">AD164*Z164</f>
        <v>0.000130058554388409</v>
      </c>
      <c r="AF164" s="82"/>
      <c r="AG164" s="102" t="n">
        <f aca="false">AG163+UTFactor*(MaxStandard-MinStandard)/100</f>
        <v>6.71819455895258</v>
      </c>
      <c r="AH164" s="83" t="n">
        <f aca="false">(LN(($D164*(1+$P$8))/UnderlyingPrice)+0.5*ATMImpVol^2*(T/365.25))/(ATMImpVol*SQRT(T/365.25))</f>
        <v>3.59097937729007</v>
      </c>
      <c r="AI164" s="83" t="n">
        <f aca="false">(LN($D164*(1-$P$8)/UnderlyingPrice)+0.5*ATMImpVol^2*(T/365.25))/(ATMImpVol*SQRT(T/365.25))</f>
        <v>3.58793021081526</v>
      </c>
      <c r="AJ164" s="81"/>
      <c r="AK164" s="83" t="e">
        <f aca="false">W164/(AH164-AI164)*(D164*2*$P$8)</f>
        <v>#NAME?</v>
      </c>
      <c r="AL164" s="81"/>
      <c r="AM164" s="81"/>
      <c r="AX164" s="87" t="n">
        <f aca="true">OFFSET(ENAVolCoef,0,impvol_order-2)+OFFSET(ENAVolCoef,1,impvol_order-2)*E164+OFFSET(ENAVolCoef,2,impvol_order-2)*E164^2+IF(impvol_order&gt;2,OFFSET(ENAVolCoef,3,impvol_order-2)*E164^3,0)+IF(impvol_order&gt;3,OFFSET(ENAVolCoef,4,impvol_order-2)*E164^4,0)+IF(impvol_order&gt;4,OFFSET(ENAVolCoef,5,impvol_order-2)*E164^5,0)</f>
        <v>0.337043318831278</v>
      </c>
      <c r="AY164" s="87" t="n">
        <f aca="true">OFFSET(ENAVolCoef,0,impvol_order-2)+OFFSET(ENAVolCoef,1,impvol_order-2)*F164+OFFSET(ENAVolCoef,2,impvol_order-2)*F164^2+IF(impvol_order&gt;2,OFFSET(ENAVolCoef,3,impvol_order-2)*F164^3,0)+IF(impvol_order&gt;3,OFFSET(ENAVolCoef,4,impvol_order-2)*F164^4,0)+IF(impvol_order&gt;4,OFFSET(ENAVolCoef,5,impvol_order-2)*F164^5,0)</f>
        <v>0.336072795243466</v>
      </c>
      <c r="AZ164" s="87" t="n">
        <f aca="true">OFFSET(ENAVolCoef,0,impvol_order-2)+OFFSET(ENAVolCoef,1,impvol_order-2)*G164+OFFSET(ENAVolCoef,2,impvol_order-2)*G164^2+IF(impvol_order&gt;2,OFFSET(ENAVolCoef,3,impvol_order-2)*G164^3,0)+IF(impvol_order&gt;3,OFFSET(ENAVolCoef,4,impvol_order-2)*G164^4,0)+IF(impvol_order&gt;4,OFFSET(ENAVolCoef,5,impvol_order-2)*G164^5,0)</f>
        <v>0.338011565514716</v>
      </c>
      <c r="BB164" s="48" t="e">
        <f aca="false">EURO(UnderlyingPrice,$D164,IntRate,Yield,AX164,$D$6,1,0)</f>
        <v>#NAME?</v>
      </c>
      <c r="BC164" s="48" t="e">
        <f aca="false">EURO(UnderlyingPrice,$D164*(1+$P$8),IntRate,Yield,AY164,$D$6,1,0)</f>
        <v>#NAME?</v>
      </c>
      <c r="BD164" s="48" t="e">
        <f aca="false">EURO(UnderlyingPrice,$D164*(1-$P$8),IntRate,Yield,AZ164,$D$6,1,0)</f>
        <v>#NAME?</v>
      </c>
      <c r="BF164" s="80" t="e">
        <f aca="false">(BC164+BD164-2*BB164)/($P$8*$D164)^2</f>
        <v>#NAME?</v>
      </c>
      <c r="BG164" s="48" t="e">
        <f aca="false">+BF164/$D$9</f>
        <v>#NAME?</v>
      </c>
      <c r="BI164" s="79"/>
    </row>
    <row r="165" customFormat="false" ht="11.25" hidden="false" customHeight="false" outlineLevel="0" collapsed="false">
      <c r="C165" s="77"/>
      <c r="D165" s="103"/>
      <c r="E165" s="64"/>
      <c r="F165" s="64"/>
      <c r="G165" s="64"/>
      <c r="H165" s="64"/>
      <c r="I165" s="64"/>
      <c r="J165" s="64"/>
      <c r="L165" s="79"/>
      <c r="M165" s="79"/>
      <c r="O165" s="79"/>
      <c r="P165" s="79"/>
      <c r="R165" s="79"/>
      <c r="S165" s="79"/>
      <c r="U165" s="80"/>
      <c r="V165" s="80"/>
      <c r="W165" s="81"/>
      <c r="Z165" s="80"/>
      <c r="AA165" s="80"/>
      <c r="AB165" s="80"/>
      <c r="AC165" s="80"/>
      <c r="AD165" s="82"/>
      <c r="AE165" s="82"/>
      <c r="AF165" s="82"/>
      <c r="AG165" s="102"/>
      <c r="AH165" s="81"/>
      <c r="AI165" s="81"/>
      <c r="AJ165" s="81"/>
      <c r="AK165" s="81"/>
      <c r="AL165" s="81"/>
      <c r="AM165" s="81"/>
    </row>
    <row r="166" customFormat="false" ht="11.25" hidden="false" customHeight="false" outlineLevel="0" collapsed="false">
      <c r="C166" s="77"/>
      <c r="D166" s="103"/>
      <c r="E166" s="64"/>
      <c r="F166" s="64"/>
      <c r="G166" s="64"/>
      <c r="H166" s="64"/>
      <c r="I166" s="64"/>
      <c r="J166" s="64"/>
      <c r="L166" s="79"/>
      <c r="M166" s="79"/>
      <c r="O166" s="79"/>
      <c r="P166" s="79"/>
      <c r="R166" s="79"/>
      <c r="S166" s="79"/>
      <c r="U166" s="80"/>
      <c r="V166" s="80"/>
      <c r="W166" s="81"/>
      <c r="Z166" s="80"/>
      <c r="AA166" s="80"/>
      <c r="AB166" s="80"/>
      <c r="AC166" s="80"/>
      <c r="AD166" s="82"/>
      <c r="AE166" s="82"/>
      <c r="AF166" s="82"/>
      <c r="AG166" s="102"/>
      <c r="AH166" s="81"/>
      <c r="AI166" s="81"/>
      <c r="AJ166" s="81"/>
      <c r="AK166" s="81"/>
      <c r="AL166" s="81"/>
      <c r="AM166" s="81"/>
    </row>
    <row r="167" customFormat="false" ht="11.25" hidden="false" customHeight="false" outlineLevel="0" collapsed="false">
      <c r="C167" s="77"/>
      <c r="D167" s="103"/>
      <c r="E167" s="64"/>
      <c r="F167" s="64"/>
      <c r="G167" s="64"/>
      <c r="H167" s="64"/>
      <c r="I167" s="64"/>
      <c r="J167" s="64"/>
      <c r="L167" s="79"/>
      <c r="M167" s="79"/>
      <c r="O167" s="79"/>
      <c r="P167" s="79"/>
      <c r="R167" s="79"/>
      <c r="S167" s="79"/>
      <c r="U167" s="80"/>
      <c r="V167" s="80"/>
      <c r="W167" s="81"/>
      <c r="Z167" s="80"/>
      <c r="AA167" s="80"/>
      <c r="AB167" s="80"/>
      <c r="AC167" s="80"/>
      <c r="AD167" s="82"/>
      <c r="AE167" s="82"/>
      <c r="AF167" s="82"/>
      <c r="AG167" s="102"/>
      <c r="AH167" s="81"/>
      <c r="AI167" s="81"/>
      <c r="AJ167" s="81"/>
      <c r="AK167" s="81"/>
      <c r="AL167" s="81"/>
      <c r="AM167" s="81"/>
    </row>
    <row r="168" customFormat="false" ht="11.25" hidden="false" customHeight="false" outlineLevel="0" collapsed="false">
      <c r="C168" s="77"/>
      <c r="D168" s="103"/>
      <c r="E168" s="64"/>
      <c r="F168" s="64"/>
      <c r="G168" s="64"/>
      <c r="H168" s="64"/>
      <c r="I168" s="64"/>
      <c r="J168" s="64"/>
      <c r="L168" s="79"/>
      <c r="M168" s="79"/>
      <c r="O168" s="79"/>
      <c r="P168" s="79"/>
      <c r="R168" s="79"/>
      <c r="S168" s="79"/>
      <c r="U168" s="80"/>
      <c r="V168" s="80"/>
      <c r="W168" s="81"/>
      <c r="Z168" s="80"/>
      <c r="AA168" s="80"/>
      <c r="AB168" s="80"/>
      <c r="AC168" s="80"/>
      <c r="AD168" s="82"/>
      <c r="AE168" s="82"/>
      <c r="AF168" s="82"/>
      <c r="AG168" s="102"/>
      <c r="AH168" s="81"/>
      <c r="AI168" s="81"/>
      <c r="AJ168" s="81"/>
      <c r="AK168" s="81"/>
      <c r="AL168" s="81"/>
      <c r="AM168" s="81"/>
    </row>
    <row r="169" customFormat="false" ht="11.25" hidden="false" customHeight="false" outlineLevel="0" collapsed="false">
      <c r="C169" s="77"/>
      <c r="D169" s="103"/>
      <c r="E169" s="64"/>
      <c r="F169" s="64"/>
      <c r="G169" s="64"/>
      <c r="H169" s="64"/>
      <c r="I169" s="64"/>
      <c r="J169" s="64"/>
      <c r="L169" s="79"/>
      <c r="M169" s="79"/>
      <c r="O169" s="79"/>
      <c r="P169" s="79"/>
      <c r="R169" s="79"/>
      <c r="S169" s="79"/>
      <c r="U169" s="80"/>
      <c r="V169" s="80"/>
      <c r="W169" s="81"/>
      <c r="Z169" s="80"/>
      <c r="AA169" s="80"/>
      <c r="AB169" s="80"/>
      <c r="AC169" s="80"/>
      <c r="AD169" s="82"/>
      <c r="AE169" s="82"/>
      <c r="AF169" s="82"/>
      <c r="AG169" s="81"/>
      <c r="AH169" s="81"/>
      <c r="AI169" s="81"/>
      <c r="AJ169" s="81"/>
      <c r="AK169" s="81"/>
      <c r="AL169" s="81"/>
      <c r="AM169" s="81"/>
    </row>
    <row r="170" customFormat="false" ht="11.25" hidden="false" customHeight="false" outlineLevel="0" collapsed="false">
      <c r="C170" s="77"/>
      <c r="D170" s="103"/>
      <c r="E170" s="64"/>
      <c r="F170" s="64"/>
      <c r="G170" s="64"/>
      <c r="H170" s="64"/>
      <c r="I170" s="64"/>
      <c r="J170" s="64"/>
      <c r="L170" s="79"/>
      <c r="M170" s="79"/>
      <c r="O170" s="79"/>
      <c r="P170" s="79"/>
      <c r="R170" s="79"/>
      <c r="S170" s="79"/>
      <c r="U170" s="80"/>
      <c r="V170" s="80"/>
      <c r="W170" s="81"/>
      <c r="Z170" s="80"/>
      <c r="AA170" s="80"/>
      <c r="AB170" s="80"/>
      <c r="AC170" s="80"/>
      <c r="AD170" s="82"/>
      <c r="AE170" s="82"/>
      <c r="AF170" s="82"/>
      <c r="AG170" s="81"/>
      <c r="AH170" s="81"/>
      <c r="AI170" s="81"/>
      <c r="AJ170" s="81"/>
      <c r="AK170" s="81"/>
      <c r="AL170" s="81"/>
      <c r="AM170" s="81"/>
    </row>
    <row r="171" customFormat="false" ht="11.25" hidden="false" customHeight="false" outlineLevel="0" collapsed="false">
      <c r="C171" s="77"/>
      <c r="D171" s="103"/>
      <c r="E171" s="64"/>
      <c r="F171" s="64"/>
      <c r="G171" s="64"/>
      <c r="H171" s="64"/>
      <c r="I171" s="64"/>
      <c r="J171" s="64"/>
      <c r="L171" s="79"/>
      <c r="M171" s="79"/>
      <c r="O171" s="79"/>
      <c r="P171" s="79"/>
      <c r="R171" s="79"/>
      <c r="S171" s="79"/>
      <c r="U171" s="80"/>
      <c r="V171" s="80"/>
      <c r="W171" s="81"/>
      <c r="Z171" s="80"/>
      <c r="AA171" s="80"/>
      <c r="AB171" s="80"/>
      <c r="AC171" s="80"/>
      <c r="AD171" s="82"/>
      <c r="AE171" s="82"/>
      <c r="AF171" s="82"/>
      <c r="AG171" s="81"/>
      <c r="AH171" s="81"/>
      <c r="AI171" s="81"/>
      <c r="AJ171" s="81"/>
      <c r="AK171" s="81"/>
      <c r="AL171" s="81"/>
      <c r="AM171" s="81"/>
    </row>
    <row r="172" customFormat="false" ht="11.25" hidden="false" customHeight="false" outlineLevel="0" collapsed="false">
      <c r="C172" s="77"/>
      <c r="D172" s="103"/>
      <c r="E172" s="64"/>
      <c r="F172" s="64"/>
      <c r="G172" s="64"/>
      <c r="H172" s="64"/>
      <c r="I172" s="64"/>
      <c r="J172" s="64"/>
      <c r="L172" s="79"/>
      <c r="M172" s="79"/>
      <c r="O172" s="79"/>
      <c r="P172" s="79"/>
      <c r="R172" s="79"/>
      <c r="S172" s="79"/>
      <c r="U172" s="80"/>
      <c r="V172" s="80"/>
      <c r="W172" s="82"/>
      <c r="Z172" s="80"/>
      <c r="AA172" s="80"/>
      <c r="AB172" s="80"/>
      <c r="AC172" s="80"/>
      <c r="AD172" s="82"/>
      <c r="AE172" s="82"/>
      <c r="AF172" s="82"/>
      <c r="AG172" s="81"/>
      <c r="AH172" s="81"/>
      <c r="AI172" s="81"/>
      <c r="AJ172" s="81"/>
      <c r="AK172" s="81"/>
      <c r="AL172" s="81"/>
      <c r="AM172" s="81"/>
    </row>
    <row r="173" customFormat="false" ht="11.25" hidden="false" customHeight="false" outlineLevel="0" collapsed="false">
      <c r="C173" s="77"/>
      <c r="D173" s="103"/>
      <c r="E173" s="64"/>
      <c r="F173" s="64"/>
      <c r="G173" s="64"/>
      <c r="H173" s="64"/>
      <c r="I173" s="64"/>
      <c r="J173" s="64"/>
      <c r="L173" s="79"/>
      <c r="M173" s="79"/>
      <c r="O173" s="79"/>
      <c r="P173" s="79"/>
      <c r="R173" s="79"/>
      <c r="S173" s="79"/>
      <c r="U173" s="80"/>
      <c r="V173" s="80"/>
      <c r="W173" s="82"/>
      <c r="Z173" s="80"/>
      <c r="AA173" s="80"/>
      <c r="AB173" s="80"/>
      <c r="AC173" s="80"/>
      <c r="AD173" s="82"/>
      <c r="AE173" s="82"/>
      <c r="AF173" s="82"/>
      <c r="AG173" s="81"/>
      <c r="AH173" s="81"/>
      <c r="AI173" s="81"/>
      <c r="AJ173" s="81"/>
      <c r="AK173" s="81"/>
      <c r="AL173" s="81"/>
      <c r="AM173" s="81"/>
    </row>
    <row r="174" customFormat="false" ht="11.25" hidden="false" customHeight="false" outlineLevel="0" collapsed="false">
      <c r="C174" s="77"/>
      <c r="D174" s="103"/>
      <c r="E174" s="64"/>
      <c r="F174" s="64"/>
      <c r="G174" s="64"/>
      <c r="H174" s="64"/>
      <c r="I174" s="64"/>
      <c r="J174" s="64"/>
      <c r="L174" s="79"/>
      <c r="M174" s="79"/>
      <c r="O174" s="79"/>
      <c r="P174" s="79"/>
      <c r="R174" s="79"/>
      <c r="S174" s="79"/>
      <c r="U174" s="80"/>
      <c r="V174" s="80"/>
      <c r="W174" s="82"/>
      <c r="Z174" s="80"/>
      <c r="AA174" s="80"/>
      <c r="AB174" s="80"/>
      <c r="AC174" s="80"/>
      <c r="AD174" s="82"/>
      <c r="AE174" s="82"/>
      <c r="AF174" s="82"/>
      <c r="AG174" s="81"/>
      <c r="AH174" s="81"/>
      <c r="AI174" s="81"/>
      <c r="AJ174" s="81"/>
      <c r="AK174" s="81"/>
      <c r="AL174" s="81"/>
      <c r="AM174" s="81"/>
    </row>
    <row r="175" customFormat="false" ht="11.25" hidden="false" customHeight="false" outlineLevel="0" collapsed="false">
      <c r="C175" s="77"/>
      <c r="D175" s="103"/>
      <c r="E175" s="64"/>
      <c r="F175" s="64"/>
      <c r="G175" s="64"/>
      <c r="H175" s="64"/>
      <c r="I175" s="64"/>
      <c r="J175" s="64"/>
      <c r="L175" s="79"/>
      <c r="M175" s="79"/>
      <c r="O175" s="79"/>
      <c r="P175" s="79"/>
      <c r="R175" s="79"/>
      <c r="S175" s="79"/>
      <c r="U175" s="80"/>
      <c r="V175" s="80"/>
      <c r="W175" s="82"/>
      <c r="Z175" s="80"/>
      <c r="AA175" s="80"/>
      <c r="AB175" s="80"/>
      <c r="AC175" s="80"/>
      <c r="AD175" s="82"/>
      <c r="AE175" s="82"/>
      <c r="AF175" s="82"/>
      <c r="AG175" s="81"/>
      <c r="AH175" s="81"/>
      <c r="AI175" s="81"/>
      <c r="AJ175" s="81"/>
      <c r="AK175" s="81"/>
      <c r="AL175" s="81"/>
      <c r="AM175" s="81"/>
    </row>
    <row r="176" customFormat="false" ht="11.25" hidden="false" customHeight="false" outlineLevel="0" collapsed="false">
      <c r="C176" s="77"/>
      <c r="D176" s="103"/>
      <c r="E176" s="64"/>
      <c r="F176" s="64"/>
      <c r="G176" s="64"/>
      <c r="H176" s="64"/>
      <c r="I176" s="64"/>
      <c r="J176" s="64"/>
      <c r="L176" s="79"/>
      <c r="M176" s="79"/>
      <c r="O176" s="79"/>
      <c r="P176" s="79"/>
      <c r="R176" s="79"/>
      <c r="S176" s="79"/>
      <c r="U176" s="80"/>
      <c r="V176" s="80"/>
      <c r="W176" s="82"/>
      <c r="Z176" s="80"/>
      <c r="AA176" s="80"/>
      <c r="AB176" s="80"/>
      <c r="AC176" s="80"/>
      <c r="AD176" s="82"/>
      <c r="AE176" s="82"/>
      <c r="AF176" s="82"/>
      <c r="AG176" s="81"/>
      <c r="AH176" s="81"/>
      <c r="AI176" s="81"/>
      <c r="AJ176" s="81"/>
      <c r="AK176" s="81"/>
      <c r="AL176" s="82"/>
      <c r="AM176" s="82"/>
    </row>
    <row r="177" customFormat="false" ht="11.25" hidden="false" customHeight="false" outlineLevel="0" collapsed="false">
      <c r="C177" s="77"/>
      <c r="D177" s="103"/>
      <c r="E177" s="64"/>
      <c r="F177" s="64"/>
      <c r="G177" s="64"/>
      <c r="H177" s="64"/>
      <c r="I177" s="64"/>
      <c r="J177" s="64"/>
      <c r="L177" s="79"/>
      <c r="M177" s="79"/>
      <c r="O177" s="79"/>
      <c r="P177" s="79"/>
      <c r="R177" s="79"/>
      <c r="S177" s="79"/>
      <c r="U177" s="80"/>
      <c r="V177" s="80"/>
      <c r="W177" s="82"/>
      <c r="Z177" s="80"/>
      <c r="AA177" s="80"/>
      <c r="AB177" s="80"/>
      <c r="AC177" s="80"/>
      <c r="AD177" s="82"/>
      <c r="AE177" s="82"/>
      <c r="AF177" s="82"/>
      <c r="AG177" s="81"/>
      <c r="AH177" s="81"/>
      <c r="AI177" s="81"/>
      <c r="AJ177" s="81"/>
      <c r="AK177" s="81"/>
      <c r="AL177" s="82"/>
      <c r="AM177" s="82"/>
    </row>
    <row r="178" customFormat="false" ht="11.25" hidden="false" customHeight="false" outlineLevel="0" collapsed="false">
      <c r="D178" s="103"/>
      <c r="E178" s="64"/>
      <c r="F178" s="64"/>
      <c r="G178" s="64"/>
      <c r="H178" s="64"/>
      <c r="I178" s="64"/>
      <c r="J178" s="64"/>
      <c r="L178" s="79"/>
      <c r="M178" s="79"/>
      <c r="O178" s="79"/>
      <c r="P178" s="79"/>
      <c r="R178" s="79"/>
      <c r="S178" s="79"/>
      <c r="U178" s="80"/>
      <c r="V178" s="80"/>
      <c r="W178" s="82"/>
      <c r="Z178" s="80"/>
      <c r="AA178" s="80"/>
      <c r="AB178" s="80"/>
      <c r="AC178" s="80"/>
      <c r="AD178" s="82"/>
      <c r="AE178" s="82"/>
      <c r="AF178" s="82"/>
      <c r="AG178" s="81"/>
      <c r="AH178" s="81"/>
      <c r="AI178" s="81"/>
      <c r="AJ178" s="81"/>
      <c r="AK178" s="81"/>
      <c r="AL178" s="82"/>
      <c r="AM178" s="82"/>
    </row>
    <row r="179" customFormat="false" ht="11.25" hidden="false" customHeight="false" outlineLevel="0" collapsed="false">
      <c r="D179" s="103"/>
      <c r="E179" s="64"/>
      <c r="F179" s="64"/>
      <c r="G179" s="64"/>
      <c r="H179" s="64"/>
      <c r="I179" s="64"/>
      <c r="J179" s="64"/>
      <c r="L179" s="79"/>
      <c r="M179" s="79"/>
      <c r="O179" s="79"/>
      <c r="P179" s="79"/>
      <c r="R179" s="79"/>
      <c r="S179" s="79"/>
      <c r="U179" s="80"/>
      <c r="V179" s="80"/>
      <c r="W179" s="82"/>
      <c r="Z179" s="80"/>
      <c r="AA179" s="80"/>
      <c r="AB179" s="80"/>
      <c r="AC179" s="80"/>
      <c r="AD179" s="82"/>
      <c r="AE179" s="82"/>
      <c r="AF179" s="82"/>
      <c r="AG179" s="81"/>
      <c r="AH179" s="81"/>
      <c r="AI179" s="81"/>
      <c r="AJ179" s="81"/>
      <c r="AK179" s="81"/>
      <c r="AL179" s="82"/>
      <c r="AM179" s="82"/>
    </row>
    <row r="180" customFormat="false" ht="11.25" hidden="false" customHeight="false" outlineLevel="0" collapsed="false">
      <c r="AG180" s="81"/>
      <c r="AH180" s="81"/>
      <c r="AI180" s="81"/>
      <c r="AJ180" s="81"/>
      <c r="AK180" s="81"/>
      <c r="AL180" s="82"/>
      <c r="AM180" s="82"/>
    </row>
    <row r="181" customFormat="false" ht="11.25" hidden="false" customHeight="false" outlineLevel="0" collapsed="false">
      <c r="AG181" s="82"/>
      <c r="AH181" s="82"/>
      <c r="AI181" s="82"/>
      <c r="AJ181" s="82"/>
      <c r="AK181" s="82"/>
      <c r="AL181" s="82"/>
      <c r="AM181" s="82"/>
    </row>
    <row r="182" customFormat="false" ht="11.25" hidden="false" customHeight="false" outlineLevel="0" collapsed="false">
      <c r="AG182" s="82"/>
      <c r="AH182" s="82"/>
      <c r="AI182" s="82"/>
      <c r="AJ182" s="82"/>
      <c r="AK182" s="82"/>
      <c r="AL182" s="82"/>
      <c r="AM182" s="82"/>
    </row>
    <row r="183" customFormat="false" ht="11.25" hidden="false" customHeight="false" outlineLevel="0" collapsed="false">
      <c r="AG183" s="82"/>
      <c r="AH183" s="82"/>
      <c r="AI183" s="82"/>
      <c r="AJ183" s="82"/>
      <c r="AK183" s="82"/>
      <c r="AL183" s="82"/>
      <c r="AM183" s="82"/>
    </row>
    <row r="184" customFormat="false" ht="11.25" hidden="false" customHeight="false" outlineLevel="0" collapsed="false">
      <c r="AG184" s="82"/>
      <c r="AH184" s="82"/>
      <c r="AI184" s="82"/>
      <c r="AJ184" s="82"/>
      <c r="AK184" s="82"/>
      <c r="AL184" s="82"/>
      <c r="AM184" s="82"/>
    </row>
    <row r="185" customFormat="false" ht="11.25" hidden="false" customHeight="false" outlineLevel="0" collapsed="false">
      <c r="AG185" s="82"/>
      <c r="AH185" s="82"/>
      <c r="AI185" s="82"/>
      <c r="AJ185" s="82"/>
      <c r="AK185" s="82"/>
      <c r="AL185" s="82"/>
      <c r="AM185" s="82"/>
    </row>
    <row r="186" customFormat="false" ht="11.25" hidden="false" customHeight="false" outlineLevel="0" collapsed="false">
      <c r="AG186" s="82"/>
      <c r="AH186" s="82"/>
      <c r="AI186" s="82"/>
      <c r="AJ186" s="82"/>
      <c r="AK186" s="82"/>
      <c r="AL186" s="82"/>
      <c r="AM186" s="82"/>
    </row>
    <row r="187" customFormat="false" ht="11.25" hidden="false" customHeight="false" outlineLevel="0" collapsed="false">
      <c r="AG187" s="82"/>
      <c r="AH187" s="82"/>
      <c r="AI187" s="82"/>
      <c r="AJ187" s="82"/>
      <c r="AK187" s="82"/>
      <c r="AL187" s="82"/>
      <c r="AM187" s="82"/>
    </row>
    <row r="188" customFormat="false" ht="11.25" hidden="false" customHeight="false" outlineLevel="0" collapsed="false">
      <c r="AG188" s="82"/>
      <c r="AH188" s="82"/>
      <c r="AI188" s="82"/>
      <c r="AJ188" s="82"/>
      <c r="AK188" s="82"/>
      <c r="AL188" s="82"/>
      <c r="AM188" s="82"/>
    </row>
    <row r="189" customFormat="false" ht="11.25" hidden="false" customHeight="false" outlineLevel="0" collapsed="false">
      <c r="AG189" s="82"/>
      <c r="AH189" s="82"/>
      <c r="AI189" s="82"/>
      <c r="AJ189" s="82"/>
      <c r="AK189" s="82"/>
      <c r="AL189" s="82"/>
      <c r="AM189" s="82"/>
    </row>
    <row r="190" customFormat="false" ht="11.25" hidden="false" customHeight="false" outlineLevel="0" collapsed="false">
      <c r="AG190" s="82"/>
      <c r="AH190" s="82"/>
      <c r="AI190" s="82"/>
      <c r="AJ190" s="82"/>
      <c r="AK190" s="82"/>
      <c r="AL190" s="82"/>
      <c r="AM190" s="82"/>
    </row>
    <row r="191" customFormat="false" ht="11.25" hidden="false" customHeight="false" outlineLevel="0" collapsed="false">
      <c r="AG191" s="82"/>
      <c r="AH191" s="82"/>
      <c r="AI191" s="82"/>
      <c r="AJ191" s="82"/>
      <c r="AK191" s="82"/>
      <c r="AL191" s="82"/>
      <c r="AM191" s="82"/>
    </row>
    <row r="192" customFormat="false" ht="11.25" hidden="false" customHeight="false" outlineLevel="0" collapsed="false">
      <c r="AG192" s="82"/>
      <c r="AH192" s="82"/>
      <c r="AI192" s="82"/>
      <c r="AJ192" s="82"/>
      <c r="AK192" s="82"/>
      <c r="AL192" s="82"/>
      <c r="AM192" s="82"/>
    </row>
    <row r="193" customFormat="false" ht="11.25" hidden="false" customHeight="false" outlineLevel="0" collapsed="false">
      <c r="AG193" s="82"/>
      <c r="AH193" s="82"/>
      <c r="AI193" s="82"/>
      <c r="AJ193" s="82"/>
      <c r="AK193" s="82"/>
      <c r="AL193" s="82"/>
      <c r="AM193" s="82"/>
    </row>
    <row r="194" customFormat="false" ht="11.25" hidden="false" customHeight="false" outlineLevel="0" collapsed="false">
      <c r="AG194" s="82"/>
      <c r="AH194" s="82"/>
      <c r="AI194" s="82"/>
      <c r="AJ194" s="82"/>
      <c r="AK194" s="82"/>
      <c r="AL194" s="82"/>
      <c r="AM194" s="82"/>
    </row>
    <row r="195" customFormat="false" ht="11.25" hidden="false" customHeight="false" outlineLevel="0" collapsed="false">
      <c r="AG195" s="82"/>
      <c r="AH195" s="82"/>
      <c r="AI195" s="82"/>
      <c r="AJ195" s="82"/>
      <c r="AK195" s="82"/>
      <c r="AL195" s="82"/>
      <c r="AM195" s="82"/>
    </row>
    <row r="196" customFormat="false" ht="11.25" hidden="false" customHeight="false" outlineLevel="0" collapsed="false">
      <c r="AG196" s="82"/>
      <c r="AH196" s="82"/>
      <c r="AI196" s="82"/>
      <c r="AJ196" s="82"/>
      <c r="AK196" s="82"/>
      <c r="AL196" s="82"/>
      <c r="AM196" s="82"/>
    </row>
    <row r="197" customFormat="false" ht="11.25" hidden="false" customHeight="false" outlineLevel="0" collapsed="false">
      <c r="AG197" s="82"/>
      <c r="AH197" s="82"/>
      <c r="AI197" s="82"/>
      <c r="AJ197" s="82"/>
      <c r="AK197" s="82"/>
      <c r="AL197" s="82"/>
      <c r="AM197" s="82"/>
    </row>
    <row r="198" customFormat="false" ht="11.25" hidden="false" customHeight="false" outlineLevel="0" collapsed="false">
      <c r="AG198" s="82"/>
      <c r="AH198" s="82"/>
      <c r="AI198" s="82"/>
      <c r="AJ198" s="82"/>
      <c r="AK198" s="82"/>
      <c r="AL198" s="82"/>
      <c r="AM198" s="82"/>
    </row>
    <row r="199" customFormat="false" ht="11.25" hidden="false" customHeight="false" outlineLevel="0" collapsed="false">
      <c r="AG199" s="82"/>
      <c r="AH199" s="82"/>
      <c r="AI199" s="82"/>
      <c r="AJ199" s="82"/>
      <c r="AK199" s="82"/>
      <c r="AL199" s="82"/>
      <c r="AM199" s="82"/>
    </row>
    <row r="200" customFormat="false" ht="11.25" hidden="false" customHeight="false" outlineLevel="0" collapsed="false">
      <c r="AG200" s="82"/>
      <c r="AH200" s="82"/>
      <c r="AI200" s="82"/>
      <c r="AJ200" s="82"/>
      <c r="AK200" s="82"/>
      <c r="AL200" s="82"/>
      <c r="AM200" s="82"/>
    </row>
    <row r="201" customFormat="false" ht="11.25" hidden="false" customHeight="false" outlineLevel="0" collapsed="false">
      <c r="AG201" s="82"/>
      <c r="AH201" s="82"/>
      <c r="AI201" s="82"/>
      <c r="AJ201" s="82"/>
      <c r="AK201" s="82"/>
      <c r="AL201" s="82"/>
      <c r="AM201" s="82"/>
    </row>
    <row r="202" customFormat="false" ht="11.25" hidden="false" customHeight="false" outlineLevel="0" collapsed="false">
      <c r="AG202" s="82"/>
      <c r="AH202" s="82"/>
      <c r="AI202" s="82"/>
      <c r="AJ202" s="82"/>
      <c r="AK202" s="82"/>
      <c r="AL202" s="82"/>
      <c r="AM202" s="82"/>
    </row>
    <row r="203" customFormat="false" ht="11.25" hidden="false" customHeight="false" outlineLevel="0" collapsed="false">
      <c r="AG203" s="82"/>
      <c r="AH203" s="82"/>
      <c r="AI203" s="82"/>
      <c r="AJ203" s="82"/>
      <c r="AK203" s="82"/>
      <c r="AL203" s="82"/>
      <c r="AM203" s="82"/>
    </row>
    <row r="204" customFormat="false" ht="11.25" hidden="false" customHeight="false" outlineLevel="0" collapsed="false">
      <c r="AG204" s="82"/>
      <c r="AH204" s="82"/>
      <c r="AI204" s="82"/>
      <c r="AJ204" s="82"/>
      <c r="AK204" s="82"/>
      <c r="AL204" s="82"/>
      <c r="AM204" s="82"/>
    </row>
    <row r="205" customFormat="false" ht="11.25" hidden="false" customHeight="false" outlineLevel="0" collapsed="false">
      <c r="AG205" s="82"/>
      <c r="AH205" s="82"/>
      <c r="AI205" s="82"/>
      <c r="AJ205" s="82"/>
      <c r="AK205" s="82"/>
      <c r="AL205" s="82"/>
      <c r="AM205" s="82"/>
    </row>
    <row r="206" customFormat="false" ht="11.25" hidden="false" customHeight="false" outlineLevel="0" collapsed="false">
      <c r="AG206" s="82"/>
      <c r="AH206" s="82"/>
      <c r="AI206" s="82"/>
      <c r="AJ206" s="82"/>
      <c r="AK206" s="82"/>
      <c r="AL206" s="82"/>
      <c r="AM206" s="82"/>
    </row>
    <row r="207" customFormat="false" ht="11.25" hidden="false" customHeight="false" outlineLevel="0" collapsed="false">
      <c r="AG207" s="82"/>
      <c r="AH207" s="82"/>
      <c r="AI207" s="82"/>
      <c r="AJ207" s="82"/>
      <c r="AK207" s="82"/>
      <c r="AL207" s="82"/>
      <c r="AM207" s="82"/>
    </row>
    <row r="208" customFormat="false" ht="11.25" hidden="false" customHeight="false" outlineLevel="0" collapsed="false">
      <c r="AG208" s="82"/>
      <c r="AH208" s="82"/>
      <c r="AI208" s="82"/>
      <c r="AJ208" s="82"/>
      <c r="AK208" s="82"/>
      <c r="AL208" s="82"/>
      <c r="AM208" s="82"/>
    </row>
    <row r="209" customFormat="false" ht="11.25" hidden="false" customHeight="false" outlineLevel="0" collapsed="false">
      <c r="AG209" s="82"/>
      <c r="AH209" s="82"/>
      <c r="AI209" s="82"/>
      <c r="AJ209" s="82"/>
      <c r="AK209" s="82"/>
      <c r="AL209" s="82"/>
      <c r="AM209" s="82"/>
    </row>
    <row r="210" customFormat="false" ht="11.25" hidden="false" customHeight="false" outlineLevel="0" collapsed="false">
      <c r="AG210" s="82"/>
      <c r="AH210" s="82"/>
      <c r="AI210" s="82"/>
      <c r="AJ210" s="82"/>
      <c r="AK210" s="82"/>
      <c r="AL210" s="82"/>
      <c r="AM210" s="82"/>
    </row>
    <row r="211" customFormat="false" ht="11.25" hidden="false" customHeight="false" outlineLevel="0" collapsed="false">
      <c r="AG211" s="82"/>
      <c r="AH211" s="82"/>
      <c r="AI211" s="82"/>
      <c r="AJ211" s="82"/>
      <c r="AK211" s="82"/>
      <c r="AL211" s="82"/>
      <c r="AM211" s="82"/>
    </row>
    <row r="212" customFormat="false" ht="11.25" hidden="false" customHeight="false" outlineLevel="0" collapsed="false">
      <c r="AG212" s="82"/>
      <c r="AH212" s="82"/>
      <c r="AI212" s="82"/>
      <c r="AJ212" s="82"/>
      <c r="AK212" s="82"/>
      <c r="AL212" s="82"/>
      <c r="AM212" s="82"/>
    </row>
    <row r="213" customFormat="false" ht="11.25" hidden="false" customHeight="false" outlineLevel="0" collapsed="false">
      <c r="AG213" s="82"/>
      <c r="AH213" s="82"/>
      <c r="AI213" s="82"/>
      <c r="AJ213" s="82"/>
      <c r="AK213" s="82"/>
    </row>
    <row r="214" customFormat="false" ht="11.25" hidden="false" customHeight="false" outlineLevel="0" collapsed="false">
      <c r="AG214" s="82"/>
      <c r="AH214" s="82"/>
      <c r="AI214" s="82"/>
      <c r="AJ214" s="82"/>
      <c r="AK214" s="82"/>
    </row>
    <row r="215" customFormat="false" ht="11.25" hidden="false" customHeight="false" outlineLevel="0" collapsed="false">
      <c r="AG215" s="82"/>
      <c r="AH215" s="82"/>
      <c r="AI215" s="82"/>
      <c r="AJ215" s="82"/>
      <c r="AK215" s="82"/>
    </row>
    <row r="216" customFormat="false" ht="11.25" hidden="false" customHeight="false" outlineLevel="0" collapsed="false">
      <c r="AG216" s="82"/>
      <c r="AH216" s="82"/>
      <c r="AI216" s="82"/>
      <c r="AJ216" s="82"/>
      <c r="AK216" s="82"/>
    </row>
    <row r="217" customFormat="false" ht="11.25" hidden="false" customHeight="false" outlineLevel="0" collapsed="false">
      <c r="AG217" s="82"/>
      <c r="AH217" s="82"/>
      <c r="AI217" s="82"/>
      <c r="AJ217" s="82"/>
      <c r="AK217" s="82"/>
    </row>
  </sheetData>
  <mergeCells count="5">
    <mergeCell ref="L10:M10"/>
    <mergeCell ref="O10:P10"/>
    <mergeCell ref="R10:S10"/>
    <mergeCell ref="AM11:AN11"/>
    <mergeCell ref="Z12:AD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04" t="s">
        <v>120</v>
      </c>
      <c r="B1" s="104"/>
      <c r="C1" s="104"/>
      <c r="D1" s="104"/>
      <c r="E1" s="104"/>
    </row>
    <row r="2" customFormat="false" ht="12.75" hidden="false" customHeight="false" outlineLevel="0" collapsed="false">
      <c r="A2" s="104" t="s">
        <v>12</v>
      </c>
      <c r="B2" s="104" t="s">
        <v>121</v>
      </c>
      <c r="C2" s="104" t="s">
        <v>9</v>
      </c>
      <c r="D2" s="104" t="s">
        <v>122</v>
      </c>
      <c r="E2" s="104" t="s">
        <v>123</v>
      </c>
    </row>
    <row r="3" customFormat="false" ht="12.75" hidden="false" customHeight="false" outlineLevel="0" collapsed="false">
      <c r="A3" s="105" t="n">
        <v>34700</v>
      </c>
      <c r="B3" s="105" t="n">
        <f aca="false">IF(OR(WEEKDAY(A3-1)=1,WEEKDAY(A3-1)=7),IF(OR(WEEKDAY(A3-2)=1,WEEKDAY(A3-2)=7),A3-3,A3-2),A3-1)</f>
        <v>34698</v>
      </c>
      <c r="C3" s="105" t="n">
        <v>34689</v>
      </c>
      <c r="D3" s="105"/>
      <c r="E3" s="105"/>
    </row>
    <row r="4" customFormat="false" ht="12.75" hidden="false" customHeight="false" outlineLevel="0" collapsed="false">
      <c r="A4" s="105" t="n">
        <v>34731</v>
      </c>
      <c r="B4" s="105" t="n">
        <f aca="false">IF(OR(WEEKDAY(A4-1)=1,WEEKDAY(A4-1)=7),IF(OR(WEEKDAY(A4-2)=1,WEEKDAY(A4-2)=7),A4-3,A4-2),A4-1)</f>
        <v>34730</v>
      </c>
      <c r="C4" s="105" t="n">
        <v>34723</v>
      </c>
      <c r="D4" s="105"/>
      <c r="E4" s="105"/>
    </row>
    <row r="5" customFormat="false" ht="12.75" hidden="false" customHeight="false" outlineLevel="0" collapsed="false">
      <c r="A5" s="105" t="n">
        <v>34759</v>
      </c>
      <c r="B5" s="105" t="n">
        <f aca="false">IF(OR(WEEKDAY(A5-1)=1,WEEKDAY(A5-1)=7),IF(OR(WEEKDAY(A5-2)=1,WEEKDAY(A5-2)=7),A5-3,A5-2),A5-1)</f>
        <v>34758</v>
      </c>
      <c r="C5" s="105" t="n">
        <v>34751</v>
      </c>
      <c r="D5" s="105"/>
      <c r="E5" s="105"/>
    </row>
    <row r="6" customFormat="false" ht="12.75" hidden="false" customHeight="false" outlineLevel="0" collapsed="false">
      <c r="A6" s="105" t="n">
        <v>34790</v>
      </c>
      <c r="B6" s="105" t="n">
        <f aca="false">IF(OR(WEEKDAY(A6-1)=1,WEEKDAY(A6-1)=7),IF(OR(WEEKDAY(A6-2)=1,WEEKDAY(A6-2)=7),A6-3,A6-2),A6-1)</f>
        <v>34789</v>
      </c>
      <c r="C6" s="105" t="n">
        <v>34781</v>
      </c>
      <c r="D6" s="105"/>
      <c r="E6" s="105"/>
    </row>
    <row r="7" customFormat="false" ht="12.75" hidden="false" customHeight="false" outlineLevel="0" collapsed="false">
      <c r="A7" s="105" t="n">
        <v>34820</v>
      </c>
      <c r="B7" s="105" t="n">
        <f aca="false">IF(OR(WEEKDAY(A7-1)=1,WEEKDAY(A7-1)=7),IF(OR(WEEKDAY(A7-2)=1,WEEKDAY(A7-2)=7),A7-3,A7-2),A7-1)</f>
        <v>34817</v>
      </c>
      <c r="C7" s="105" t="n">
        <v>34810</v>
      </c>
      <c r="D7" s="105"/>
      <c r="E7" s="105"/>
    </row>
    <row r="8" customFormat="false" ht="12.75" hidden="false" customHeight="false" outlineLevel="0" collapsed="false">
      <c r="A8" s="105" t="n">
        <v>34851</v>
      </c>
      <c r="B8" s="105" t="n">
        <f aca="false">IF(OR(WEEKDAY(A8-1)=1,WEEKDAY(A8-1)=7),IF(OR(WEEKDAY(A8-2)=1,WEEKDAY(A8-2)=7),A8-3,A8-2),A8-1)</f>
        <v>34850</v>
      </c>
      <c r="C8" s="105" t="n">
        <v>34842</v>
      </c>
      <c r="D8" s="105"/>
      <c r="E8" s="105"/>
    </row>
    <row r="9" customFormat="false" ht="12.75" hidden="false" customHeight="false" outlineLevel="0" collapsed="false">
      <c r="A9" s="105" t="n">
        <v>34881</v>
      </c>
      <c r="B9" s="105" t="n">
        <f aca="false">IF(OR(WEEKDAY(A9-1)=1,WEEKDAY(A9-1)=7),IF(OR(WEEKDAY(A9-2)=1,WEEKDAY(A9-2)=7),A9-3,A9-2),A9-1)</f>
        <v>34880</v>
      </c>
      <c r="C9" s="105" t="n">
        <v>34873</v>
      </c>
      <c r="D9" s="105"/>
      <c r="E9" s="105"/>
    </row>
    <row r="10" customFormat="false" ht="12.75" hidden="false" customHeight="false" outlineLevel="0" collapsed="false">
      <c r="A10" s="105" t="n">
        <v>34912</v>
      </c>
      <c r="B10" s="105" t="n">
        <f aca="false">IF(OR(WEEKDAY(A10-1)=1,WEEKDAY(A10-1)=7),IF(OR(WEEKDAY(A10-2)=1,WEEKDAY(A10-2)=7),A10-3,A10-2),A10-1)</f>
        <v>34911</v>
      </c>
      <c r="C10" s="105" t="n">
        <v>34904</v>
      </c>
      <c r="D10" s="105"/>
      <c r="E10" s="105"/>
    </row>
    <row r="11" customFormat="false" ht="12.75" hidden="false" customHeight="false" outlineLevel="0" collapsed="false">
      <c r="A11" s="105" t="n">
        <v>34943</v>
      </c>
      <c r="B11" s="105" t="n">
        <f aca="false">IF(OR(WEEKDAY(A11-1)=1,WEEKDAY(A11-1)=7),IF(OR(WEEKDAY(A11-2)=1,WEEKDAY(A11-2)=7),A11-3,A11-2),A11-1)</f>
        <v>34942</v>
      </c>
      <c r="C11" s="105" t="n">
        <v>34935</v>
      </c>
      <c r="D11" s="105"/>
      <c r="E11" s="105"/>
    </row>
    <row r="12" customFormat="false" ht="12.75" hidden="false" customHeight="false" outlineLevel="0" collapsed="false">
      <c r="A12" s="105" t="n">
        <v>34973</v>
      </c>
      <c r="B12" s="105" t="n">
        <f aca="false">IF(OR(WEEKDAY(A12-1)=1,WEEKDAY(A12-1)=7),IF(OR(WEEKDAY(A12-2)=1,WEEKDAY(A12-2)=7),A12-3,A12-2),A12-1)</f>
        <v>34971</v>
      </c>
      <c r="C12" s="105" t="n">
        <v>34964</v>
      </c>
      <c r="D12" s="105"/>
      <c r="E12" s="105"/>
    </row>
    <row r="13" customFormat="false" ht="12.75" hidden="false" customHeight="false" outlineLevel="0" collapsed="false">
      <c r="A13" s="105" t="n">
        <v>35004</v>
      </c>
      <c r="B13" s="105" t="n">
        <f aca="false">IF(OR(WEEKDAY(A13-1)=1,WEEKDAY(A13-1)=7),IF(OR(WEEKDAY(A13-2)=1,WEEKDAY(A13-2)=7),A13-3,A13-2),A13-1)</f>
        <v>35003</v>
      </c>
      <c r="C13" s="105" t="n">
        <v>34996</v>
      </c>
      <c r="D13" s="105"/>
      <c r="E13" s="105"/>
    </row>
    <row r="14" customFormat="false" ht="12.75" hidden="false" customHeight="false" outlineLevel="0" collapsed="false">
      <c r="A14" s="105" t="n">
        <v>35034</v>
      </c>
      <c r="B14" s="105" t="n">
        <f aca="false">IF(OR(WEEKDAY(A14-1)=1,WEEKDAY(A14-1)=7),IF(OR(WEEKDAY(A14-2)=1,WEEKDAY(A14-2)=7),A14-3,A14-2),A14-1)</f>
        <v>35033</v>
      </c>
      <c r="C14" s="105" t="n">
        <v>35024</v>
      </c>
      <c r="D14" s="105"/>
      <c r="E14" s="105"/>
    </row>
    <row r="15" customFormat="false" ht="12.75" hidden="false" customHeight="false" outlineLevel="0" collapsed="false">
      <c r="A15" s="105" t="n">
        <v>35065</v>
      </c>
      <c r="B15" s="105" t="n">
        <f aca="false">IF(OR(WEEKDAY(A15-1)=1,WEEKDAY(A15-1)=7),IF(OR(WEEKDAY(A15-2)=1,WEEKDAY(A15-2)=7),A15-3,A15-2),A15-1)</f>
        <v>35062</v>
      </c>
      <c r="C15" s="105" t="n">
        <v>35054</v>
      </c>
      <c r="D15" s="105"/>
      <c r="E15" s="105"/>
    </row>
    <row r="16" customFormat="false" ht="12.75" hidden="false" customHeight="false" outlineLevel="0" collapsed="false">
      <c r="A16" s="105" t="n">
        <v>35096</v>
      </c>
      <c r="B16" s="105" t="n">
        <f aca="false">IF(OR(WEEKDAY(A16-1)=1,WEEKDAY(A16-1)=7),IF(OR(WEEKDAY(A16-2)=1,WEEKDAY(A16-2)=7),A16-3,A16-2),A16-1)</f>
        <v>35095</v>
      </c>
      <c r="C16" s="105" t="n">
        <v>35089</v>
      </c>
      <c r="D16" s="105"/>
      <c r="E16" s="105"/>
    </row>
    <row r="17" customFormat="false" ht="12.75" hidden="false" customHeight="false" outlineLevel="0" collapsed="false">
      <c r="A17" s="105" t="n">
        <v>35125</v>
      </c>
      <c r="B17" s="105" t="n">
        <f aca="false">IF(OR(WEEKDAY(A17-1)=1,WEEKDAY(A17-1)=7),IF(OR(WEEKDAY(A17-2)=1,WEEKDAY(A17-2)=7),A17-3,A17-2),A17-1)</f>
        <v>35124</v>
      </c>
      <c r="C17" s="105" t="n">
        <v>35118</v>
      </c>
      <c r="D17" s="105"/>
      <c r="E17" s="105"/>
    </row>
    <row r="18" customFormat="false" ht="12.75" hidden="false" customHeight="false" outlineLevel="0" collapsed="false">
      <c r="A18" s="105" t="n">
        <v>35156</v>
      </c>
      <c r="B18" s="105" t="n">
        <f aca="false">IF(OR(WEEKDAY(A18-1)=1,WEEKDAY(A18-1)=7),IF(OR(WEEKDAY(A18-2)=1,WEEKDAY(A18-2)=7),A18-3,A18-2),A18-1)</f>
        <v>35153</v>
      </c>
      <c r="C18" s="105" t="n">
        <v>35149</v>
      </c>
      <c r="D18" s="105"/>
      <c r="E18" s="105"/>
    </row>
    <row r="19" customFormat="false" ht="12.75" hidden="false" customHeight="false" outlineLevel="0" collapsed="false">
      <c r="A19" s="105" t="n">
        <v>35186</v>
      </c>
      <c r="B19" s="105" t="n">
        <f aca="false">IF(OR(WEEKDAY(A19-1)=1,WEEKDAY(A19-1)=7),IF(OR(WEEKDAY(A19-2)=1,WEEKDAY(A19-2)=7),A19-3,A19-2),A19-1)</f>
        <v>35185</v>
      </c>
      <c r="C19" s="105" t="n">
        <v>35179</v>
      </c>
      <c r="D19" s="105"/>
      <c r="E19" s="105"/>
    </row>
    <row r="20" customFormat="false" ht="12.75" hidden="false" customHeight="false" outlineLevel="0" collapsed="false">
      <c r="A20" s="105" t="n">
        <v>35217</v>
      </c>
      <c r="B20" s="105" t="n">
        <f aca="false">IF(OR(WEEKDAY(A20-1)=1,WEEKDAY(A20-1)=7),IF(OR(WEEKDAY(A20-2)=1,WEEKDAY(A20-2)=7),A20-3,A20-2),A20-1)</f>
        <v>35216</v>
      </c>
      <c r="C20" s="105" t="n">
        <v>35209</v>
      </c>
      <c r="D20" s="105"/>
      <c r="E20" s="105"/>
    </row>
    <row r="21" customFormat="false" ht="12.75" hidden="false" customHeight="false" outlineLevel="0" collapsed="false">
      <c r="A21" s="105" t="n">
        <v>35247</v>
      </c>
      <c r="B21" s="105" t="n">
        <f aca="false">IF(OR(WEEKDAY(A21-1)=1,WEEKDAY(A21-1)=7),IF(OR(WEEKDAY(A21-2)=1,WEEKDAY(A21-2)=7),A21-3,A21-2),A21-1)</f>
        <v>35244</v>
      </c>
      <c r="C21" s="105" t="n">
        <v>35237</v>
      </c>
      <c r="D21" s="105"/>
      <c r="E21" s="105"/>
    </row>
    <row r="22" customFormat="false" ht="12.75" hidden="false" customHeight="false" outlineLevel="0" collapsed="false">
      <c r="A22" s="105" t="n">
        <v>35278</v>
      </c>
      <c r="B22" s="105" t="n">
        <f aca="false">IF(OR(WEEKDAY(A22-1)=1,WEEKDAY(A22-1)=7),IF(OR(WEEKDAY(A22-2)=1,WEEKDAY(A22-2)=7),A22-3,A22-2),A22-1)</f>
        <v>35277</v>
      </c>
      <c r="C22" s="105" t="n">
        <v>35271</v>
      </c>
      <c r="D22" s="105"/>
      <c r="E22" s="105"/>
    </row>
    <row r="23" customFormat="false" ht="12.75" hidden="false" customHeight="false" outlineLevel="0" collapsed="false">
      <c r="A23" s="105" t="n">
        <v>35309</v>
      </c>
      <c r="B23" s="105" t="n">
        <f aca="false">IF(OR(WEEKDAY(A23-1)=1,WEEKDAY(A23-1)=7),IF(OR(WEEKDAY(A23-2)=1,WEEKDAY(A23-2)=7),A23-3,A23-2),A23-1)</f>
        <v>35307</v>
      </c>
      <c r="C23" s="105" t="n">
        <v>35303</v>
      </c>
      <c r="D23" s="105"/>
      <c r="E23" s="105"/>
    </row>
    <row r="24" customFormat="false" ht="12.75" hidden="false" customHeight="false" outlineLevel="0" collapsed="false">
      <c r="A24" s="105" t="n">
        <v>35339</v>
      </c>
      <c r="B24" s="105" t="n">
        <f aca="false">IF(OR(WEEKDAY(A24-1)=1,WEEKDAY(A24-1)=7),IF(OR(WEEKDAY(A24-2)=1,WEEKDAY(A24-2)=7),A24-3,A24-2),A24-1)</f>
        <v>35338</v>
      </c>
      <c r="C24" s="105" t="n">
        <v>35332</v>
      </c>
      <c r="D24" s="105"/>
      <c r="E24" s="105"/>
    </row>
    <row r="25" customFormat="false" ht="12.75" hidden="false" customHeight="false" outlineLevel="0" collapsed="false">
      <c r="A25" s="105" t="n">
        <v>35370</v>
      </c>
      <c r="B25" s="105" t="n">
        <f aca="false">IF(OR(WEEKDAY(A25-1)=1,WEEKDAY(A25-1)=7),IF(OR(WEEKDAY(A25-2)=1,WEEKDAY(A25-2)=7),A25-3,A25-2),A25-1)</f>
        <v>35369</v>
      </c>
      <c r="C25" s="105" t="n">
        <v>35363</v>
      </c>
      <c r="D25" s="105"/>
      <c r="E25" s="105"/>
    </row>
    <row r="26" customFormat="false" ht="12.75" hidden="false" customHeight="false" outlineLevel="0" collapsed="false">
      <c r="A26" s="105" t="n">
        <v>35400</v>
      </c>
      <c r="B26" s="105" t="n">
        <f aca="false">IF(OR(WEEKDAY(A26-1)=1,WEEKDAY(A26-1)=7),IF(OR(WEEKDAY(A26-2)=1,WEEKDAY(A26-2)=7),A26-3,A26-2),A26-1)</f>
        <v>35398</v>
      </c>
      <c r="C26" s="105" t="n">
        <v>35390</v>
      </c>
      <c r="D26" s="105"/>
      <c r="E26" s="105"/>
    </row>
    <row r="27" customFormat="false" ht="12.75" hidden="false" customHeight="false" outlineLevel="0" collapsed="false">
      <c r="A27" s="105" t="n">
        <v>35431</v>
      </c>
      <c r="B27" s="105" t="n">
        <v>35429</v>
      </c>
      <c r="C27" s="105" t="n">
        <v>35423</v>
      </c>
      <c r="D27" s="105"/>
      <c r="E27" s="105"/>
    </row>
    <row r="28" customFormat="false" ht="12.75" hidden="false" customHeight="false" outlineLevel="0" collapsed="false">
      <c r="A28" s="105" t="n">
        <v>35462</v>
      </c>
      <c r="B28" s="105" t="n">
        <f aca="false">IF(OR(WEEKDAY(A28-1)=1,WEEKDAY(A28-1)=7),IF(OR(WEEKDAY(A28-2)=1,WEEKDAY(A28-2)=7),A28-3,A28-2),A28-1)</f>
        <v>35461</v>
      </c>
      <c r="C28" s="105" t="n">
        <v>35457</v>
      </c>
      <c r="D28" s="105"/>
      <c r="E28" s="105"/>
    </row>
    <row r="29" customFormat="false" ht="12.75" hidden="false" customHeight="false" outlineLevel="0" collapsed="false">
      <c r="A29" s="105" t="n">
        <v>35490</v>
      </c>
      <c r="B29" s="105" t="n">
        <f aca="false">IF(OR(WEEKDAY(A29-1)=1,WEEKDAY(A29-1)=7),IF(OR(WEEKDAY(A29-2)=1,WEEKDAY(A29-2)=7),A29-3,A29-2),A29-1)</f>
        <v>35489</v>
      </c>
      <c r="C29" s="105" t="n">
        <v>35485</v>
      </c>
      <c r="D29" s="105"/>
      <c r="E29" s="105"/>
    </row>
    <row r="30" customFormat="false" ht="12.75" hidden="false" customHeight="false" outlineLevel="0" collapsed="false">
      <c r="A30" s="105" t="n">
        <v>35521</v>
      </c>
      <c r="B30" s="105" t="n">
        <f aca="false">IF(OR(WEEKDAY(A30-1)=1,WEEKDAY(A30-1)=7),IF(OR(WEEKDAY(A30-2)=1,WEEKDAY(A30-2)=7),A30-3,A30-2),A30-1)</f>
        <v>35520</v>
      </c>
      <c r="C30" s="105" t="n">
        <v>35513</v>
      </c>
      <c r="D30" s="105"/>
      <c r="E30" s="105"/>
    </row>
    <row r="31" customFormat="false" ht="12.75" hidden="false" customHeight="false" outlineLevel="0" collapsed="false">
      <c r="A31" s="105" t="n">
        <v>35551</v>
      </c>
      <c r="B31" s="105" t="n">
        <f aca="false">IF(OR(WEEKDAY(A31-1)=1,WEEKDAY(A31-1)=7),IF(OR(WEEKDAY(A31-2)=1,WEEKDAY(A31-2)=7),A31-3,A31-2),A31-1)</f>
        <v>35550</v>
      </c>
      <c r="C31" s="105" t="n">
        <v>35544</v>
      </c>
      <c r="D31" s="105"/>
      <c r="E31" s="105"/>
    </row>
    <row r="32" customFormat="false" ht="12.75" hidden="false" customHeight="false" outlineLevel="0" collapsed="false">
      <c r="A32" s="105" t="n">
        <v>35582</v>
      </c>
      <c r="B32" s="105" t="n">
        <f aca="false">IF(OR(WEEKDAY(A32-1)=1,WEEKDAY(A32-1)=7),IF(OR(WEEKDAY(A32-2)=1,WEEKDAY(A32-2)=7),A32-3,A32-2),A32-1)</f>
        <v>35580</v>
      </c>
      <c r="C32" s="105" t="n">
        <v>35578</v>
      </c>
      <c r="D32" s="105"/>
      <c r="E32" s="105"/>
    </row>
    <row r="33" customFormat="false" ht="12.75" hidden="false" customHeight="false" outlineLevel="0" collapsed="false">
      <c r="A33" s="105" t="n">
        <v>35612</v>
      </c>
      <c r="B33" s="105" t="n">
        <f aca="false">IF(OR(WEEKDAY(A33-1)=1,WEEKDAY(A33-1)=7),IF(OR(WEEKDAY(A33-2)=1,WEEKDAY(A33-2)=7),A33-3,A33-2),A33-1)</f>
        <v>35611</v>
      </c>
      <c r="C33" s="105" t="n">
        <v>35607</v>
      </c>
      <c r="D33" s="105"/>
      <c r="E33" s="105"/>
    </row>
    <row r="34" customFormat="false" ht="12.75" hidden="false" customHeight="false" outlineLevel="0" collapsed="false">
      <c r="A34" s="105" t="n">
        <v>35643</v>
      </c>
      <c r="B34" s="105" t="n">
        <f aca="false">IF(OR(WEEKDAY(A34-1)=1,WEEKDAY(A34-1)=7),IF(OR(WEEKDAY(A34-2)=1,WEEKDAY(A34-2)=7),A34-3,A34-2),A34-1)</f>
        <v>35642</v>
      </c>
      <c r="C34" s="105" t="n">
        <v>35640</v>
      </c>
      <c r="D34" s="105"/>
      <c r="E34" s="105"/>
    </row>
    <row r="35" customFormat="false" ht="12.75" hidden="false" customHeight="false" outlineLevel="0" collapsed="false">
      <c r="A35" s="105" t="n">
        <v>35674</v>
      </c>
      <c r="B35" s="105" t="n">
        <f aca="false">IF(OR(WEEKDAY(A35-1)=1,WEEKDAY(A35-1)=7),IF(OR(WEEKDAY(A35-2)=1,WEEKDAY(A35-2)=7),A35-3,A35-2),A35-1)</f>
        <v>35671</v>
      </c>
      <c r="C35" s="105" t="n">
        <v>35669</v>
      </c>
      <c r="D35" s="105"/>
      <c r="E35" s="105"/>
    </row>
    <row r="36" customFormat="false" ht="12.75" hidden="false" customHeight="false" outlineLevel="0" collapsed="false">
      <c r="A36" s="105" t="n">
        <v>35704</v>
      </c>
      <c r="B36" s="105" t="n">
        <f aca="false">IF(OR(WEEKDAY(A36-1)=1,WEEKDAY(A36-1)=7),IF(OR(WEEKDAY(A36-2)=1,WEEKDAY(A36-2)=7),A36-3,A36-2),A36-1)</f>
        <v>35703</v>
      </c>
      <c r="C36" s="105" t="n">
        <v>35699</v>
      </c>
      <c r="D36" s="105"/>
      <c r="E36" s="105"/>
    </row>
    <row r="37" customFormat="false" ht="12.75" hidden="false" customHeight="false" outlineLevel="0" collapsed="false">
      <c r="A37" s="105" t="n">
        <v>35735</v>
      </c>
      <c r="B37" s="105" t="n">
        <f aca="false">IF(OR(WEEKDAY(A37-1)=1,WEEKDAY(A37-1)=7),IF(OR(WEEKDAY(A37-2)=1,WEEKDAY(A37-2)=7),A37-3,A37-2),A37-1)</f>
        <v>35734</v>
      </c>
      <c r="C37" s="105" t="n">
        <v>35732</v>
      </c>
      <c r="D37" s="105"/>
      <c r="E37" s="105"/>
    </row>
    <row r="38" customFormat="false" ht="12.75" hidden="false" customHeight="false" outlineLevel="0" collapsed="false">
      <c r="A38" s="105" t="n">
        <v>35765</v>
      </c>
      <c r="B38" s="105" t="n">
        <f aca="false">IF(OR(WEEKDAY(A38-1)=1,WEEKDAY(A38-1)=7),IF(OR(WEEKDAY(A38-2)=1,WEEKDAY(A38-2)=7),A38-3,A38-2),A38-1)</f>
        <v>35762</v>
      </c>
      <c r="C38" s="105" t="n">
        <v>35758</v>
      </c>
      <c r="D38" s="105"/>
      <c r="E38" s="105"/>
    </row>
    <row r="39" customFormat="false" ht="12.75" hidden="false" customHeight="false" outlineLevel="0" collapsed="false">
      <c r="A39" s="105" t="n">
        <v>35796</v>
      </c>
      <c r="B39" s="105" t="n">
        <v>35794</v>
      </c>
      <c r="C39" s="105" t="n">
        <v>35793</v>
      </c>
      <c r="D39" s="105"/>
      <c r="E39" s="105"/>
    </row>
    <row r="40" customFormat="false" ht="12.75" hidden="false" customHeight="false" outlineLevel="0" collapsed="false">
      <c r="A40" s="105" t="n">
        <v>35827</v>
      </c>
      <c r="B40" s="105" t="n">
        <f aca="false">IF(OR(WEEKDAY(A40-1)=1,WEEKDAY(A40-1)=7),IF(OR(WEEKDAY(A40-2)=1,WEEKDAY(A40-2)=7),A40-3,A40-2),A40-1)</f>
        <v>35825</v>
      </c>
      <c r="C40" s="105" t="n">
        <v>35823</v>
      </c>
      <c r="D40" s="105"/>
      <c r="E40" s="105"/>
    </row>
    <row r="41" customFormat="false" ht="12.75" hidden="false" customHeight="false" outlineLevel="0" collapsed="false">
      <c r="A41" s="105" t="n">
        <v>35855</v>
      </c>
      <c r="B41" s="105" t="n">
        <f aca="false">IF(OR(WEEKDAY(A41-1)=1,WEEKDAY(A41-1)=7),IF(OR(WEEKDAY(A41-2)=1,WEEKDAY(A41-2)=7),A41-3,A41-2),A41-1)</f>
        <v>35853</v>
      </c>
      <c r="C41" s="105" t="n">
        <v>35851</v>
      </c>
      <c r="D41" s="105"/>
      <c r="E41" s="105"/>
    </row>
    <row r="42" customFormat="false" ht="12.75" hidden="false" customHeight="false" outlineLevel="0" collapsed="false">
      <c r="A42" s="105" t="n">
        <v>35886</v>
      </c>
      <c r="B42" s="105" t="n">
        <f aca="false">IF(OR(WEEKDAY(A42-1)=1,WEEKDAY(A42-1)=7),IF(OR(WEEKDAY(A42-2)=1,WEEKDAY(A42-2)=7),A42-3,A42-2),A42-1)</f>
        <v>35885</v>
      </c>
      <c r="C42" s="105" t="n">
        <v>35881</v>
      </c>
      <c r="D42" s="105"/>
      <c r="E42" s="105"/>
    </row>
    <row r="43" customFormat="false" ht="12.75" hidden="false" customHeight="false" outlineLevel="0" collapsed="false">
      <c r="A43" s="105" t="n">
        <v>35916</v>
      </c>
      <c r="B43" s="105" t="n">
        <f aca="false">IF(OR(WEEKDAY(A43-1)=1,WEEKDAY(A43-1)=7),IF(OR(WEEKDAY(A43-2)=1,WEEKDAY(A43-2)=7),A43-3,A43-2),A43-1)</f>
        <v>35915</v>
      </c>
      <c r="C43" s="105" t="n">
        <v>35913</v>
      </c>
      <c r="D43" s="105"/>
      <c r="E43" s="105"/>
    </row>
    <row r="44" customFormat="false" ht="12.75" hidden="false" customHeight="false" outlineLevel="0" collapsed="false">
      <c r="A44" s="105" t="n">
        <v>35947</v>
      </c>
      <c r="B44" s="105" t="n">
        <f aca="false">IF(OR(WEEKDAY(A44-1)=1,WEEKDAY(A44-1)=7),IF(OR(WEEKDAY(A44-2)=1,WEEKDAY(A44-2)=7),A44-3,A44-2),A44-1)</f>
        <v>35944</v>
      </c>
      <c r="C44" s="105" t="n">
        <v>35942</v>
      </c>
      <c r="D44" s="105"/>
      <c r="E44" s="105"/>
    </row>
    <row r="45" customFormat="false" ht="12.75" hidden="false" customHeight="false" outlineLevel="0" collapsed="false">
      <c r="A45" s="105" t="n">
        <v>35977</v>
      </c>
      <c r="B45" s="105" t="n">
        <f aca="false">IF(OR(WEEKDAY(A45-1)=1,WEEKDAY(A45-1)=7),IF(OR(WEEKDAY(A45-2)=1,WEEKDAY(A45-2)=7),A45-3,A45-2),A45-1)</f>
        <v>35976</v>
      </c>
      <c r="C45" s="105" t="n">
        <v>35972</v>
      </c>
      <c r="D45" s="105"/>
      <c r="E45" s="105"/>
    </row>
    <row r="46" customFormat="false" ht="12.75" hidden="false" customHeight="false" outlineLevel="0" collapsed="false">
      <c r="A46" s="105" t="n">
        <v>36008</v>
      </c>
      <c r="B46" s="105" t="n">
        <f aca="false">IF(OR(WEEKDAY(A46-1)=1,WEEKDAY(A46-1)=7),IF(OR(WEEKDAY(A46-2)=1,WEEKDAY(A46-2)=7),A46-3,A46-2),A46-1)</f>
        <v>36007</v>
      </c>
      <c r="C46" s="105" t="n">
        <v>36005</v>
      </c>
      <c r="D46" s="105"/>
      <c r="E46" s="105"/>
    </row>
    <row r="47" customFormat="false" ht="12.75" hidden="false" customHeight="false" outlineLevel="0" collapsed="false">
      <c r="A47" s="105" t="n">
        <v>36039</v>
      </c>
      <c r="B47" s="105" t="n">
        <f aca="false">IF(OR(WEEKDAY(A47-1)=1,WEEKDAY(A47-1)=7),IF(OR(WEEKDAY(A47-2)=1,WEEKDAY(A47-2)=7),A47-3,A47-2),A47-1)</f>
        <v>36038</v>
      </c>
      <c r="C47" s="105" t="n">
        <v>36034</v>
      </c>
      <c r="D47" s="105"/>
      <c r="E47" s="105"/>
    </row>
    <row r="48" customFormat="false" ht="12.75" hidden="false" customHeight="false" outlineLevel="0" collapsed="false">
      <c r="A48" s="105" t="n">
        <v>36069</v>
      </c>
      <c r="B48" s="105" t="n">
        <f aca="false">IF(OR(WEEKDAY(A48-1)=1,WEEKDAY(A48-1)=7),IF(OR(WEEKDAY(A48-2)=1,WEEKDAY(A48-2)=7),A48-3,A48-2),A48-1)</f>
        <v>36068</v>
      </c>
      <c r="C48" s="105" t="n">
        <v>36066</v>
      </c>
      <c r="D48" s="105"/>
      <c r="E48" s="105"/>
    </row>
    <row r="49" customFormat="false" ht="12.75" hidden="false" customHeight="false" outlineLevel="0" collapsed="false">
      <c r="A49" s="105" t="n">
        <v>36100</v>
      </c>
      <c r="B49" s="105" t="n">
        <f aca="false">IF(OR(WEEKDAY(A49-1)=1,WEEKDAY(A49-1)=7),IF(OR(WEEKDAY(A49-2)=1,WEEKDAY(A49-2)=7),A49-3,A49-2),A49-1)</f>
        <v>36098</v>
      </c>
      <c r="C49" s="105" t="n">
        <v>36096</v>
      </c>
      <c r="D49" s="105"/>
      <c r="E49" s="105"/>
    </row>
    <row r="50" customFormat="false" ht="12.75" hidden="false" customHeight="false" outlineLevel="0" collapsed="false">
      <c r="A50" s="105" t="n">
        <v>36130</v>
      </c>
      <c r="B50" s="105" t="n">
        <f aca="false">IF(OR(WEEKDAY(A50-1)=1,WEEKDAY(A50-1)=7),IF(OR(WEEKDAY(A50-2)=1,WEEKDAY(A50-2)=7),A50-3,A50-2),A50-1)</f>
        <v>36129</v>
      </c>
      <c r="C50" s="105" t="n">
        <v>36124</v>
      </c>
      <c r="D50" s="105"/>
      <c r="E50" s="105"/>
    </row>
    <row r="51" customFormat="false" ht="12.75" hidden="false" customHeight="false" outlineLevel="0" collapsed="false">
      <c r="A51" s="105" t="n">
        <v>36161</v>
      </c>
      <c r="B51" s="105" t="n">
        <v>36159</v>
      </c>
      <c r="C51" s="105" t="n">
        <v>36158</v>
      </c>
      <c r="D51" s="105"/>
      <c r="E51" s="105"/>
    </row>
    <row r="52" customFormat="false" ht="12.75" hidden="false" customHeight="false" outlineLevel="0" collapsed="false">
      <c r="A52" s="105" t="n">
        <v>36192</v>
      </c>
      <c r="B52" s="105" t="n">
        <f aca="false">IF(OR(WEEKDAY(A52-1)=1,WEEKDAY(A52-1)=7),IF(OR(WEEKDAY(A52-2)=1,WEEKDAY(A52-2)=7),A52-3,A52-2),A52-1)</f>
        <v>36189</v>
      </c>
      <c r="C52" s="105" t="n">
        <v>36187</v>
      </c>
      <c r="D52" s="105"/>
      <c r="E52" s="105"/>
    </row>
    <row r="53" customFormat="false" ht="12.75" hidden="false" customHeight="false" outlineLevel="0" collapsed="false">
      <c r="A53" s="105" t="n">
        <v>36220</v>
      </c>
      <c r="B53" s="105" t="n">
        <f aca="false">IF(OR(WEEKDAY(A53-1)=1,WEEKDAY(A53-1)=7),IF(OR(WEEKDAY(A53-2)=1,WEEKDAY(A53-2)=7),A53-3,A53-2),A53-1)</f>
        <v>36217</v>
      </c>
      <c r="C53" s="105" t="n">
        <v>36215</v>
      </c>
      <c r="D53" s="105"/>
      <c r="E53" s="105"/>
    </row>
    <row r="54" customFormat="false" ht="12.75" hidden="false" customHeight="false" outlineLevel="0" collapsed="false">
      <c r="A54" s="105" t="n">
        <v>36251</v>
      </c>
      <c r="B54" s="105" t="n">
        <f aca="false">IF(OR(WEEKDAY(A54-1)=1,WEEKDAY(A54-1)=7),IF(OR(WEEKDAY(A54-2)=1,WEEKDAY(A54-2)=7),A54-3,A54-2),A54-1)</f>
        <v>36250</v>
      </c>
      <c r="C54" s="105" t="n">
        <v>36248</v>
      </c>
      <c r="D54" s="105"/>
      <c r="E54" s="105"/>
    </row>
    <row r="55" customFormat="false" ht="12.75" hidden="false" customHeight="false" outlineLevel="0" collapsed="false">
      <c r="A55" s="105" t="n">
        <v>36281</v>
      </c>
      <c r="B55" s="105" t="n">
        <f aca="false">IF(OR(WEEKDAY(A55-1)=1,WEEKDAY(A55-1)=7),IF(OR(WEEKDAY(A55-2)=1,WEEKDAY(A55-2)=7),A55-3,A55-2),A55-1)</f>
        <v>36280</v>
      </c>
      <c r="C55" s="105" t="n">
        <v>36278</v>
      </c>
      <c r="D55" s="105"/>
      <c r="E55" s="105"/>
    </row>
    <row r="56" customFormat="false" ht="12.75" hidden="false" customHeight="false" outlineLevel="0" collapsed="false">
      <c r="A56" s="105" t="n">
        <v>36312</v>
      </c>
      <c r="B56" s="105" t="n">
        <f aca="false">IF(OR(WEEKDAY(A56-1)=1,WEEKDAY(A56-1)=7),IF(OR(WEEKDAY(A56-2)=1,WEEKDAY(A56-2)=7),A56-3,A56-2),A56-1)</f>
        <v>36311</v>
      </c>
      <c r="C56" s="105" t="n">
        <v>36306</v>
      </c>
      <c r="D56" s="105"/>
      <c r="E56" s="105"/>
    </row>
    <row r="57" customFormat="false" ht="12.75" hidden="false" customHeight="false" outlineLevel="0" collapsed="false">
      <c r="A57" s="105" t="n">
        <v>36342</v>
      </c>
      <c r="B57" s="105" t="n">
        <f aca="false">IF(OR(WEEKDAY(A57-1)=1,WEEKDAY(A57-1)=7),IF(OR(WEEKDAY(A57-2)=1,WEEKDAY(A57-2)=7),A57-3,A57-2),A57-1)</f>
        <v>36341</v>
      </c>
      <c r="C57" s="105" t="n">
        <v>36339</v>
      </c>
      <c r="D57" s="105"/>
      <c r="E57" s="105"/>
    </row>
    <row r="58" customFormat="false" ht="12.75" hidden="false" customHeight="false" outlineLevel="0" collapsed="false">
      <c r="A58" s="105" t="n">
        <v>36373</v>
      </c>
      <c r="B58" s="105" t="n">
        <f aca="false">IF(OR(WEEKDAY(A58-1)=1,WEEKDAY(A58-1)=7),IF(OR(WEEKDAY(A58-2)=1,WEEKDAY(A58-2)=7),A58-3,A58-2),A58-1)</f>
        <v>36371</v>
      </c>
      <c r="C58" s="105" t="n">
        <v>36369</v>
      </c>
      <c r="D58" s="105" t="n">
        <v>36361</v>
      </c>
      <c r="E58" s="105" t="n">
        <v>36357</v>
      </c>
    </row>
    <row r="59" customFormat="false" ht="12.75" hidden="false" customHeight="false" outlineLevel="0" collapsed="false">
      <c r="A59" s="105" t="n">
        <v>36404</v>
      </c>
      <c r="B59" s="105" t="n">
        <f aca="false">IF(OR(WEEKDAY(A59-1)=1,WEEKDAY(A59-1)=7),IF(OR(WEEKDAY(A59-2)=1,WEEKDAY(A59-2)=7),A59-3,A59-2),A59-1)</f>
        <v>36403</v>
      </c>
      <c r="C59" s="105" t="n">
        <v>36399</v>
      </c>
      <c r="D59" s="105" t="n">
        <v>36392</v>
      </c>
      <c r="E59" s="105" t="n">
        <v>36388</v>
      </c>
    </row>
    <row r="60" customFormat="false" ht="12.75" hidden="false" customHeight="false" outlineLevel="0" collapsed="false">
      <c r="A60" s="105" t="n">
        <v>36434</v>
      </c>
      <c r="B60" s="105" t="n">
        <f aca="false">IF(OR(WEEKDAY(A60-1)=1,WEEKDAY(A60-1)=7),IF(OR(WEEKDAY(A60-2)=1,WEEKDAY(A60-2)=7),A60-3,A60-2),A60-1)</f>
        <v>36433</v>
      </c>
      <c r="C60" s="105" t="n">
        <v>36431</v>
      </c>
      <c r="D60" s="105" t="n">
        <v>36424</v>
      </c>
      <c r="E60" s="105" t="n">
        <v>36418</v>
      </c>
    </row>
    <row r="61" customFormat="false" ht="12.75" hidden="false" customHeight="false" outlineLevel="0" collapsed="false">
      <c r="A61" s="105" t="n">
        <v>36465</v>
      </c>
      <c r="B61" s="105" t="n">
        <f aca="false">IF(OR(WEEKDAY(A61-1)=1,WEEKDAY(A61-1)=7),IF(OR(WEEKDAY(A61-2)=1,WEEKDAY(A61-2)=7),A61-3,A61-2),A61-1)</f>
        <v>36462</v>
      </c>
      <c r="C61" s="105" t="n">
        <v>36460</v>
      </c>
      <c r="D61" s="105" t="n">
        <v>36453</v>
      </c>
      <c r="E61" s="105" t="n">
        <v>36447</v>
      </c>
    </row>
    <row r="62" customFormat="false" ht="12.75" hidden="false" customHeight="false" outlineLevel="0" collapsed="false">
      <c r="A62" s="105" t="n">
        <v>36495</v>
      </c>
      <c r="B62" s="105" t="n">
        <f aca="false">IF(OR(WEEKDAY(A62-1)=1,WEEKDAY(A62-1)=7),IF(OR(WEEKDAY(A62-2)=1,WEEKDAY(A62-2)=7),A62-3,A62-2),A62-1)</f>
        <v>36494</v>
      </c>
      <c r="C62" s="105" t="n">
        <v>36490</v>
      </c>
      <c r="D62" s="105" t="n">
        <v>36483</v>
      </c>
      <c r="E62" s="105" t="n">
        <v>36479</v>
      </c>
    </row>
    <row r="63" customFormat="false" ht="12.75" hidden="false" customHeight="false" outlineLevel="0" collapsed="false">
      <c r="A63" s="105" t="n">
        <v>36526</v>
      </c>
      <c r="B63" s="105" t="n">
        <v>36524</v>
      </c>
      <c r="C63" s="105" t="n">
        <v>36522</v>
      </c>
      <c r="D63" s="105" t="n">
        <v>36514</v>
      </c>
      <c r="E63" s="105" t="n">
        <v>36510</v>
      </c>
    </row>
    <row r="64" customFormat="false" ht="12.75" hidden="false" customHeight="false" outlineLevel="0" collapsed="false">
      <c r="A64" s="105" t="n">
        <v>36557</v>
      </c>
      <c r="B64" s="105" t="n">
        <f aca="false">IF(OR(WEEKDAY(A64-1)=1,WEEKDAY(A64-1)=7),IF(OR(WEEKDAY(A64-2)=1,WEEKDAY(A64-2)=7),A64-3,A64-2),A64-1)</f>
        <v>36556</v>
      </c>
      <c r="C64" s="105" t="n">
        <v>36552</v>
      </c>
      <c r="D64" s="105" t="n">
        <v>36545</v>
      </c>
      <c r="E64" s="105" t="n">
        <v>36539</v>
      </c>
    </row>
    <row r="65" customFormat="false" ht="12.75" hidden="false" customHeight="false" outlineLevel="0" collapsed="false">
      <c r="A65" s="105" t="n">
        <v>36586</v>
      </c>
      <c r="B65" s="105" t="n">
        <f aca="false">IF(OR(WEEKDAY(A65-1)=1,WEEKDAY(A65-1)=7),IF(OR(WEEKDAY(A65-2)=1,WEEKDAY(A65-2)=7),A65-3,A65-2),A65-1)</f>
        <v>36585</v>
      </c>
      <c r="C65" s="105" t="n">
        <v>36581</v>
      </c>
      <c r="D65" s="105" t="n">
        <v>36578</v>
      </c>
      <c r="E65" s="105" t="n">
        <v>36570</v>
      </c>
    </row>
    <row r="66" customFormat="false" ht="12.75" hidden="false" customHeight="false" outlineLevel="0" collapsed="false">
      <c r="A66" s="105" t="n">
        <v>36617</v>
      </c>
      <c r="B66" s="105" t="n">
        <f aca="false">IF(OR(WEEKDAY(A66-1)=1,WEEKDAY(A66-1)=7),IF(OR(WEEKDAY(A66-2)=1,WEEKDAY(A66-2)=7),A66-3,A66-2),A66-1)</f>
        <v>36616</v>
      </c>
      <c r="C66" s="105" t="n">
        <v>36614</v>
      </c>
      <c r="D66" s="105" t="n">
        <v>36606</v>
      </c>
      <c r="E66" s="105" t="n">
        <v>36601</v>
      </c>
    </row>
    <row r="67" customFormat="false" ht="12.75" hidden="false" customHeight="false" outlineLevel="0" collapsed="false">
      <c r="A67" s="105" t="n">
        <v>36647</v>
      </c>
      <c r="B67" s="105" t="n">
        <f aca="false">IF(OR(WEEKDAY(A67-1)=1,WEEKDAY(A67-1)=7),IF(OR(WEEKDAY(A67-2)=1,WEEKDAY(A67-2)=7),A67-3,A67-2),A67-1)</f>
        <v>36644</v>
      </c>
      <c r="C67" s="105" t="n">
        <v>36642</v>
      </c>
      <c r="D67" s="105" t="n">
        <v>36635</v>
      </c>
      <c r="E67" s="105" t="n">
        <v>36629</v>
      </c>
    </row>
    <row r="68" customFormat="false" ht="12.75" hidden="false" customHeight="false" outlineLevel="0" collapsed="false">
      <c r="A68" s="105" t="n">
        <v>36678</v>
      </c>
      <c r="B68" s="105" t="n">
        <f aca="false">IF(OR(WEEKDAY(A68-1)=1,WEEKDAY(A68-1)=7),IF(OR(WEEKDAY(A68-2)=1,WEEKDAY(A68-2)=7),A68-3,A68-2),A68-1)</f>
        <v>36677</v>
      </c>
      <c r="C68" s="105" t="n">
        <v>36672</v>
      </c>
      <c r="D68" s="105" t="n">
        <v>36668</v>
      </c>
      <c r="E68" s="105" t="n">
        <v>36662</v>
      </c>
    </row>
    <row r="69" customFormat="false" ht="12.75" hidden="false" customHeight="false" outlineLevel="0" collapsed="false">
      <c r="A69" s="105" t="n">
        <v>36708</v>
      </c>
      <c r="B69" s="105" t="n">
        <f aca="false">IF(OR(WEEKDAY(A69-1)=1,WEEKDAY(A69-1)=7),IF(OR(WEEKDAY(A69-2)=1,WEEKDAY(A69-2)=7),A69-3,A69-2),A69-1)</f>
        <v>36707</v>
      </c>
      <c r="C69" s="105" t="n">
        <v>36705</v>
      </c>
      <c r="D69" s="105" t="n">
        <v>36697</v>
      </c>
      <c r="E69" s="105" t="n">
        <v>36692</v>
      </c>
    </row>
    <row r="70" customFormat="false" ht="12.75" hidden="false" customHeight="false" outlineLevel="0" collapsed="false">
      <c r="A70" s="105" t="n">
        <v>36739</v>
      </c>
      <c r="B70" s="105" t="n">
        <f aca="false">IF(OR(WEEKDAY(A70-1)=1,WEEKDAY(A70-1)=7),IF(OR(WEEKDAY(A70-2)=1,WEEKDAY(A70-2)=7),A70-3,A70-2),A70-1)</f>
        <v>36738</v>
      </c>
      <c r="C70" s="105" t="n">
        <v>36734</v>
      </c>
      <c r="D70" s="105" t="n">
        <v>36727</v>
      </c>
      <c r="E70" s="105" t="n">
        <v>36721</v>
      </c>
    </row>
    <row r="71" customFormat="false" ht="12.75" hidden="false" customHeight="false" outlineLevel="0" collapsed="false">
      <c r="A71" s="105" t="n">
        <v>36770</v>
      </c>
      <c r="B71" s="105" t="n">
        <f aca="false">IF(OR(WEEKDAY(A71-1)=1,WEEKDAY(A71-1)=7),IF(OR(WEEKDAY(A71-2)=1,WEEKDAY(A71-2)=7),A71-3,A71-2),A71-1)</f>
        <v>36769</v>
      </c>
      <c r="C71" s="105" t="n">
        <v>36767</v>
      </c>
      <c r="D71" s="105" t="n">
        <v>36760</v>
      </c>
      <c r="E71" s="105" t="n">
        <v>36754</v>
      </c>
    </row>
    <row r="72" customFormat="false" ht="12.75" hidden="false" customHeight="false" outlineLevel="0" collapsed="false">
      <c r="A72" s="105" t="n">
        <v>36800</v>
      </c>
      <c r="B72" s="105" t="n">
        <f aca="false">IF(OR(WEEKDAY(A72-1)=1,WEEKDAY(A72-1)=7),IF(OR(WEEKDAY(A72-2)=1,WEEKDAY(A72-2)=7),A72-3,A72-2),A72-1)</f>
        <v>36798</v>
      </c>
      <c r="C72" s="105" t="n">
        <v>36796</v>
      </c>
      <c r="D72" s="105" t="n">
        <v>36789</v>
      </c>
      <c r="E72" s="105" t="n">
        <v>36783</v>
      </c>
    </row>
    <row r="73" customFormat="false" ht="12.75" hidden="false" customHeight="false" outlineLevel="0" collapsed="false">
      <c r="A73" s="105" t="n">
        <v>36831</v>
      </c>
      <c r="B73" s="105" t="n">
        <f aca="false">IF(OR(WEEKDAY(A73-1)=1,WEEKDAY(A73-1)=7),IF(OR(WEEKDAY(A73-2)=1,WEEKDAY(A73-2)=7),A73-3,A73-2),A73-1)</f>
        <v>36830</v>
      </c>
      <c r="C73" s="105" t="n">
        <v>36826</v>
      </c>
      <c r="D73" s="105" t="n">
        <v>36819</v>
      </c>
      <c r="E73" s="105" t="n">
        <v>36815</v>
      </c>
    </row>
    <row r="74" customFormat="false" ht="12.75" hidden="false" customHeight="false" outlineLevel="0" collapsed="false">
      <c r="A74" s="105" t="n">
        <v>36861</v>
      </c>
      <c r="B74" s="105" t="n">
        <f aca="false">IF(OR(WEEKDAY(A74-1)=1,WEEKDAY(A74-1)=7),IF(OR(WEEKDAY(A74-2)=1,WEEKDAY(A74-2)=7),A74-3,A74-2),A74-1)</f>
        <v>36860</v>
      </c>
      <c r="C74" s="105" t="n">
        <v>36858</v>
      </c>
      <c r="D74" s="105" t="n">
        <v>36847</v>
      </c>
      <c r="E74" s="105" t="n">
        <v>36845</v>
      </c>
    </row>
    <row r="75" customFormat="false" ht="12.75" hidden="false" customHeight="false" outlineLevel="0" collapsed="false">
      <c r="A75" s="105" t="n">
        <v>36892</v>
      </c>
      <c r="B75" s="105" t="n">
        <f aca="false">IF(OR(WEEKDAY(A75-1)=1,WEEKDAY(A75-1)=7),IF(OR(WEEKDAY(A75-2)=1,WEEKDAY(A75-2)=7),A75-3,A75-2),A75-1)</f>
        <v>36889</v>
      </c>
      <c r="C75" s="105" t="n">
        <v>36887</v>
      </c>
      <c r="D75" s="105" t="n">
        <v>36879</v>
      </c>
      <c r="E75" s="105" t="n">
        <v>36874</v>
      </c>
    </row>
    <row r="76" customFormat="false" ht="12.75" hidden="false" customHeight="false" outlineLevel="0" collapsed="false">
      <c r="A76" s="105" t="n">
        <v>36923</v>
      </c>
      <c r="B76" s="105" t="n">
        <f aca="false">IF(OR(WEEKDAY(A76-1)=1,WEEKDAY(A76-1)=7),IF(OR(WEEKDAY(A76-2)=1,WEEKDAY(A76-2)=7),A76-3,A76-2),A76-1)</f>
        <v>36922</v>
      </c>
      <c r="C76" s="105" t="n">
        <v>36920</v>
      </c>
      <c r="D76" s="105" t="n">
        <v>36913</v>
      </c>
      <c r="E76" s="105" t="n">
        <v>36907</v>
      </c>
    </row>
    <row r="77" customFormat="false" ht="12.75" hidden="false" customHeight="false" outlineLevel="0" collapsed="false">
      <c r="A77" s="105" t="n">
        <v>36951</v>
      </c>
      <c r="B77" s="105" t="n">
        <f aca="false">IF(OR(WEEKDAY(A77-1)=1,WEEKDAY(A77-1)=7),IF(OR(WEEKDAY(A77-2)=1,WEEKDAY(A77-2)=7),A77-3,A77-2),A77-1)</f>
        <v>36950</v>
      </c>
      <c r="C77" s="105" t="n">
        <v>36948</v>
      </c>
      <c r="D77" s="105" t="n">
        <v>36942</v>
      </c>
      <c r="E77" s="105" t="n">
        <v>36935</v>
      </c>
    </row>
    <row r="78" customFormat="false" ht="12.75" hidden="false" customHeight="false" outlineLevel="0" collapsed="false">
      <c r="A78" s="105" t="n">
        <v>36982</v>
      </c>
      <c r="B78" s="105" t="n">
        <f aca="false">IF(OR(WEEKDAY(A78-1)=1,WEEKDAY(A78-1)=7),IF(OR(WEEKDAY(A78-2)=1,WEEKDAY(A78-2)=7),A78-3,A78-2),A78-1)</f>
        <v>36980</v>
      </c>
      <c r="C78" s="105" t="n">
        <v>36978</v>
      </c>
      <c r="D78" s="105" t="n">
        <v>36970</v>
      </c>
      <c r="E78" s="105" t="n">
        <v>36966</v>
      </c>
    </row>
    <row r="79" customFormat="false" ht="12.75" hidden="false" customHeight="false" outlineLevel="0" collapsed="false">
      <c r="A79" s="105" t="n">
        <v>37012</v>
      </c>
      <c r="B79" s="105" t="n">
        <v>37006</v>
      </c>
      <c r="C79" s="105" t="n">
        <v>37006</v>
      </c>
      <c r="D79" s="105" t="n">
        <v>36998</v>
      </c>
      <c r="E79" s="105" t="n">
        <v>36993</v>
      </c>
    </row>
    <row r="80" customFormat="false" ht="12.75" hidden="false" customHeight="false" outlineLevel="0" collapsed="false">
      <c r="A80" s="105" t="n">
        <v>37043</v>
      </c>
      <c r="B80" s="105" t="n">
        <v>37036</v>
      </c>
      <c r="C80" s="105" t="n">
        <v>37036</v>
      </c>
      <c r="D80" s="105" t="n">
        <v>37028</v>
      </c>
      <c r="E80" s="105" t="n">
        <v>37027</v>
      </c>
    </row>
    <row r="81" customFormat="false" ht="12.75" hidden="false" customHeight="false" outlineLevel="0" collapsed="false">
      <c r="A81" s="105" t="n">
        <v>37073</v>
      </c>
      <c r="B81" s="105" t="n">
        <v>37068</v>
      </c>
      <c r="C81" s="105" t="n">
        <v>37068</v>
      </c>
      <c r="D81" s="105" t="n">
        <v>37057</v>
      </c>
      <c r="E81" s="105" t="n">
        <v>37057</v>
      </c>
    </row>
    <row r="82" customFormat="false" ht="12.75" hidden="false" customHeight="false" outlineLevel="0" collapsed="false">
      <c r="A82" s="105" t="n">
        <v>37104</v>
      </c>
      <c r="B82" s="105" t="n">
        <v>37098</v>
      </c>
      <c r="C82" s="105" t="n">
        <v>37098</v>
      </c>
      <c r="D82" s="105" t="n">
        <v>37089</v>
      </c>
      <c r="E82" s="105" t="n">
        <v>37088</v>
      </c>
    </row>
    <row r="83" customFormat="false" ht="12.75" hidden="false" customHeight="false" outlineLevel="0" collapsed="false">
      <c r="A83" s="105" t="n">
        <v>37135</v>
      </c>
      <c r="B83" s="105" t="n">
        <v>37131</v>
      </c>
      <c r="C83" s="105" t="n">
        <v>37131</v>
      </c>
      <c r="D83" s="105" t="n">
        <v>37119</v>
      </c>
      <c r="E83" s="105" t="n">
        <v>37119</v>
      </c>
    </row>
    <row r="84" customFormat="false" ht="12.75" hidden="false" customHeight="false" outlineLevel="0" collapsed="false">
      <c r="A84" s="105" t="n">
        <v>37165</v>
      </c>
      <c r="B84" s="105" t="n">
        <v>37159</v>
      </c>
      <c r="C84" s="105" t="n">
        <v>37159</v>
      </c>
      <c r="D84" s="105" t="n">
        <v>37151</v>
      </c>
      <c r="E84" s="105" t="n">
        <v>37147</v>
      </c>
    </row>
    <row r="85" customFormat="false" ht="12.75" hidden="false" customHeight="false" outlineLevel="0" collapsed="false">
      <c r="A85" s="105" t="n">
        <v>37196</v>
      </c>
      <c r="B85" s="105" t="n">
        <v>37190</v>
      </c>
      <c r="C85" s="105" t="n">
        <v>37190</v>
      </c>
      <c r="D85" s="105" t="n">
        <v>37181</v>
      </c>
      <c r="E85" s="105" t="n">
        <v>37180</v>
      </c>
    </row>
    <row r="86" customFormat="false" ht="12.75" hidden="false" customHeight="false" outlineLevel="0" collapsed="false">
      <c r="A86" s="105" t="n">
        <v>37226</v>
      </c>
      <c r="B86" s="105" t="n">
        <v>37222</v>
      </c>
      <c r="C86" s="105" t="n">
        <v>37222</v>
      </c>
      <c r="D86" s="105" t="n">
        <v>37209</v>
      </c>
      <c r="E86" s="105" t="n">
        <v>37210</v>
      </c>
    </row>
    <row r="87" customFormat="false" ht="12.75" hidden="false" customHeight="false" outlineLevel="0" collapsed="false">
      <c r="A87" s="105" t="n">
        <v>37257</v>
      </c>
      <c r="B87" s="105" t="n">
        <v>37251</v>
      </c>
      <c r="C87" s="105" t="n">
        <v>37251</v>
      </c>
      <c r="D87" s="105" t="n">
        <v>37239</v>
      </c>
      <c r="E87" s="105" t="n">
        <v>37238</v>
      </c>
    </row>
    <row r="88" customFormat="false" ht="12.75" hidden="false" customHeight="false" outlineLevel="0" collapsed="false">
      <c r="A88" s="105" t="n">
        <v>37288</v>
      </c>
      <c r="B88" s="105" t="n">
        <v>37284</v>
      </c>
      <c r="C88" s="105" t="n">
        <v>37284</v>
      </c>
      <c r="D88" s="105" t="n">
        <v>37272</v>
      </c>
      <c r="E88" s="105" t="n">
        <v>37272</v>
      </c>
    </row>
    <row r="89" customFormat="false" ht="12.75" hidden="false" customHeight="false" outlineLevel="0" collapsed="false">
      <c r="A89" s="105" t="n">
        <v>37316</v>
      </c>
      <c r="B89" s="105" t="n">
        <v>37312</v>
      </c>
      <c r="C89" s="105" t="n">
        <v>37312</v>
      </c>
      <c r="D89" s="105" t="n">
        <v>37301</v>
      </c>
      <c r="E89" s="105" t="n">
        <v>37300</v>
      </c>
    </row>
    <row r="90" customFormat="false" ht="12.75" hidden="false" customHeight="false" outlineLevel="0" collapsed="false">
      <c r="A90" s="105" t="n">
        <v>37347</v>
      </c>
      <c r="B90" s="105" t="n">
        <v>37340</v>
      </c>
      <c r="C90" s="105" t="n">
        <v>37340</v>
      </c>
      <c r="D90" s="105" t="n">
        <v>37330</v>
      </c>
      <c r="E90" s="105" t="n">
        <v>37329</v>
      </c>
    </row>
    <row r="91" customFormat="false" ht="12.75" hidden="false" customHeight="false" outlineLevel="0" collapsed="false">
      <c r="A91" s="105" t="n">
        <v>37377</v>
      </c>
      <c r="B91" s="105" t="n">
        <v>37371</v>
      </c>
      <c r="C91" s="105" t="n">
        <v>37371</v>
      </c>
      <c r="D91" s="105" t="n">
        <v>37363</v>
      </c>
      <c r="E91" s="105" t="n">
        <v>37361</v>
      </c>
    </row>
    <row r="92" customFormat="false" ht="12.75" hidden="false" customHeight="false" outlineLevel="0" collapsed="false">
      <c r="A92" s="105" t="n">
        <v>37408</v>
      </c>
      <c r="B92" s="105" t="n">
        <v>37404</v>
      </c>
      <c r="C92" s="105" t="n">
        <v>37404</v>
      </c>
      <c r="D92" s="105" t="n">
        <v>37392</v>
      </c>
      <c r="E92" s="105" t="n">
        <v>37392</v>
      </c>
    </row>
    <row r="93" customFormat="false" ht="12.75" hidden="false" customHeight="false" outlineLevel="0" collapsed="false">
      <c r="A93" s="105" t="n">
        <v>37438</v>
      </c>
      <c r="B93" s="105" t="n">
        <v>37432</v>
      </c>
      <c r="C93" s="105" t="n">
        <v>37432</v>
      </c>
      <c r="D93" s="105" t="n">
        <v>37424</v>
      </c>
      <c r="E93" s="105" t="n">
        <v>37420</v>
      </c>
    </row>
    <row r="94" customFormat="false" ht="12.75" hidden="false" customHeight="false" outlineLevel="0" collapsed="false">
      <c r="A94" s="105" t="n">
        <v>37469</v>
      </c>
      <c r="B94" s="105" t="n">
        <v>37463</v>
      </c>
      <c r="C94" s="105" t="n">
        <v>37463</v>
      </c>
      <c r="D94" s="105" t="n">
        <v>37454</v>
      </c>
      <c r="E94" s="105" t="n">
        <v>37453</v>
      </c>
    </row>
    <row r="95" customFormat="false" ht="12.75" hidden="false" customHeight="false" outlineLevel="0" collapsed="false">
      <c r="A95" s="105" t="n">
        <v>37500</v>
      </c>
      <c r="B95" s="105" t="n">
        <v>37495</v>
      </c>
      <c r="C95" s="105" t="n">
        <v>37495</v>
      </c>
      <c r="D95" s="105" t="n">
        <v>37483</v>
      </c>
      <c r="E95" s="105" t="n">
        <v>37484</v>
      </c>
    </row>
    <row r="96" customFormat="false" ht="12.75" hidden="false" customHeight="false" outlineLevel="0" collapsed="false">
      <c r="A96" s="105" t="n">
        <v>37530</v>
      </c>
      <c r="B96" s="105" t="n">
        <v>37524</v>
      </c>
      <c r="C96" s="105" t="n">
        <v>37524</v>
      </c>
      <c r="D96" s="105" t="n">
        <v>37516</v>
      </c>
      <c r="E96" s="105" t="n">
        <v>37511</v>
      </c>
    </row>
    <row r="97" customFormat="false" ht="12.75" hidden="false" customHeight="false" outlineLevel="0" collapsed="false">
      <c r="A97" s="105" t="n">
        <v>37561</v>
      </c>
      <c r="B97" s="105" t="n">
        <v>37557</v>
      </c>
      <c r="C97" s="105" t="n">
        <v>37557</v>
      </c>
      <c r="D97" s="105" t="n">
        <v>37546</v>
      </c>
      <c r="E97" s="105" t="n">
        <v>37545</v>
      </c>
    </row>
    <row r="98" customFormat="false" ht="12.75" hidden="false" customHeight="false" outlineLevel="0" collapsed="false">
      <c r="A98" s="105" t="n">
        <v>37591</v>
      </c>
      <c r="B98" s="105" t="n">
        <v>37585</v>
      </c>
      <c r="C98" s="105" t="n">
        <v>37585</v>
      </c>
      <c r="D98" s="105" t="n">
        <v>37575</v>
      </c>
      <c r="E98" s="105" t="n">
        <v>37575</v>
      </c>
    </row>
    <row r="99" customFormat="false" ht="12.75" hidden="false" customHeight="false" outlineLevel="0" collapsed="false">
      <c r="A99" s="105" t="n">
        <v>37622</v>
      </c>
      <c r="B99" s="105" t="n">
        <v>37616</v>
      </c>
      <c r="C99" s="105" t="n">
        <v>37616</v>
      </c>
      <c r="D99" s="105" t="n">
        <v>37606</v>
      </c>
      <c r="E99" s="105" t="n">
        <v>37605</v>
      </c>
    </row>
    <row r="100" customFormat="false" ht="12.75" hidden="false" customHeight="false" outlineLevel="0" collapsed="false">
      <c r="A100" s="105" t="n">
        <v>37653</v>
      </c>
      <c r="B100" s="105" t="n">
        <v>37649</v>
      </c>
      <c r="C100" s="105" t="n">
        <v>37649</v>
      </c>
      <c r="D100" s="105" t="n">
        <v>37636</v>
      </c>
      <c r="E100" s="105" t="n">
        <v>37636</v>
      </c>
    </row>
    <row r="101" customFormat="false" ht="12.75" hidden="false" customHeight="false" outlineLevel="0" collapsed="false">
      <c r="A101" s="105" t="n">
        <v>37681</v>
      </c>
      <c r="B101" s="105" t="n">
        <v>37677</v>
      </c>
      <c r="C101" s="105" t="n">
        <v>37677</v>
      </c>
      <c r="D101" s="105" t="n">
        <v>37666</v>
      </c>
      <c r="E101" s="105" t="n">
        <v>37667</v>
      </c>
    </row>
    <row r="102" customFormat="false" ht="12.75" hidden="false" customHeight="false" outlineLevel="0" collapsed="false">
      <c r="A102" s="105" t="n">
        <v>37712</v>
      </c>
      <c r="B102" s="105" t="n">
        <v>37706</v>
      </c>
      <c r="C102" s="105" t="n">
        <v>37706</v>
      </c>
      <c r="D102" s="105" t="n">
        <v>37697</v>
      </c>
      <c r="E102" s="105" t="n">
        <v>37695</v>
      </c>
    </row>
    <row r="103" customFormat="false" ht="12.75" hidden="false" customHeight="false" outlineLevel="0" collapsed="false">
      <c r="A103" s="105" t="n">
        <v>37742</v>
      </c>
      <c r="B103" s="105" t="n">
        <v>37736</v>
      </c>
      <c r="C103" s="105" t="n">
        <v>37736</v>
      </c>
      <c r="D103" s="105" t="n">
        <v>37728</v>
      </c>
      <c r="E103" s="105" t="n">
        <v>37726</v>
      </c>
    </row>
    <row r="104" customFormat="false" ht="12.75" hidden="false" customHeight="false" outlineLevel="0" collapsed="false">
      <c r="A104" s="105" t="n">
        <v>37773</v>
      </c>
      <c r="B104" s="105" t="n">
        <v>37768</v>
      </c>
      <c r="C104" s="105" t="n">
        <v>37768</v>
      </c>
      <c r="D104" s="105" t="n">
        <v>37756</v>
      </c>
      <c r="E104" s="105" t="n">
        <v>37756</v>
      </c>
    </row>
    <row r="105" customFormat="false" ht="12.75" hidden="false" customHeight="false" outlineLevel="0" collapsed="false">
      <c r="A105" s="105" t="n">
        <v>37803</v>
      </c>
      <c r="B105" s="105" t="n">
        <v>37797</v>
      </c>
      <c r="C105" s="105" t="n">
        <v>37797</v>
      </c>
      <c r="D105" s="105" t="n">
        <v>37789</v>
      </c>
      <c r="E105" s="105" t="n">
        <v>37787</v>
      </c>
    </row>
    <row r="106" customFormat="false" ht="12.75" hidden="false" customHeight="false" outlineLevel="0" collapsed="false">
      <c r="A106" s="105" t="n">
        <v>37834</v>
      </c>
      <c r="B106" s="105" t="n">
        <v>37830</v>
      </c>
      <c r="C106" s="105" t="n">
        <v>37830</v>
      </c>
      <c r="D106" s="105" t="n">
        <v>37819</v>
      </c>
      <c r="E106" s="105" t="n">
        <v>37817</v>
      </c>
    </row>
    <row r="107" customFormat="false" ht="12.75" hidden="false" customHeight="false" outlineLevel="0" collapsed="false">
      <c r="A107" s="105" t="n">
        <v>37865</v>
      </c>
      <c r="B107" s="105" t="n">
        <v>37859</v>
      </c>
      <c r="C107" s="105" t="n">
        <v>37859</v>
      </c>
      <c r="D107" s="105" t="n">
        <v>37848</v>
      </c>
      <c r="E107" s="105" t="n">
        <v>37848</v>
      </c>
    </row>
    <row r="108" customFormat="false" ht="12.75" hidden="false" customHeight="false" outlineLevel="0" collapsed="false">
      <c r="A108" s="105" t="n">
        <v>37895</v>
      </c>
      <c r="B108" s="105" t="n">
        <v>37889</v>
      </c>
      <c r="C108" s="105" t="n">
        <v>37889</v>
      </c>
      <c r="D108" s="105" t="n">
        <v>37881</v>
      </c>
      <c r="E108" s="105" t="n">
        <v>37879</v>
      </c>
    </row>
    <row r="109" customFormat="false" ht="12.75" hidden="false" customHeight="false" outlineLevel="0" collapsed="false">
      <c r="A109" s="105" t="n">
        <v>37926</v>
      </c>
      <c r="B109" s="105" t="n">
        <v>37922</v>
      </c>
      <c r="C109" s="105" t="n">
        <v>37922</v>
      </c>
      <c r="D109" s="105" t="n">
        <v>37910</v>
      </c>
      <c r="E109" s="105" t="n">
        <v>37909</v>
      </c>
    </row>
    <row r="110" customFormat="false" ht="12.75" hidden="false" customHeight="false" outlineLevel="0" collapsed="false">
      <c r="A110" s="105" t="n">
        <v>37956</v>
      </c>
      <c r="B110" s="105" t="n">
        <v>37949</v>
      </c>
      <c r="C110" s="105" t="n">
        <v>37949</v>
      </c>
      <c r="D110" s="105" t="n">
        <v>37942</v>
      </c>
      <c r="E110" s="105" t="n">
        <v>37940</v>
      </c>
    </row>
    <row r="111" customFormat="false" ht="12.75" hidden="false" customHeight="false" outlineLevel="0" collapsed="false">
      <c r="A111" s="105" t="n">
        <v>37987</v>
      </c>
      <c r="B111" s="105" t="n">
        <v>37985</v>
      </c>
      <c r="C111" s="105" t="n">
        <v>37981</v>
      </c>
      <c r="D111" s="105" t="n">
        <v>37975</v>
      </c>
      <c r="E111" s="105" t="n">
        <v>37970</v>
      </c>
    </row>
    <row r="112" customFormat="false" ht="12.75" hidden="false" customHeight="false" outlineLevel="0" collapsed="false">
      <c r="A112" s="105" t="n">
        <v>38018</v>
      </c>
      <c r="B112" s="105" t="n">
        <f aca="false">IF(OR(WEEKDAY(A112-1)=1,WEEKDAY(A112-1)=7),IF(OR(WEEKDAY(A112-2)=1,WEEKDAY(A112-2)=7),A112-3,A112-2),A112-1)</f>
        <v>38016</v>
      </c>
      <c r="C112" s="105" t="n">
        <v>38013</v>
      </c>
      <c r="D112" s="105" t="n">
        <v>38006</v>
      </c>
      <c r="E112" s="105" t="n">
        <v>38001</v>
      </c>
    </row>
    <row r="113" customFormat="false" ht="12.75" hidden="false" customHeight="false" outlineLevel="0" collapsed="false">
      <c r="A113" s="105" t="n">
        <v>38047</v>
      </c>
      <c r="B113" s="105" t="n">
        <f aca="false">IF(OR(WEEKDAY(A113-1)=1,WEEKDAY(A113-1)=7),IF(OR(WEEKDAY(A113-2)=1,WEEKDAY(A113-2)=7),A113-3,A113-2),A113-1)</f>
        <v>38044</v>
      </c>
      <c r="C113" s="105" t="n">
        <v>38041</v>
      </c>
      <c r="D113" s="105" t="n">
        <v>38037</v>
      </c>
      <c r="E113" s="105" t="n">
        <v>38032</v>
      </c>
    </row>
    <row r="114" customFormat="false" ht="12.75" hidden="false" customHeight="false" outlineLevel="0" collapsed="false">
      <c r="A114" s="105" t="n">
        <v>38078</v>
      </c>
      <c r="B114" s="105" t="n">
        <f aca="false">IF(OR(WEEKDAY(A114-1)=1,WEEKDAY(A114-1)=7),IF(OR(WEEKDAY(A114-2)=1,WEEKDAY(A114-2)=7),A114-3,A114-2),A114-1)</f>
        <v>38077</v>
      </c>
      <c r="C114" s="105" t="n">
        <v>38072</v>
      </c>
      <c r="D114" s="105" t="n">
        <v>38066</v>
      </c>
      <c r="E114" s="105" t="n">
        <v>38061</v>
      </c>
    </row>
    <row r="115" customFormat="false" ht="12.75" hidden="false" customHeight="false" outlineLevel="0" collapsed="false">
      <c r="A115" s="105" t="n">
        <v>38108</v>
      </c>
      <c r="B115" s="105" t="n">
        <f aca="false">IF(OR(WEEKDAY(A115-1)=1,WEEKDAY(A115-1)=7),IF(OR(WEEKDAY(A115-2)=1,WEEKDAY(A115-2)=7),A115-3,A115-2),A115-1)</f>
        <v>38107</v>
      </c>
      <c r="C115" s="105" t="n">
        <v>38104</v>
      </c>
      <c r="D115" s="105" t="n">
        <v>38097</v>
      </c>
      <c r="E115" s="105" t="n">
        <v>38092</v>
      </c>
    </row>
    <row r="116" customFormat="false" ht="12.75" hidden="false" customHeight="false" outlineLevel="0" collapsed="false">
      <c r="A116" s="105" t="n">
        <v>38139</v>
      </c>
      <c r="B116" s="105" t="n">
        <f aca="false">IF(OR(WEEKDAY(A116-1)=1,WEEKDAY(A116-1)=7),IF(OR(WEEKDAY(A116-2)=1,WEEKDAY(A116-2)=7),A116-3,A116-2),A116-1)</f>
        <v>38138</v>
      </c>
      <c r="C116" s="105" t="n">
        <v>38132</v>
      </c>
      <c r="D116" s="105" t="n">
        <v>38127</v>
      </c>
      <c r="E116" s="105" t="n">
        <v>38122</v>
      </c>
    </row>
    <row r="117" customFormat="false" ht="12.75" hidden="false" customHeight="false" outlineLevel="0" collapsed="false">
      <c r="A117" s="105" t="n">
        <v>38169</v>
      </c>
      <c r="B117" s="105" t="n">
        <f aca="false">IF(OR(WEEKDAY(A117-1)=1,WEEKDAY(A117-1)=7),IF(OR(WEEKDAY(A117-2)=1,WEEKDAY(A117-2)=7),A117-3,A117-2),A117-1)</f>
        <v>38168</v>
      </c>
      <c r="C117" s="105" t="n">
        <v>38163</v>
      </c>
      <c r="D117" s="105" t="n">
        <v>38158</v>
      </c>
      <c r="E117" s="105" t="n">
        <v>38153</v>
      </c>
    </row>
    <row r="118" customFormat="false" ht="12.75" hidden="false" customHeight="false" outlineLevel="0" collapsed="false">
      <c r="A118" s="105" t="n">
        <v>38200</v>
      </c>
      <c r="B118" s="105" t="n">
        <f aca="false">IF(OR(WEEKDAY(A118-1)=1,WEEKDAY(A118-1)=7),IF(OR(WEEKDAY(A118-2)=1,WEEKDAY(A118-2)=7),A118-3,A118-2),A118-1)</f>
        <v>38198</v>
      </c>
      <c r="C118" s="105" t="n">
        <v>38195</v>
      </c>
      <c r="D118" s="105" t="n">
        <v>38188</v>
      </c>
      <c r="E118" s="105" t="n">
        <v>38183</v>
      </c>
    </row>
    <row r="119" customFormat="false" ht="12.75" hidden="false" customHeight="false" outlineLevel="0" collapsed="false">
      <c r="A119" s="105" t="n">
        <v>38231</v>
      </c>
      <c r="B119" s="105" t="n">
        <f aca="false">IF(OR(WEEKDAY(A119-1)=1,WEEKDAY(A119-1)=7),IF(OR(WEEKDAY(A119-2)=1,WEEKDAY(A119-2)=7),A119-3,A119-2),A119-1)</f>
        <v>38230</v>
      </c>
      <c r="C119" s="105" t="n">
        <v>38225</v>
      </c>
      <c r="D119" s="105" t="n">
        <v>38219</v>
      </c>
      <c r="E119" s="105" t="n">
        <v>38214</v>
      </c>
    </row>
    <row r="120" customFormat="false" ht="12.75" hidden="false" customHeight="false" outlineLevel="0" collapsed="false">
      <c r="A120" s="105" t="n">
        <v>38261</v>
      </c>
      <c r="B120" s="105" t="n">
        <f aca="false">IF(OR(WEEKDAY(A120-1)=1,WEEKDAY(A120-1)=7),IF(OR(WEEKDAY(A120-2)=1,WEEKDAY(A120-2)=7),A120-3,A120-2),A120-1)</f>
        <v>38260</v>
      </c>
      <c r="C120" s="105" t="n">
        <v>38257</v>
      </c>
      <c r="D120" s="105" t="n">
        <v>38250</v>
      </c>
      <c r="E120" s="105" t="n">
        <v>38245</v>
      </c>
    </row>
    <row r="121" customFormat="false" ht="12.75" hidden="false" customHeight="false" outlineLevel="0" collapsed="false">
      <c r="A121" s="105" t="n">
        <v>38292</v>
      </c>
      <c r="B121" s="105" t="n">
        <f aca="false">IF(OR(WEEKDAY(A121-1)=1,WEEKDAY(A121-1)=7),IF(OR(WEEKDAY(A121-2)=1,WEEKDAY(A121-2)=7),A121-3,A121-2),A121-1)</f>
        <v>38289</v>
      </c>
      <c r="C121" s="105" t="n">
        <v>38286</v>
      </c>
      <c r="D121" s="105" t="n">
        <v>38280</v>
      </c>
      <c r="E121" s="105" t="n">
        <v>38275</v>
      </c>
    </row>
    <row r="122" customFormat="false" ht="12.75" hidden="false" customHeight="false" outlineLevel="0" collapsed="false">
      <c r="A122" s="105" t="n">
        <v>38322</v>
      </c>
      <c r="B122" s="105" t="n">
        <f aca="false">IF(OR(WEEKDAY(A122-1)=1,WEEKDAY(A122-1)=7),IF(OR(WEEKDAY(A122-2)=1,WEEKDAY(A122-2)=7),A122-3,A122-2),A122-1)</f>
        <v>38321</v>
      </c>
      <c r="C122" s="105" t="n">
        <v>38316</v>
      </c>
      <c r="D122" s="105" t="n">
        <v>38311</v>
      </c>
      <c r="E122" s="105" t="n">
        <v>38306</v>
      </c>
    </row>
    <row r="123" customFormat="false" ht="12.75" hidden="false" customHeight="false" outlineLevel="0" collapsed="false">
      <c r="A123" s="105" t="n">
        <v>38353</v>
      </c>
      <c r="B123" s="105" t="n">
        <v>38351</v>
      </c>
      <c r="C123" s="105" t="n">
        <v>38348</v>
      </c>
      <c r="D123" s="105" t="n">
        <v>38341</v>
      </c>
      <c r="E123" s="105" t="n">
        <v>38336</v>
      </c>
    </row>
    <row r="124" customFormat="false" ht="12.75" hidden="false" customHeight="false" outlineLevel="0" collapsed="false">
      <c r="A124" s="105" t="n">
        <v>38384</v>
      </c>
      <c r="B124" s="105" t="n">
        <f aca="false">IF(OR(WEEKDAY(A124-1)=1,WEEKDAY(A124-1)=7),IF(OR(WEEKDAY(A124-2)=1,WEEKDAY(A124-2)=7),A124-3,A124-2),A124-1)</f>
        <v>38383</v>
      </c>
      <c r="C124" s="105" t="n">
        <v>38378</v>
      </c>
      <c r="D124" s="105" t="n">
        <v>38372</v>
      </c>
      <c r="E124" s="105" t="n">
        <v>38367</v>
      </c>
    </row>
    <row r="125" customFormat="false" ht="12.75" hidden="false" customHeight="false" outlineLevel="0" collapsed="false">
      <c r="A125" s="105" t="n">
        <v>38412</v>
      </c>
      <c r="B125" s="105" t="n">
        <f aca="false">IF(OR(WEEKDAY(A125-1)=1,WEEKDAY(A125-1)=7),IF(OR(WEEKDAY(A125-2)=1,WEEKDAY(A125-2)=7),A125-3,A125-2),A125-1)</f>
        <v>38411</v>
      </c>
      <c r="C125" s="105" t="n">
        <v>38406</v>
      </c>
      <c r="D125" s="105" t="n">
        <v>38403</v>
      </c>
      <c r="E125" s="105" t="n">
        <v>38398</v>
      </c>
    </row>
    <row r="126" customFormat="false" ht="12.75" hidden="false" customHeight="false" outlineLevel="0" collapsed="false">
      <c r="A126" s="105" t="n">
        <v>38443</v>
      </c>
      <c r="B126" s="105" t="n">
        <f aca="false">IF(OR(WEEKDAY(A126-1)=1,WEEKDAY(A126-1)=7),IF(OR(WEEKDAY(A126-2)=1,WEEKDAY(A126-2)=7),A126-3,A126-2),A126-1)</f>
        <v>38442</v>
      </c>
      <c r="C126" s="105" t="n">
        <v>38439</v>
      </c>
      <c r="D126" s="105" t="n">
        <v>38431</v>
      </c>
      <c r="E126" s="105" t="n">
        <v>38426</v>
      </c>
    </row>
    <row r="127" customFormat="false" ht="12.75" hidden="false" customHeight="false" outlineLevel="0" collapsed="false">
      <c r="A127" s="105" t="n">
        <v>38473</v>
      </c>
      <c r="B127" s="105" t="n">
        <f aca="false">IF(OR(WEEKDAY(A127-1)=1,WEEKDAY(A127-1)=7),IF(OR(WEEKDAY(A127-2)=1,WEEKDAY(A127-2)=7),A127-3,A127-2),A127-1)</f>
        <v>38471</v>
      </c>
      <c r="C127" s="105" t="n">
        <v>38468</v>
      </c>
      <c r="D127" s="105" t="n">
        <v>38462</v>
      </c>
      <c r="E127" s="105" t="n">
        <v>38457</v>
      </c>
    </row>
    <row r="128" customFormat="false" ht="12.75" hidden="false" customHeight="false" outlineLevel="0" collapsed="false">
      <c r="A128" s="105" t="n">
        <v>38504</v>
      </c>
      <c r="B128" s="105" t="n">
        <f aca="false">IF(OR(WEEKDAY(A128-1)=1,WEEKDAY(A128-1)=7),IF(OR(WEEKDAY(A128-2)=1,WEEKDAY(A128-2)=7),A128-3,A128-2),A128-1)</f>
        <v>38503</v>
      </c>
      <c r="C128" s="105" t="n">
        <v>38497</v>
      </c>
      <c r="D128" s="105" t="n">
        <v>38492</v>
      </c>
      <c r="E128" s="105" t="n">
        <v>38487</v>
      </c>
    </row>
    <row r="129" customFormat="false" ht="12.75" hidden="false" customHeight="false" outlineLevel="0" collapsed="false">
      <c r="A129" s="105" t="n">
        <v>38534</v>
      </c>
      <c r="B129" s="105" t="n">
        <f aca="false">IF(OR(WEEKDAY(A129-1)=1,WEEKDAY(A129-1)=7),IF(OR(WEEKDAY(A129-2)=1,WEEKDAY(A129-2)=7),A129-3,A129-2),A129-1)</f>
        <v>38533</v>
      </c>
      <c r="C129" s="105" t="n">
        <v>38530</v>
      </c>
      <c r="D129" s="105" t="n">
        <v>38523</v>
      </c>
      <c r="E129" s="105" t="n">
        <v>38518</v>
      </c>
    </row>
    <row r="130" customFormat="false" ht="12.75" hidden="false" customHeight="false" outlineLevel="0" collapsed="false">
      <c r="A130" s="105" t="n">
        <v>38565</v>
      </c>
      <c r="B130" s="105" t="n">
        <f aca="false">IF(OR(WEEKDAY(A130-1)=1,WEEKDAY(A130-1)=7),IF(OR(WEEKDAY(A130-2)=1,WEEKDAY(A130-2)=7),A130-3,A130-2),A130-1)</f>
        <v>38562</v>
      </c>
      <c r="C130" s="105" t="n">
        <v>38559</v>
      </c>
      <c r="D130" s="105" t="n">
        <v>38553</v>
      </c>
      <c r="E130" s="105" t="n">
        <v>38548</v>
      </c>
    </row>
    <row r="131" customFormat="false" ht="12.75" hidden="false" customHeight="false" outlineLevel="0" collapsed="false">
      <c r="A131" s="105" t="n">
        <v>38596</v>
      </c>
      <c r="B131" s="105" t="n">
        <f aca="false">IF(OR(WEEKDAY(A131-1)=1,WEEKDAY(A131-1)=7),IF(OR(WEEKDAY(A131-2)=1,WEEKDAY(A131-2)=7),A131-3,A131-2),A131-1)</f>
        <v>38595</v>
      </c>
      <c r="C131" s="105" t="n">
        <v>38590</v>
      </c>
      <c r="D131" s="105" t="n">
        <v>38584</v>
      </c>
      <c r="E131" s="105" t="n">
        <v>38579</v>
      </c>
    </row>
    <row r="132" customFormat="false" ht="12.75" hidden="false" customHeight="false" outlineLevel="0" collapsed="false">
      <c r="A132" s="105" t="n">
        <v>38626</v>
      </c>
      <c r="B132" s="105" t="n">
        <f aca="false">IF(OR(WEEKDAY(A132-1)=1,WEEKDAY(A132-1)=7),IF(OR(WEEKDAY(A132-2)=1,WEEKDAY(A132-2)=7),A132-3,A132-2),A132-1)</f>
        <v>38625</v>
      </c>
      <c r="C132" s="105" t="n">
        <v>38622</v>
      </c>
      <c r="D132" s="105" t="n">
        <v>38615</v>
      </c>
      <c r="E132" s="105" t="n">
        <v>38610</v>
      </c>
    </row>
    <row r="133" customFormat="false" ht="12.75" hidden="false" customHeight="false" outlineLevel="0" collapsed="false">
      <c r="A133" s="105" t="n">
        <v>38657</v>
      </c>
      <c r="B133" s="105" t="n">
        <f aca="false">IF(OR(WEEKDAY(A133-1)=1,WEEKDAY(A133-1)=7),IF(OR(WEEKDAY(A133-2)=1,WEEKDAY(A133-2)=7),A133-3,A133-2),A133-1)</f>
        <v>38656</v>
      </c>
      <c r="C133" s="105" t="n">
        <v>38651</v>
      </c>
      <c r="D133" s="105" t="n">
        <v>38645</v>
      </c>
      <c r="E133" s="105" t="n">
        <v>38640</v>
      </c>
    </row>
    <row r="134" customFormat="false" ht="12.75" hidden="false" customHeight="false" outlineLevel="0" collapsed="false">
      <c r="A134" s="105" t="n">
        <v>38687</v>
      </c>
      <c r="B134" s="105" t="n">
        <f aca="false">IF(OR(WEEKDAY(A134-1)=1,WEEKDAY(A134-1)=7),IF(OR(WEEKDAY(A134-2)=1,WEEKDAY(A134-2)=7),A134-3,A134-2),A134-1)</f>
        <v>38686</v>
      </c>
      <c r="C134" s="105" t="n">
        <v>38681</v>
      </c>
      <c r="D134" s="105" t="n">
        <v>38676</v>
      </c>
      <c r="E134" s="105" t="n">
        <v>38671</v>
      </c>
    </row>
    <row r="135" customFormat="false" ht="12.75" hidden="false" customHeight="false" outlineLevel="0" collapsed="false">
      <c r="A135" s="105" t="n">
        <v>38718</v>
      </c>
      <c r="B135" s="105" t="n">
        <f aca="false">IF(OR(WEEKDAY(A135-1)=1,WEEKDAY(A135-1)=7),IF(OR(WEEKDAY(A135-2)=1,WEEKDAY(A135-2)=7),A135-3,A135-2),A135-1)</f>
        <v>38716</v>
      </c>
      <c r="C135" s="105" t="n">
        <v>38713</v>
      </c>
      <c r="D135" s="105" t="n">
        <v>38706</v>
      </c>
      <c r="E135" s="105" t="n">
        <v>38701</v>
      </c>
    </row>
    <row r="136" customFormat="false" ht="12.75" hidden="false" customHeight="false" outlineLevel="0" collapsed="false">
      <c r="A136" s="105" t="n">
        <v>38749</v>
      </c>
      <c r="B136" s="105" t="n">
        <f aca="false">IF(OR(WEEKDAY(A136-1)=1,WEEKDAY(A136-1)=7),IF(OR(WEEKDAY(A136-2)=1,WEEKDAY(A136-2)=7),A136-3,A136-2),A136-1)</f>
        <v>38748</v>
      </c>
      <c r="C136" s="105" t="n">
        <v>38743</v>
      </c>
      <c r="D136" s="105" t="n">
        <v>38737</v>
      </c>
      <c r="E136" s="105" t="n">
        <v>38732</v>
      </c>
    </row>
    <row r="137" customFormat="false" ht="12.75" hidden="false" customHeight="false" outlineLevel="0" collapsed="false">
      <c r="A137" s="105" t="n">
        <v>38777</v>
      </c>
      <c r="B137" s="105" t="n">
        <f aca="false">IF(OR(WEEKDAY(A137-1)=1,WEEKDAY(A137-1)=7),IF(OR(WEEKDAY(A137-2)=1,WEEKDAY(A137-2)=7),A137-3,A137-2),A137-1)</f>
        <v>38776</v>
      </c>
      <c r="C137" s="105" t="n">
        <v>38771</v>
      </c>
      <c r="D137" s="105" t="n">
        <v>38768</v>
      </c>
      <c r="E137" s="105" t="n">
        <v>38763</v>
      </c>
    </row>
    <row r="138" customFormat="false" ht="12.75" hidden="false" customHeight="false" outlineLevel="0" collapsed="false">
      <c r="A138" s="105" t="n">
        <v>38808</v>
      </c>
      <c r="B138" s="105" t="n">
        <f aca="false">IF(OR(WEEKDAY(A138-1)=1,WEEKDAY(A138-1)=7),IF(OR(WEEKDAY(A138-2)=1,WEEKDAY(A138-2)=7),A138-3,A138-2),A138-1)</f>
        <v>38807</v>
      </c>
      <c r="C138" s="105" t="n">
        <v>38804</v>
      </c>
      <c r="D138" s="105" t="n">
        <v>38796</v>
      </c>
      <c r="E138" s="105" t="n">
        <v>38791</v>
      </c>
    </row>
    <row r="139" customFormat="false" ht="12.75" hidden="false" customHeight="false" outlineLevel="0" collapsed="false">
      <c r="A139" s="105" t="n">
        <v>38838</v>
      </c>
      <c r="B139" s="105" t="n">
        <f aca="false">IF(OR(WEEKDAY(A139-1)=1,WEEKDAY(A139-1)=7),IF(OR(WEEKDAY(A139-2)=1,WEEKDAY(A139-2)=7),A139-3,A139-2),A139-1)</f>
        <v>38835</v>
      </c>
      <c r="C139" s="105" t="n">
        <v>38832</v>
      </c>
      <c r="D139" s="105" t="n">
        <v>38827</v>
      </c>
      <c r="E139" s="105" t="n">
        <v>38822</v>
      </c>
    </row>
    <row r="140" customFormat="false" ht="12.75" hidden="false" customHeight="false" outlineLevel="0" collapsed="false">
      <c r="A140" s="105" t="n">
        <v>38869</v>
      </c>
      <c r="B140" s="105" t="n">
        <f aca="false">IF(OR(WEEKDAY(A140-1)=1,WEEKDAY(A140-1)=7),IF(OR(WEEKDAY(A140-2)=1,WEEKDAY(A140-2)=7),A140-3,A140-2),A140-1)</f>
        <v>38868</v>
      </c>
      <c r="C140" s="105" t="n">
        <v>38862</v>
      </c>
      <c r="D140" s="105" t="n">
        <v>38857</v>
      </c>
      <c r="E140" s="105" t="n">
        <v>38852</v>
      </c>
    </row>
    <row r="141" customFormat="false" ht="12.75" hidden="false" customHeight="false" outlineLevel="0" collapsed="false">
      <c r="A141" s="105" t="n">
        <v>38899</v>
      </c>
      <c r="B141" s="105" t="n">
        <f aca="false">IF(OR(WEEKDAY(A141-1)=1,WEEKDAY(A141-1)=7),IF(OR(WEEKDAY(A141-2)=1,WEEKDAY(A141-2)=7),A141-3,A141-2),A141-1)</f>
        <v>38898</v>
      </c>
      <c r="C141" s="105" t="n">
        <v>38895</v>
      </c>
      <c r="D141" s="105" t="n">
        <v>38888</v>
      </c>
      <c r="E141" s="105" t="n">
        <v>38883</v>
      </c>
    </row>
    <row r="142" customFormat="false" ht="12.75" hidden="false" customHeight="false" outlineLevel="0" collapsed="false">
      <c r="A142" s="105" t="n">
        <v>38930</v>
      </c>
      <c r="B142" s="105" t="n">
        <f aca="false">IF(OR(WEEKDAY(A142-1)=1,WEEKDAY(A142-1)=7),IF(OR(WEEKDAY(A142-2)=1,WEEKDAY(A142-2)=7),A142-3,A142-2),A142-1)</f>
        <v>38929</v>
      </c>
      <c r="C142" s="105" t="n">
        <v>38924</v>
      </c>
      <c r="D142" s="105" t="n">
        <v>38918</v>
      </c>
      <c r="E142" s="105" t="n">
        <v>38913</v>
      </c>
    </row>
    <row r="143" customFormat="false" ht="12.75" hidden="false" customHeight="false" outlineLevel="0" collapsed="false">
      <c r="A143" s="105" t="n">
        <v>38961</v>
      </c>
      <c r="B143" s="105" t="n">
        <f aca="false">IF(OR(WEEKDAY(A143-1)=1,WEEKDAY(A143-1)=7),IF(OR(WEEKDAY(A143-2)=1,WEEKDAY(A143-2)=7),A143-3,A143-2),A143-1)</f>
        <v>38960</v>
      </c>
      <c r="C143" s="105" t="n">
        <v>38957</v>
      </c>
      <c r="D143" s="105" t="n">
        <v>38949</v>
      </c>
      <c r="E143" s="105" t="n">
        <v>38944</v>
      </c>
    </row>
    <row r="144" customFormat="false" ht="12.75" hidden="false" customHeight="false" outlineLevel="0" collapsed="false">
      <c r="A144" s="105" t="n">
        <v>38991</v>
      </c>
      <c r="B144" s="105" t="n">
        <f aca="false">IF(OR(WEEKDAY(A144-1)=1,WEEKDAY(A144-1)=7),IF(OR(WEEKDAY(A144-2)=1,WEEKDAY(A144-2)=7),A144-3,A144-2),A144-1)</f>
        <v>38989</v>
      </c>
      <c r="C144" s="105" t="n">
        <v>38986</v>
      </c>
      <c r="D144" s="105" t="n">
        <v>38980</v>
      </c>
      <c r="E144" s="105" t="n">
        <v>38975</v>
      </c>
    </row>
    <row r="145" customFormat="false" ht="12.75" hidden="false" customHeight="false" outlineLevel="0" collapsed="false">
      <c r="A145" s="105" t="n">
        <v>39022</v>
      </c>
      <c r="B145" s="105" t="n">
        <f aca="false">IF(OR(WEEKDAY(A145-1)=1,WEEKDAY(A145-1)=7),IF(OR(WEEKDAY(A145-2)=1,WEEKDAY(A145-2)=7),A145-3,A145-2),A145-1)</f>
        <v>39021</v>
      </c>
      <c r="C145" s="105" t="n">
        <v>39016</v>
      </c>
      <c r="D145" s="105" t="n">
        <v>39010</v>
      </c>
      <c r="E145" s="105" t="n">
        <v>39005</v>
      </c>
    </row>
    <row r="146" customFormat="false" ht="12.75" hidden="false" customHeight="false" outlineLevel="0" collapsed="false">
      <c r="A146" s="105" t="n">
        <v>39052</v>
      </c>
      <c r="B146" s="105" t="n">
        <f aca="false">IF(OR(WEEKDAY(A146-1)=1,WEEKDAY(A146-1)=7),IF(OR(WEEKDAY(A146-2)=1,WEEKDAY(A146-2)=7),A146-3,A146-2),A146-1)</f>
        <v>39051</v>
      </c>
      <c r="C146" s="105" t="n">
        <v>39048</v>
      </c>
      <c r="D146" s="105" t="n">
        <v>39041</v>
      </c>
      <c r="E146" s="105" t="n">
        <v>39036</v>
      </c>
    </row>
    <row r="147" customFormat="false" ht="12.75" hidden="false" customHeight="false" outlineLevel="0" collapsed="false">
      <c r="A147" s="105" t="n">
        <v>39083</v>
      </c>
      <c r="B147" s="105" t="n">
        <f aca="false">IF(OR(WEEKDAY(A147-1)=1,WEEKDAY(A147-1)=7),IF(OR(WEEKDAY(A147-2)=1,WEEKDAY(A147-2)=7),A147-3,A147-2),A147-1)</f>
        <v>39080</v>
      </c>
      <c r="C147" s="105" t="n">
        <v>39077</v>
      </c>
      <c r="D147" s="105" t="n">
        <v>39071</v>
      </c>
      <c r="E147" s="105" t="n">
        <v>39066</v>
      </c>
    </row>
    <row r="148" customFormat="false" ht="12.75" hidden="false" customHeight="false" outlineLevel="0" collapsed="false">
      <c r="A148" s="105" t="n">
        <v>39114</v>
      </c>
      <c r="B148" s="105" t="n">
        <f aca="false">IF(OR(WEEKDAY(A148-1)=1,WEEKDAY(A148-1)=7),IF(OR(WEEKDAY(A148-2)=1,WEEKDAY(A148-2)=7),A148-3,A148-2),A148-1)</f>
        <v>39113</v>
      </c>
      <c r="C148" s="105" t="n">
        <v>39108</v>
      </c>
      <c r="D148" s="105" t="n">
        <v>39102</v>
      </c>
      <c r="E148" s="105" t="n">
        <v>39097</v>
      </c>
    </row>
    <row r="149" customFormat="false" ht="12.75" hidden="false" customHeight="false" outlineLevel="0" collapsed="false">
      <c r="A149" s="105" t="n">
        <v>39142</v>
      </c>
      <c r="B149" s="105" t="n">
        <f aca="false">IF(OR(WEEKDAY(A149-1)=1,WEEKDAY(A149-1)=7),IF(OR(WEEKDAY(A149-2)=1,WEEKDAY(A149-2)=7),A149-3,A149-2),A149-1)</f>
        <v>39141</v>
      </c>
      <c r="C149" s="105" t="n">
        <v>39136</v>
      </c>
      <c r="D149" s="105" t="n">
        <v>39133</v>
      </c>
      <c r="E149" s="105" t="n">
        <v>39128</v>
      </c>
    </row>
    <row r="150" customFormat="false" ht="12.75" hidden="false" customHeight="false" outlineLevel="0" collapsed="false">
      <c r="A150" s="105" t="n">
        <v>39173</v>
      </c>
      <c r="B150" s="105" t="n">
        <f aca="false">IF(OR(WEEKDAY(A150-1)=1,WEEKDAY(A150-1)=7),IF(OR(WEEKDAY(A150-2)=1,WEEKDAY(A150-2)=7),A150-3,A150-2),A150-1)</f>
        <v>39171</v>
      </c>
      <c r="C150" s="105" t="n">
        <v>39168</v>
      </c>
      <c r="D150" s="105" t="n">
        <v>39161</v>
      </c>
      <c r="E150" s="105" t="n">
        <v>39156</v>
      </c>
    </row>
    <row r="151" customFormat="false" ht="12.75" hidden="false" customHeight="false" outlineLevel="0" collapsed="false">
      <c r="A151" s="105" t="n">
        <v>39203</v>
      </c>
      <c r="B151" s="105" t="n">
        <f aca="false">IF(OR(WEEKDAY(A151-1)=1,WEEKDAY(A151-1)=7),IF(OR(WEEKDAY(A151-2)=1,WEEKDAY(A151-2)=7),A151-3,A151-2),A151-1)</f>
        <v>39202</v>
      </c>
      <c r="C151" s="105" t="n">
        <v>39197</v>
      </c>
      <c r="D151" s="105" t="n">
        <v>39192</v>
      </c>
      <c r="E151" s="105" t="n">
        <v>39187</v>
      </c>
    </row>
    <row r="152" customFormat="false" ht="12.75" hidden="false" customHeight="false" outlineLevel="0" collapsed="false">
      <c r="A152" s="105" t="n">
        <v>39234</v>
      </c>
      <c r="B152" s="105" t="n">
        <f aca="false">IF(OR(WEEKDAY(A152-1)=1,WEEKDAY(A152-1)=7),IF(OR(WEEKDAY(A152-2)=1,WEEKDAY(A152-2)=7),A152-3,A152-2),A152-1)</f>
        <v>39233</v>
      </c>
      <c r="C152" s="105" t="n">
        <v>39230</v>
      </c>
      <c r="D152" s="105" t="n">
        <v>39222</v>
      </c>
      <c r="E152" s="105" t="n">
        <v>39217</v>
      </c>
    </row>
    <row r="153" customFormat="false" ht="12.75" hidden="false" customHeight="false" outlineLevel="0" collapsed="false">
      <c r="A153" s="105" t="n">
        <v>39264</v>
      </c>
      <c r="B153" s="105" t="n">
        <f aca="false">IF(OR(WEEKDAY(A153-1)=1,WEEKDAY(A153-1)=7),IF(OR(WEEKDAY(A153-2)=1,WEEKDAY(A153-2)=7),A153-3,A153-2),A153-1)</f>
        <v>39262</v>
      </c>
      <c r="C153" s="105" t="n">
        <v>39259</v>
      </c>
      <c r="D153" s="105" t="n">
        <v>39253</v>
      </c>
      <c r="E153" s="105" t="n">
        <v>39248</v>
      </c>
    </row>
    <row r="154" customFormat="false" ht="12.75" hidden="false" customHeight="false" outlineLevel="0" collapsed="false">
      <c r="A154" s="105" t="n">
        <v>39295</v>
      </c>
      <c r="B154" s="105" t="n">
        <f aca="false">IF(OR(WEEKDAY(A154-1)=1,WEEKDAY(A154-1)=7),IF(OR(WEEKDAY(A154-2)=1,WEEKDAY(A154-2)=7),A154-3,A154-2),A154-1)</f>
        <v>39294</v>
      </c>
      <c r="C154" s="105" t="n">
        <v>39289</v>
      </c>
      <c r="D154" s="105" t="n">
        <v>39283</v>
      </c>
      <c r="E154" s="105" t="n">
        <v>39278</v>
      </c>
    </row>
    <row r="155" customFormat="false" ht="12.75" hidden="false" customHeight="false" outlineLevel="0" collapsed="false">
      <c r="A155" s="105" t="n">
        <v>39326</v>
      </c>
      <c r="B155" s="105" t="n">
        <f aca="false">IF(OR(WEEKDAY(A155-1)=1,WEEKDAY(A155-1)=7),IF(OR(WEEKDAY(A155-2)=1,WEEKDAY(A155-2)=7),A155-3,A155-2),A155-1)</f>
        <v>39325</v>
      </c>
      <c r="C155" s="105" t="n">
        <v>39322</v>
      </c>
      <c r="D155" s="105" t="n">
        <v>39314</v>
      </c>
      <c r="E155" s="105" t="n">
        <v>39309</v>
      </c>
    </row>
    <row r="156" customFormat="false" ht="12.75" hidden="false" customHeight="false" outlineLevel="0" collapsed="false">
      <c r="A156" s="105" t="n">
        <v>39356</v>
      </c>
      <c r="B156" s="105" t="n">
        <f aca="false">IF(OR(WEEKDAY(A156-1)=1,WEEKDAY(A156-1)=7),IF(OR(WEEKDAY(A156-2)=1,WEEKDAY(A156-2)=7),A156-3,A156-2),A156-1)</f>
        <v>39353</v>
      </c>
      <c r="C156" s="105" t="n">
        <v>39350</v>
      </c>
      <c r="D156" s="105" t="n">
        <v>39345</v>
      </c>
      <c r="E156" s="105" t="n">
        <v>39340</v>
      </c>
    </row>
    <row r="157" customFormat="false" ht="12.75" hidden="false" customHeight="false" outlineLevel="0" collapsed="false">
      <c r="A157" s="105" t="n">
        <v>39387</v>
      </c>
      <c r="B157" s="105" t="n">
        <f aca="false">IF(OR(WEEKDAY(A157-1)=1,WEEKDAY(A157-1)=7),IF(OR(WEEKDAY(A157-2)=1,WEEKDAY(A157-2)=7),A157-3,A157-2),A157-1)</f>
        <v>39386</v>
      </c>
      <c r="C157" s="105" t="n">
        <v>39381</v>
      </c>
      <c r="D157" s="105" t="n">
        <v>39375</v>
      </c>
      <c r="E157" s="105" t="n">
        <v>39370</v>
      </c>
    </row>
    <row r="158" customFormat="false" ht="12.75" hidden="false" customHeight="false" outlineLevel="0" collapsed="false">
      <c r="A158" s="105" t="n">
        <v>39417</v>
      </c>
      <c r="B158" s="105" t="n">
        <f aca="false">IF(OR(WEEKDAY(A158-1)=1,WEEKDAY(A158-1)=7),IF(OR(WEEKDAY(A158-2)=1,WEEKDAY(A158-2)=7),A158-3,A158-2),A158-1)</f>
        <v>39416</v>
      </c>
      <c r="C158" s="105" t="n">
        <v>39413</v>
      </c>
      <c r="D158" s="105" t="n">
        <v>39406</v>
      </c>
      <c r="E158" s="105" t="n">
        <v>39401</v>
      </c>
    </row>
    <row r="159" customFormat="false" ht="12.75" hidden="false" customHeight="false" outlineLevel="0" collapsed="false">
      <c r="A159" s="105" t="n">
        <v>39448</v>
      </c>
      <c r="B159" s="105" t="n">
        <v>39444</v>
      </c>
      <c r="C159" s="105" t="n">
        <v>39442</v>
      </c>
      <c r="D159" s="105" t="n">
        <v>39436</v>
      </c>
      <c r="E159" s="105" t="n">
        <v>39431</v>
      </c>
    </row>
    <row r="160" customFormat="false" ht="12.75" hidden="false" customHeight="false" outlineLevel="0" collapsed="false">
      <c r="A160" s="105" t="n">
        <v>39479</v>
      </c>
      <c r="B160" s="105" t="n">
        <f aca="false">IF(OR(WEEKDAY(A160-1)=1,WEEKDAY(A160-1)=7),IF(OR(WEEKDAY(A160-2)=1,WEEKDAY(A160-2)=7),A160-3,A160-2),A160-1)</f>
        <v>39478</v>
      </c>
      <c r="C160" s="105" t="n">
        <v>39475</v>
      </c>
      <c r="D160" s="105" t="n">
        <v>39467</v>
      </c>
      <c r="E160" s="105" t="n">
        <v>39462</v>
      </c>
    </row>
    <row r="161" customFormat="false" ht="12.75" hidden="false" customHeight="false" outlineLevel="0" collapsed="false">
      <c r="A161" s="105" t="n">
        <v>39508</v>
      </c>
      <c r="B161" s="105" t="n">
        <f aca="false">IF(OR(WEEKDAY(A161-1)=1,WEEKDAY(A161-1)=7),IF(OR(WEEKDAY(A161-2)=1,WEEKDAY(A161-2)=7),A161-3,A161-2),A161-1)</f>
        <v>39507</v>
      </c>
      <c r="C161" s="105" t="n">
        <v>39504</v>
      </c>
      <c r="D161" s="105" t="n">
        <v>39498</v>
      </c>
      <c r="E161" s="105" t="n">
        <v>39493</v>
      </c>
    </row>
    <row r="162" customFormat="false" ht="12.75" hidden="false" customHeight="false" outlineLevel="0" collapsed="false">
      <c r="A162" s="105" t="n">
        <v>39539</v>
      </c>
      <c r="B162" s="105" t="n">
        <f aca="false">IF(OR(WEEKDAY(A162-1)=1,WEEKDAY(A162-1)=7),IF(OR(WEEKDAY(A162-2)=1,WEEKDAY(A162-2)=7),A162-3,A162-2),A162-1)</f>
        <v>39538</v>
      </c>
      <c r="C162" s="105" t="n">
        <v>39533</v>
      </c>
      <c r="D162" s="105" t="n">
        <v>39527</v>
      </c>
      <c r="E162" s="105" t="n">
        <v>39522</v>
      </c>
    </row>
    <row r="163" customFormat="false" ht="12.75" hidden="false" customHeight="false" outlineLevel="0" collapsed="false">
      <c r="A163" s="105" t="n">
        <v>39569</v>
      </c>
      <c r="B163" s="105" t="n">
        <f aca="false">IF(OR(WEEKDAY(A163-1)=1,WEEKDAY(A163-1)=7),IF(OR(WEEKDAY(A163-2)=1,WEEKDAY(A163-2)=7),A163-3,A163-2),A163-1)</f>
        <v>39568</v>
      </c>
      <c r="C163" s="105" t="n">
        <v>39563</v>
      </c>
      <c r="D163" s="105" t="n">
        <v>39558</v>
      </c>
      <c r="E163" s="105" t="n">
        <v>39553</v>
      </c>
    </row>
    <row r="164" customFormat="false" ht="12.75" hidden="false" customHeight="false" outlineLevel="0" collapsed="false">
      <c r="A164" s="105" t="n">
        <v>39600</v>
      </c>
      <c r="B164" s="105" t="n">
        <f aca="false">IF(OR(WEEKDAY(A164-1)=1,WEEKDAY(A164-1)=7),IF(OR(WEEKDAY(A164-2)=1,WEEKDAY(A164-2)=7),A164-3,A164-2),A164-1)</f>
        <v>39598</v>
      </c>
      <c r="C164" s="105" t="n">
        <v>39595</v>
      </c>
      <c r="D164" s="105" t="n">
        <v>39588</v>
      </c>
      <c r="E164" s="105" t="n">
        <v>39583</v>
      </c>
    </row>
    <row r="165" customFormat="false" ht="12.75" hidden="false" customHeight="false" outlineLevel="0" collapsed="false">
      <c r="A165" s="105" t="n">
        <v>39630</v>
      </c>
      <c r="B165" s="105" t="n">
        <f aca="false">IF(OR(WEEKDAY(A165-1)=1,WEEKDAY(A165-1)=7),IF(OR(WEEKDAY(A165-2)=1,WEEKDAY(A165-2)=7),A165-3,A165-2),A165-1)</f>
        <v>39629</v>
      </c>
      <c r="C165" s="105" t="n">
        <v>39624</v>
      </c>
      <c r="D165" s="105" t="n">
        <v>39619</v>
      </c>
      <c r="E165" s="105" t="n">
        <v>39614</v>
      </c>
    </row>
    <row r="166" customFormat="false" ht="12.75" hidden="false" customHeight="false" outlineLevel="0" collapsed="false">
      <c r="A166" s="105" t="n">
        <v>39661</v>
      </c>
      <c r="B166" s="105" t="n">
        <f aca="false">IF(OR(WEEKDAY(A166-1)=1,WEEKDAY(A166-1)=7),IF(OR(WEEKDAY(A166-2)=1,WEEKDAY(A166-2)=7),A166-3,A166-2),A166-1)</f>
        <v>39660</v>
      </c>
      <c r="C166" s="105" t="n">
        <v>39657</v>
      </c>
      <c r="D166" s="105" t="n">
        <v>39649</v>
      </c>
      <c r="E166" s="105" t="n">
        <v>39644</v>
      </c>
    </row>
    <row r="167" customFormat="false" ht="12.75" hidden="false" customHeight="false" outlineLevel="0" collapsed="false">
      <c r="A167" s="105" t="n">
        <v>39692</v>
      </c>
      <c r="B167" s="105" t="n">
        <f aca="false">IF(OR(WEEKDAY(A167-1)=1,WEEKDAY(A167-1)=7),IF(OR(WEEKDAY(A167-2)=1,WEEKDAY(A167-2)=7),A167-3,A167-2),A167-1)</f>
        <v>39689</v>
      </c>
      <c r="C167" s="105" t="n">
        <v>39686</v>
      </c>
      <c r="D167" s="105" t="n">
        <v>39680</v>
      </c>
      <c r="E167" s="105" t="n">
        <v>39675</v>
      </c>
    </row>
    <row r="168" customFormat="false" ht="12.75" hidden="false" customHeight="false" outlineLevel="0" collapsed="false">
      <c r="A168" s="105" t="n">
        <v>39722</v>
      </c>
      <c r="B168" s="105" t="n">
        <f aca="false">IF(OR(WEEKDAY(A168-1)=1,WEEKDAY(A168-1)=7),IF(OR(WEEKDAY(A168-2)=1,WEEKDAY(A168-2)=7),A168-3,A168-2),A168-1)</f>
        <v>39721</v>
      </c>
      <c r="C168" s="105" t="n">
        <v>39716</v>
      </c>
      <c r="D168" s="105" t="n">
        <v>39711</v>
      </c>
      <c r="E168" s="105" t="n">
        <v>39706</v>
      </c>
    </row>
    <row r="169" customFormat="false" ht="12.75" hidden="false" customHeight="false" outlineLevel="0" collapsed="false">
      <c r="A169" s="105" t="n">
        <v>39753</v>
      </c>
      <c r="B169" s="105" t="n">
        <f aca="false">IF(OR(WEEKDAY(A169-1)=1,WEEKDAY(A169-1)=7),IF(OR(WEEKDAY(A169-2)=1,WEEKDAY(A169-2)=7),A169-3,A169-2),A169-1)</f>
        <v>39752</v>
      </c>
      <c r="C169" s="105" t="n">
        <v>39749</v>
      </c>
      <c r="D169" s="105" t="n">
        <v>39741</v>
      </c>
      <c r="E169" s="105" t="n">
        <v>39736</v>
      </c>
    </row>
    <row r="170" customFormat="false" ht="12.75" hidden="false" customHeight="false" outlineLevel="0" collapsed="false">
      <c r="A170" s="105" t="n">
        <v>39783</v>
      </c>
      <c r="B170" s="105" t="n">
        <f aca="false">IF(OR(WEEKDAY(A170-1)=1,WEEKDAY(A170-1)=7),IF(OR(WEEKDAY(A170-2)=1,WEEKDAY(A170-2)=7),A170-3,A170-2),A170-1)</f>
        <v>39780</v>
      </c>
      <c r="C170" s="105" t="n">
        <v>39776</v>
      </c>
      <c r="D170" s="105" t="n">
        <v>39772</v>
      </c>
      <c r="E170" s="105" t="n">
        <v>39767</v>
      </c>
    </row>
    <row r="171" customFormat="false" ht="12.75" hidden="false" customHeight="false" outlineLevel="0" collapsed="false">
      <c r="A171" s="105" t="n">
        <v>39814</v>
      </c>
      <c r="B171" s="105" t="n">
        <v>39812</v>
      </c>
      <c r="C171" s="105" t="n">
        <v>39808</v>
      </c>
      <c r="D171" s="105" t="n">
        <v>39802</v>
      </c>
      <c r="E171" s="105" t="n">
        <v>39797</v>
      </c>
    </row>
    <row r="172" customFormat="false" ht="12.75" hidden="false" customHeight="false" outlineLevel="0" collapsed="false">
      <c r="A172" s="105" t="n">
        <v>39845</v>
      </c>
      <c r="B172" s="105" t="n">
        <f aca="false">IF(OR(WEEKDAY(A172-1)=1,WEEKDAY(A172-1)=7),IF(OR(WEEKDAY(A172-2)=1,WEEKDAY(A172-2)=7),A172-3,A172-2),A172-1)</f>
        <v>39843</v>
      </c>
      <c r="C172" s="105" t="n">
        <v>39840</v>
      </c>
      <c r="D172" s="105" t="n">
        <v>39833</v>
      </c>
      <c r="E172" s="105" t="n">
        <v>39828</v>
      </c>
    </row>
    <row r="173" customFormat="false" ht="12.75" hidden="false" customHeight="false" outlineLevel="0" collapsed="false">
      <c r="A173" s="105" t="n">
        <v>39873</v>
      </c>
      <c r="B173" s="105" t="n">
        <f aca="false">IF(OR(WEEKDAY(A173-1)=1,WEEKDAY(A173-1)=7),IF(OR(WEEKDAY(A173-2)=1,WEEKDAY(A173-2)=7),A173-3,A173-2),A173-1)</f>
        <v>39871</v>
      </c>
      <c r="C173" s="105" t="n">
        <v>39868</v>
      </c>
      <c r="D173" s="105" t="n">
        <v>39864</v>
      </c>
      <c r="E173" s="105" t="n">
        <v>39859</v>
      </c>
    </row>
    <row r="174" customFormat="false" ht="12.75" hidden="false" customHeight="false" outlineLevel="0" collapsed="false">
      <c r="A174" s="105" t="n">
        <v>39904</v>
      </c>
      <c r="B174" s="105" t="n">
        <f aca="false">IF(OR(WEEKDAY(A174-1)=1,WEEKDAY(A174-1)=7),IF(OR(WEEKDAY(A174-2)=1,WEEKDAY(A174-2)=7),A174-3,A174-2),A174-1)</f>
        <v>39903</v>
      </c>
      <c r="C174" s="105" t="n">
        <v>39898</v>
      </c>
      <c r="D174" s="105" t="n">
        <v>39892</v>
      </c>
      <c r="E174" s="105" t="n">
        <v>39887</v>
      </c>
    </row>
    <row r="175" customFormat="false" ht="12.75" hidden="false" customHeight="false" outlineLevel="0" collapsed="false">
      <c r="A175" s="105" t="n">
        <v>39934</v>
      </c>
      <c r="B175" s="105" t="n">
        <f aca="false">IF(OR(WEEKDAY(A175-1)=1,WEEKDAY(A175-1)=7),IF(OR(WEEKDAY(A175-2)=1,WEEKDAY(A175-2)=7),A175-3,A175-2),A175-1)</f>
        <v>39933</v>
      </c>
      <c r="C175" s="105" t="n">
        <v>39930</v>
      </c>
      <c r="D175" s="105" t="n">
        <v>39923</v>
      </c>
      <c r="E175" s="105" t="n">
        <v>39918</v>
      </c>
    </row>
    <row r="176" customFormat="false" ht="12.75" hidden="false" customHeight="false" outlineLevel="0" collapsed="false">
      <c r="A176" s="105" t="n">
        <v>39965</v>
      </c>
      <c r="B176" s="105" t="n">
        <f aca="false">IF(OR(WEEKDAY(A176-1)=1,WEEKDAY(A176-1)=7),IF(OR(WEEKDAY(A176-2)=1,WEEKDAY(A176-2)=7),A176-3,A176-2),A176-1)</f>
        <v>39962</v>
      </c>
      <c r="C176" s="105" t="n">
        <v>39959</v>
      </c>
      <c r="D176" s="105" t="n">
        <v>39953</v>
      </c>
      <c r="E176" s="105" t="n">
        <v>39948</v>
      </c>
    </row>
    <row r="177" customFormat="false" ht="12.75" hidden="false" customHeight="false" outlineLevel="0" collapsed="false">
      <c r="A177" s="105" t="n">
        <v>39995</v>
      </c>
      <c r="B177" s="105" t="n">
        <f aca="false">IF(OR(WEEKDAY(A177-1)=1,WEEKDAY(A177-1)=7),IF(OR(WEEKDAY(A177-2)=1,WEEKDAY(A177-2)=7),A177-3,A177-2),A177-1)</f>
        <v>39994</v>
      </c>
      <c r="C177" s="105" t="n">
        <v>39989</v>
      </c>
      <c r="D177" s="105" t="n">
        <v>39984</v>
      </c>
      <c r="E177" s="105" t="n">
        <v>39979</v>
      </c>
    </row>
    <row r="178" customFormat="false" ht="12.75" hidden="false" customHeight="false" outlineLevel="0" collapsed="false">
      <c r="A178" s="105" t="n">
        <v>40026</v>
      </c>
      <c r="B178" s="105" t="n">
        <f aca="false">IF(OR(WEEKDAY(A178-1)=1,WEEKDAY(A178-1)=7),IF(OR(WEEKDAY(A178-2)=1,WEEKDAY(A178-2)=7),A178-3,A178-2),A178-1)</f>
        <v>40025</v>
      </c>
      <c r="C178" s="105" t="n">
        <v>40022</v>
      </c>
      <c r="D178" s="105" t="n">
        <v>40014</v>
      </c>
      <c r="E178" s="105" t="n">
        <v>40009</v>
      </c>
    </row>
    <row r="179" customFormat="false" ht="12.75" hidden="false" customHeight="false" outlineLevel="0" collapsed="false">
      <c r="A179" s="105" t="n">
        <v>40057</v>
      </c>
      <c r="B179" s="105" t="n">
        <f aca="false">IF(OR(WEEKDAY(A179-1)=1,WEEKDAY(A179-1)=7),IF(OR(WEEKDAY(A179-2)=1,WEEKDAY(A179-2)=7),A179-3,A179-2),A179-1)</f>
        <v>40056</v>
      </c>
      <c r="C179" s="105" t="n">
        <v>40051</v>
      </c>
      <c r="D179" s="105" t="n">
        <v>40045</v>
      </c>
      <c r="E179" s="105" t="n">
        <v>40040</v>
      </c>
    </row>
    <row r="180" customFormat="false" ht="12.75" hidden="false" customHeight="false" outlineLevel="0" collapsed="false">
      <c r="A180" s="105" t="n">
        <v>40087</v>
      </c>
      <c r="B180" s="105" t="n">
        <f aca="false">IF(OR(WEEKDAY(A180-1)=1,WEEKDAY(A180-1)=7),IF(OR(WEEKDAY(A180-2)=1,WEEKDAY(A180-2)=7),A180-3,A180-2),A180-1)</f>
        <v>40086</v>
      </c>
      <c r="C180" s="105" t="n">
        <v>40081</v>
      </c>
      <c r="D180" s="105" t="n">
        <v>40076</v>
      </c>
      <c r="E180" s="105" t="n">
        <v>40071</v>
      </c>
    </row>
    <row r="181" customFormat="false" ht="12.75" hidden="false" customHeight="false" outlineLevel="0" collapsed="false">
      <c r="A181" s="105" t="n">
        <v>40118</v>
      </c>
      <c r="B181" s="105" t="n">
        <f aca="false">IF(OR(WEEKDAY(A181-1)=1,WEEKDAY(A181-1)=7),IF(OR(WEEKDAY(A181-2)=1,WEEKDAY(A181-2)=7),A181-3,A181-2),A181-1)</f>
        <v>40116</v>
      </c>
      <c r="C181" s="105" t="n">
        <v>40113</v>
      </c>
      <c r="D181" s="105" t="n">
        <v>40106</v>
      </c>
      <c r="E181" s="105" t="n">
        <v>40101</v>
      </c>
    </row>
    <row r="182" customFormat="false" ht="12.75" hidden="false" customHeight="false" outlineLevel="0" collapsed="false">
      <c r="A182" s="105" t="n">
        <v>40148</v>
      </c>
      <c r="B182" s="105" t="n">
        <f aca="false">IF(OR(WEEKDAY(A182-1)=1,WEEKDAY(A182-1)=7),IF(OR(WEEKDAY(A182-2)=1,WEEKDAY(A182-2)=7),A182-3,A182-2),A182-1)</f>
        <v>40147</v>
      </c>
      <c r="C182" s="105" t="n">
        <v>40141</v>
      </c>
      <c r="D182" s="105" t="n">
        <v>40137</v>
      </c>
      <c r="E182" s="105" t="n">
        <v>40132</v>
      </c>
    </row>
    <row r="183" customFormat="false" ht="12.75" hidden="false" customHeight="false" outlineLevel="0" collapsed="false">
      <c r="A183" s="105" t="n">
        <v>40179</v>
      </c>
      <c r="B183" s="105" t="n">
        <v>40177</v>
      </c>
      <c r="C183" s="105" t="n">
        <v>40175</v>
      </c>
      <c r="D183" s="105" t="n">
        <v>40167</v>
      </c>
      <c r="E183" s="105" t="n">
        <v>40162</v>
      </c>
    </row>
    <row r="184" customFormat="false" ht="12.75" hidden="false" customHeight="false" outlineLevel="0" collapsed="false">
      <c r="A184" s="105" t="n">
        <v>40210</v>
      </c>
      <c r="B184" s="105" t="n">
        <f aca="false">IF(OR(WEEKDAY(A184-1)=1,WEEKDAY(A184-1)=7),IF(OR(WEEKDAY(A184-2)=1,WEEKDAY(A184-2)=7),A184-3,A184-2),A184-1)</f>
        <v>40207</v>
      </c>
      <c r="C184" s="105" t="n">
        <v>40204</v>
      </c>
      <c r="D184" s="105" t="n">
        <v>40198</v>
      </c>
      <c r="E184" s="105" t="n">
        <v>40193</v>
      </c>
    </row>
    <row r="185" customFormat="false" ht="12.75" hidden="false" customHeight="false" outlineLevel="0" collapsed="false">
      <c r="A185" s="105" t="n">
        <v>40238</v>
      </c>
      <c r="B185" s="105" t="n">
        <f aca="false">IF(OR(WEEKDAY(A185-1)=1,WEEKDAY(A185-1)=7),IF(OR(WEEKDAY(A185-2)=1,WEEKDAY(A185-2)=7),A185-3,A185-2),A185-1)</f>
        <v>40235</v>
      </c>
      <c r="C185" s="105" t="n">
        <v>40232</v>
      </c>
      <c r="D185" s="105" t="n">
        <v>40229</v>
      </c>
      <c r="E185" s="105" t="n">
        <v>40224</v>
      </c>
    </row>
    <row r="186" customFormat="false" ht="12.75" hidden="false" customHeight="false" outlineLevel="0" collapsed="false">
      <c r="A186" s="105" t="n">
        <v>40269</v>
      </c>
      <c r="B186" s="105" t="n">
        <f aca="false">IF(OR(WEEKDAY(A186-1)=1,WEEKDAY(A186-1)=7),IF(OR(WEEKDAY(A186-2)=1,WEEKDAY(A186-2)=7),A186-3,A186-2),A186-1)</f>
        <v>40268</v>
      </c>
      <c r="C186" s="105" t="n">
        <v>40263</v>
      </c>
      <c r="D186" s="105" t="n">
        <v>40257</v>
      </c>
      <c r="E186" s="105" t="n">
        <v>40252</v>
      </c>
    </row>
    <row r="187" customFormat="false" ht="12.75" hidden="false" customHeight="false" outlineLevel="0" collapsed="false">
      <c r="A187" s="105" t="n">
        <v>40299</v>
      </c>
      <c r="B187" s="105" t="n">
        <f aca="false">IF(OR(WEEKDAY(A187-1)=1,WEEKDAY(A187-1)=7),IF(OR(WEEKDAY(A187-2)=1,WEEKDAY(A187-2)=7),A187-3,A187-2),A187-1)</f>
        <v>40298</v>
      </c>
      <c r="C187" s="105" t="n">
        <v>40295</v>
      </c>
      <c r="D187" s="105" t="n">
        <v>40288</v>
      </c>
      <c r="E187" s="105" t="n">
        <v>40283</v>
      </c>
    </row>
    <row r="188" customFormat="false" ht="12.75" hidden="false" customHeight="false" outlineLevel="0" collapsed="false">
      <c r="A188" s="105" t="n">
        <v>40330</v>
      </c>
      <c r="B188" s="105" t="n">
        <f aca="false">IF(OR(WEEKDAY(A188-1)=1,WEEKDAY(A188-1)=7),IF(OR(WEEKDAY(A188-2)=1,WEEKDAY(A188-2)=7),A188-3,A188-2),A188-1)</f>
        <v>40329</v>
      </c>
      <c r="C188" s="105" t="n">
        <v>40323</v>
      </c>
      <c r="D188" s="105" t="n">
        <v>40318</v>
      </c>
      <c r="E188" s="105" t="n">
        <v>40313</v>
      </c>
    </row>
    <row r="189" customFormat="false" ht="12.75" hidden="false" customHeight="false" outlineLevel="0" collapsed="false">
      <c r="A189" s="105" t="n">
        <v>40360</v>
      </c>
      <c r="B189" s="105" t="n">
        <f aca="false">IF(OR(WEEKDAY(A189-1)=1,WEEKDAY(A189-1)=7),IF(OR(WEEKDAY(A189-2)=1,WEEKDAY(A189-2)=7),A189-3,A189-2),A189-1)</f>
        <v>40359</v>
      </c>
      <c r="C189" s="105" t="n">
        <v>40354</v>
      </c>
      <c r="D189" s="105" t="n">
        <v>40349</v>
      </c>
      <c r="E189" s="105" t="n">
        <v>40344</v>
      </c>
    </row>
    <row r="190" customFormat="false" ht="12.75" hidden="false" customHeight="false" outlineLevel="0" collapsed="false">
      <c r="A190" s="105" t="n">
        <v>40391</v>
      </c>
      <c r="B190" s="105" t="n">
        <f aca="false">IF(OR(WEEKDAY(A190-1)=1,WEEKDAY(A190-1)=7),IF(OR(WEEKDAY(A190-2)=1,WEEKDAY(A190-2)=7),A190-3,A190-2),A190-1)</f>
        <v>40389</v>
      </c>
      <c r="C190" s="105" t="n">
        <v>40386</v>
      </c>
      <c r="D190" s="105" t="n">
        <v>40379</v>
      </c>
      <c r="E190" s="105" t="n">
        <v>40374</v>
      </c>
    </row>
    <row r="191" customFormat="false" ht="12.75" hidden="false" customHeight="false" outlineLevel="0" collapsed="false">
      <c r="A191" s="105" t="n">
        <v>40422</v>
      </c>
      <c r="B191" s="105" t="n">
        <f aca="false">IF(OR(WEEKDAY(A191-1)=1,WEEKDAY(A191-1)=7),IF(OR(WEEKDAY(A191-2)=1,WEEKDAY(A191-2)=7),A191-3,A191-2),A191-1)</f>
        <v>40421</v>
      </c>
      <c r="C191" s="105" t="n">
        <v>40416</v>
      </c>
      <c r="D191" s="105" t="n">
        <v>40410</v>
      </c>
      <c r="E191" s="105" t="n">
        <v>40405</v>
      </c>
    </row>
    <row r="192" customFormat="false" ht="12.75" hidden="false" customHeight="false" outlineLevel="0" collapsed="false">
      <c r="A192" s="105" t="n">
        <v>40452</v>
      </c>
      <c r="B192" s="105" t="n">
        <f aca="false">IF(OR(WEEKDAY(A192-1)=1,WEEKDAY(A192-1)=7),IF(OR(WEEKDAY(A192-2)=1,WEEKDAY(A192-2)=7),A192-3,A192-2),A192-1)</f>
        <v>40451</v>
      </c>
      <c r="C192" s="105" t="n">
        <v>40448</v>
      </c>
      <c r="D192" s="105" t="n">
        <v>40441</v>
      </c>
      <c r="E192" s="105" t="n">
        <v>40436</v>
      </c>
    </row>
    <row r="193" customFormat="false" ht="12.75" hidden="false" customHeight="false" outlineLevel="0" collapsed="false">
      <c r="A193" s="105" t="n">
        <v>40483</v>
      </c>
      <c r="B193" s="105" t="n">
        <f aca="false">IF(OR(WEEKDAY(A193-1)=1,WEEKDAY(A193-1)=7),IF(OR(WEEKDAY(A193-2)=1,WEEKDAY(A193-2)=7),A193-3,A193-2),A193-1)</f>
        <v>40480</v>
      </c>
      <c r="C193" s="105" t="n">
        <v>40477</v>
      </c>
      <c r="D193" s="105" t="n">
        <v>40471</v>
      </c>
      <c r="E193" s="105" t="n">
        <v>40466</v>
      </c>
    </row>
    <row r="194" customFormat="false" ht="12.75" hidden="false" customHeight="false" outlineLevel="0" collapsed="false">
      <c r="A194" s="105" t="n">
        <v>40513</v>
      </c>
      <c r="B194" s="105" t="n">
        <f aca="false">IF(OR(WEEKDAY(A194-1)=1,WEEKDAY(A194-1)=7),IF(OR(WEEKDAY(A194-2)=1,WEEKDAY(A194-2)=7),A194-3,A194-2),A194-1)</f>
        <v>40512</v>
      </c>
      <c r="C194" s="105" t="n">
        <v>40507</v>
      </c>
      <c r="D194" s="105" t="n">
        <v>40502</v>
      </c>
      <c r="E194" s="105" t="n">
        <v>40497</v>
      </c>
    </row>
    <row r="195" customFormat="false" ht="12.75" hidden="false" customHeight="false" outlineLevel="0" collapsed="false">
      <c r="A195" s="105" t="n">
        <v>40544</v>
      </c>
      <c r="B195" s="105" t="n">
        <v>40542</v>
      </c>
      <c r="C195" s="105" t="n">
        <v>40539</v>
      </c>
      <c r="D195" s="105" t="n">
        <v>40532</v>
      </c>
      <c r="E195" s="105" t="n">
        <v>40527</v>
      </c>
    </row>
    <row r="196" customFormat="false" ht="12.75" hidden="false" customHeight="false" outlineLevel="0" collapsed="false">
      <c r="A196" s="105" t="n">
        <v>40575</v>
      </c>
      <c r="B196" s="105" t="n">
        <f aca="false">IF(OR(WEEKDAY(A196-1)=1,WEEKDAY(A196-1)=7),IF(OR(WEEKDAY(A196-2)=1,WEEKDAY(A196-2)=7),A196-3,A196-2),A196-1)</f>
        <v>40574</v>
      </c>
      <c r="C196" s="105" t="n">
        <v>40569</v>
      </c>
      <c r="D196" s="105" t="n">
        <v>40563</v>
      </c>
      <c r="E196" s="105" t="n">
        <v>40558</v>
      </c>
    </row>
    <row r="197" customFormat="false" ht="12.75" hidden="false" customHeight="false" outlineLevel="0" collapsed="false">
      <c r="A197" s="105" t="n">
        <v>40603</v>
      </c>
      <c r="B197" s="105" t="n">
        <f aca="false">IF(OR(WEEKDAY(A197-1)=1,WEEKDAY(A197-1)=7),IF(OR(WEEKDAY(A197-2)=1,WEEKDAY(A197-2)=7),A197-3,A197-2),A197-1)</f>
        <v>40602</v>
      </c>
      <c r="C197" s="105" t="n">
        <v>40597</v>
      </c>
      <c r="D197" s="105" t="n">
        <v>40594</v>
      </c>
      <c r="E197" s="105" t="n">
        <v>40589</v>
      </c>
    </row>
    <row r="198" customFormat="false" ht="12.75" hidden="false" customHeight="false" outlineLevel="0" collapsed="false">
      <c r="A198" s="105" t="n">
        <v>40634</v>
      </c>
      <c r="B198" s="105" t="n">
        <f aca="false">IF(OR(WEEKDAY(A198-1)=1,WEEKDAY(A198-1)=7),IF(OR(WEEKDAY(A198-2)=1,WEEKDAY(A198-2)=7),A198-3,A198-2),A198-1)</f>
        <v>40633</v>
      </c>
      <c r="C198" s="105" t="n">
        <v>40630</v>
      </c>
      <c r="D198" s="105" t="n">
        <v>40622</v>
      </c>
      <c r="E198" s="105" t="n">
        <v>40617</v>
      </c>
    </row>
    <row r="199" customFormat="false" ht="12.75" hidden="false" customHeight="false" outlineLevel="0" collapsed="false">
      <c r="A199" s="105" t="n">
        <v>40664</v>
      </c>
      <c r="B199" s="105" t="n">
        <f aca="false">IF(OR(WEEKDAY(A199-1)=1,WEEKDAY(A199-1)=7),IF(OR(WEEKDAY(A199-2)=1,WEEKDAY(A199-2)=7),A199-3,A199-2),A199-1)</f>
        <v>40662</v>
      </c>
      <c r="C199" s="105" t="n">
        <v>40659</v>
      </c>
      <c r="D199" s="105" t="n">
        <v>40653</v>
      </c>
      <c r="E199" s="105" t="n">
        <v>40648</v>
      </c>
    </row>
    <row r="200" customFormat="false" ht="12.75" hidden="false" customHeight="false" outlineLevel="0" collapsed="false">
      <c r="A200" s="105" t="n">
        <v>40695</v>
      </c>
      <c r="B200" s="105" t="n">
        <f aca="false">IF(OR(WEEKDAY(A200-1)=1,WEEKDAY(A200-1)=7),IF(OR(WEEKDAY(A200-2)=1,WEEKDAY(A200-2)=7),A200-3,A200-2),A200-1)</f>
        <v>40694</v>
      </c>
      <c r="C200" s="105" t="n">
        <v>40688</v>
      </c>
      <c r="D200" s="105" t="n">
        <v>40683</v>
      </c>
      <c r="E200" s="105" t="n">
        <v>40678</v>
      </c>
    </row>
    <row r="201" customFormat="false" ht="12.75" hidden="false" customHeight="false" outlineLevel="0" collapsed="false">
      <c r="A201" s="105" t="n">
        <v>40725</v>
      </c>
      <c r="B201" s="105" t="n">
        <f aca="false">IF(OR(WEEKDAY(A201-1)=1,WEEKDAY(A201-1)=7),IF(OR(WEEKDAY(A201-2)=1,WEEKDAY(A201-2)=7),A201-3,A201-2),A201-1)</f>
        <v>40724</v>
      </c>
      <c r="C201" s="105" t="n">
        <v>40721</v>
      </c>
      <c r="D201" s="105" t="n">
        <v>40714</v>
      </c>
      <c r="E201" s="105" t="n">
        <v>40709</v>
      </c>
    </row>
    <row r="202" customFormat="false" ht="12.75" hidden="false" customHeight="false" outlineLevel="0" collapsed="false">
      <c r="A202" s="105" t="n">
        <v>40756</v>
      </c>
      <c r="B202" s="105" t="n">
        <f aca="false">IF(OR(WEEKDAY(A202-1)=1,WEEKDAY(A202-1)=7),IF(OR(WEEKDAY(A202-2)=1,WEEKDAY(A202-2)=7),A202-3,A202-2),A202-1)</f>
        <v>40753</v>
      </c>
      <c r="C202" s="105" t="n">
        <v>40750</v>
      </c>
      <c r="D202" s="105" t="n">
        <v>40744</v>
      </c>
      <c r="E202" s="105" t="n">
        <v>40739</v>
      </c>
    </row>
    <row r="203" customFormat="false" ht="12.75" hidden="false" customHeight="false" outlineLevel="0" collapsed="false">
      <c r="A203" s="105" t="n">
        <v>40787</v>
      </c>
      <c r="B203" s="105" t="n">
        <f aca="false">IF(OR(WEEKDAY(A203-1)=1,WEEKDAY(A203-1)=7),IF(OR(WEEKDAY(A203-2)=1,WEEKDAY(A203-2)=7),A203-3,A203-2),A203-1)</f>
        <v>40786</v>
      </c>
      <c r="C203" s="105" t="n">
        <v>40781</v>
      </c>
      <c r="D203" s="105" t="n">
        <v>40775</v>
      </c>
      <c r="E203" s="105" t="n">
        <v>40770</v>
      </c>
    </row>
    <row r="204" customFormat="false" ht="12.75" hidden="false" customHeight="false" outlineLevel="0" collapsed="false">
      <c r="A204" s="105" t="n">
        <v>40817</v>
      </c>
      <c r="B204" s="105" t="n">
        <f aca="false">IF(OR(WEEKDAY(A204-1)=1,WEEKDAY(A204-1)=7),IF(OR(WEEKDAY(A204-2)=1,WEEKDAY(A204-2)=7),A204-3,A204-2),A204-1)</f>
        <v>40816</v>
      </c>
      <c r="C204" s="105" t="n">
        <v>40813</v>
      </c>
      <c r="D204" s="105" t="n">
        <v>40806</v>
      </c>
      <c r="E204" s="105" t="n">
        <v>40801</v>
      </c>
    </row>
    <row r="205" customFormat="false" ht="12.75" hidden="false" customHeight="false" outlineLevel="0" collapsed="false">
      <c r="A205" s="105" t="n">
        <v>40848</v>
      </c>
      <c r="B205" s="105" t="n">
        <f aca="false">IF(OR(WEEKDAY(A205-1)=1,WEEKDAY(A205-1)=7),IF(OR(WEEKDAY(A205-2)=1,WEEKDAY(A205-2)=7),A205-3,A205-2),A205-1)</f>
        <v>40847</v>
      </c>
      <c r="C205" s="105" t="n">
        <v>40842</v>
      </c>
      <c r="D205" s="105" t="n">
        <v>40836</v>
      </c>
      <c r="E205" s="105" t="n">
        <v>40831</v>
      </c>
    </row>
    <row r="206" customFormat="false" ht="12.75" hidden="false" customHeight="false" outlineLevel="0" collapsed="false">
      <c r="A206" s="105" t="n">
        <v>40878</v>
      </c>
      <c r="B206" s="105" t="n">
        <f aca="false">IF(OR(WEEKDAY(A206-1)=1,WEEKDAY(A206-1)=7),IF(OR(WEEKDAY(A206-2)=1,WEEKDAY(A206-2)=7),A206-3,A206-2),A206-1)</f>
        <v>40877</v>
      </c>
      <c r="C206" s="105" t="n">
        <v>40872</v>
      </c>
      <c r="D206" s="105" t="n">
        <v>40867</v>
      </c>
      <c r="E206" s="105" t="n">
        <v>40862</v>
      </c>
    </row>
    <row r="207" customFormat="false" ht="12.75" hidden="false" customHeight="false" outlineLevel="0" collapsed="false">
      <c r="A207" s="105" t="n">
        <v>40909</v>
      </c>
      <c r="B207" s="105" t="n">
        <f aca="false">IF(OR(WEEKDAY(A207-1)=1,WEEKDAY(A207-1)=7),IF(OR(WEEKDAY(A207-2)=1,WEEKDAY(A207-2)=7),A207-3,A207-2),A207-1)</f>
        <v>40907</v>
      </c>
      <c r="C207" s="105" t="n">
        <v>40904</v>
      </c>
      <c r="D207" s="105" t="n">
        <v>40897</v>
      </c>
      <c r="E207" s="105" t="n">
        <v>40892</v>
      </c>
    </row>
    <row r="208" customFormat="false" ht="12.75" hidden="false" customHeight="false" outlineLevel="0" collapsed="false">
      <c r="A208" s="105" t="n">
        <v>40940</v>
      </c>
      <c r="B208" s="105" t="n">
        <f aca="false">IF(OR(WEEKDAY(A208-1)=1,WEEKDAY(A208-1)=7),IF(OR(WEEKDAY(A208-2)=1,WEEKDAY(A208-2)=7),A208-3,A208-2),A208-1)</f>
        <v>40939</v>
      </c>
      <c r="C208" s="105" t="n">
        <v>40934</v>
      </c>
      <c r="D208" s="105" t="n">
        <v>40928</v>
      </c>
      <c r="E208" s="105" t="n">
        <v>40923</v>
      </c>
    </row>
    <row r="209" customFormat="false" ht="12.75" hidden="false" customHeight="false" outlineLevel="0" collapsed="false">
      <c r="A209" s="105" t="n">
        <v>40969</v>
      </c>
      <c r="B209" s="105" t="n">
        <f aca="false">IF(OR(WEEKDAY(A209-1)=1,WEEKDAY(A209-1)=7),IF(OR(WEEKDAY(A209-2)=1,WEEKDAY(A209-2)=7),A209-3,A209-2),A209-1)</f>
        <v>40968</v>
      </c>
      <c r="C209" s="105" t="n">
        <v>40963</v>
      </c>
      <c r="D209" s="105" t="n">
        <v>40959</v>
      </c>
      <c r="E209" s="105" t="n">
        <v>40954</v>
      </c>
    </row>
    <row r="210" customFormat="false" ht="12.75" hidden="false" customHeight="false" outlineLevel="0" collapsed="false">
      <c r="A210" s="105" t="n">
        <v>41000</v>
      </c>
      <c r="B210" s="105" t="n">
        <f aca="false">IF(OR(WEEKDAY(A210-1)=1,WEEKDAY(A210-1)=7),IF(OR(WEEKDAY(A210-2)=1,WEEKDAY(A210-2)=7),A210-3,A210-2),A210-1)</f>
        <v>40998</v>
      </c>
      <c r="C210" s="105" t="n">
        <v>40995</v>
      </c>
      <c r="D210" s="105" t="n">
        <v>40988</v>
      </c>
      <c r="E210" s="105" t="n">
        <v>40983</v>
      </c>
    </row>
    <row r="211" customFormat="false" ht="12.75" hidden="false" customHeight="false" outlineLevel="0" collapsed="false">
      <c r="A211" s="105" t="n">
        <v>41030</v>
      </c>
      <c r="B211" s="105" t="n">
        <f aca="false">IF(OR(WEEKDAY(A211-1)=1,WEEKDAY(A211-1)=7),IF(OR(WEEKDAY(A211-2)=1,WEEKDAY(A211-2)=7),A211-3,A211-2),A211-1)</f>
        <v>41029</v>
      </c>
      <c r="C211" s="105" t="n">
        <v>41024</v>
      </c>
      <c r="D211" s="105" t="n">
        <v>41019</v>
      </c>
      <c r="E211" s="105" t="n">
        <v>41014</v>
      </c>
    </row>
    <row r="212" customFormat="false" ht="12.75" hidden="false" customHeight="false" outlineLevel="0" collapsed="false">
      <c r="A212" s="105" t="n">
        <v>41061</v>
      </c>
      <c r="B212" s="105" t="n">
        <f aca="false">IF(OR(WEEKDAY(A212-1)=1,WEEKDAY(A212-1)=7),IF(OR(WEEKDAY(A212-2)=1,WEEKDAY(A212-2)=7),A212-3,A212-2),A212-1)</f>
        <v>41060</v>
      </c>
      <c r="C212" s="105" t="n">
        <v>41057</v>
      </c>
      <c r="D212" s="105" t="n">
        <v>41049</v>
      </c>
      <c r="E212" s="105" t="n">
        <v>41044</v>
      </c>
    </row>
    <row r="213" customFormat="false" ht="12.75" hidden="false" customHeight="false" outlineLevel="0" collapsed="false">
      <c r="A213" s="105" t="n">
        <v>41091</v>
      </c>
      <c r="B213" s="105" t="n">
        <f aca="false">IF(OR(WEEKDAY(A213-1)=1,WEEKDAY(A213-1)=7),IF(OR(WEEKDAY(A213-2)=1,WEEKDAY(A213-2)=7),A213-3,A213-2),A213-1)</f>
        <v>41089</v>
      </c>
      <c r="C213" s="105" t="n">
        <v>41086</v>
      </c>
      <c r="D213" s="105" t="n">
        <v>41080</v>
      </c>
      <c r="E213" s="105" t="n">
        <v>41075</v>
      </c>
    </row>
    <row r="214" customFormat="false" ht="12.75" hidden="false" customHeight="false" outlineLevel="0" collapsed="false">
      <c r="A214" s="105" t="n">
        <v>41122</v>
      </c>
      <c r="B214" s="105" t="n">
        <f aca="false">IF(OR(WEEKDAY(A214-1)=1,WEEKDAY(A214-1)=7),IF(OR(WEEKDAY(A214-2)=1,WEEKDAY(A214-2)=7),A214-3,A214-2),A214-1)</f>
        <v>41121</v>
      </c>
      <c r="C214" s="105" t="n">
        <v>41116</v>
      </c>
      <c r="D214" s="105" t="n">
        <v>41110</v>
      </c>
      <c r="E214" s="105" t="n">
        <v>41105</v>
      </c>
    </row>
    <row r="215" customFormat="false" ht="12.75" hidden="false" customHeight="false" outlineLevel="0" collapsed="false">
      <c r="A215" s="105" t="n">
        <v>41153</v>
      </c>
      <c r="B215" s="105" t="n">
        <f aca="false">IF(OR(WEEKDAY(A215-1)=1,WEEKDAY(A215-1)=7),IF(OR(WEEKDAY(A215-2)=1,WEEKDAY(A215-2)=7),A215-3,A215-2),A215-1)</f>
        <v>41152</v>
      </c>
      <c r="C215" s="105" t="n">
        <v>41149</v>
      </c>
      <c r="D215" s="105" t="n">
        <v>41141</v>
      </c>
      <c r="E215" s="105" t="n">
        <v>41136</v>
      </c>
    </row>
    <row r="216" customFormat="false" ht="12.75" hidden="false" customHeight="false" outlineLevel="0" collapsed="false">
      <c r="A216" s="105" t="n">
        <v>41183</v>
      </c>
      <c r="B216" s="105" t="n">
        <f aca="false">IF(OR(WEEKDAY(A216-1)=1,WEEKDAY(A216-1)=7),IF(OR(WEEKDAY(A216-2)=1,WEEKDAY(A216-2)=7),A216-3,A216-2),A216-1)</f>
        <v>41180</v>
      </c>
      <c r="C216" s="105" t="n">
        <v>41177</v>
      </c>
      <c r="D216" s="105" t="n">
        <v>41172</v>
      </c>
      <c r="E216" s="105" t="n">
        <v>41167</v>
      </c>
    </row>
    <row r="217" customFormat="false" ht="12.75" hidden="false" customHeight="false" outlineLevel="0" collapsed="false">
      <c r="A217" s="105" t="n">
        <v>41214</v>
      </c>
      <c r="B217" s="105" t="n">
        <f aca="false">IF(OR(WEEKDAY(A217-1)=1,WEEKDAY(A217-1)=7),IF(OR(WEEKDAY(A217-2)=1,WEEKDAY(A217-2)=7),A217-3,A217-2),A217-1)</f>
        <v>41213</v>
      </c>
      <c r="C217" s="105" t="n">
        <v>41208</v>
      </c>
      <c r="D217" s="105" t="n">
        <v>41202</v>
      </c>
      <c r="E217" s="105" t="n">
        <v>41197</v>
      </c>
    </row>
    <row r="218" customFormat="false" ht="12.75" hidden="false" customHeight="false" outlineLevel="0" collapsed="false">
      <c r="A218" s="105" t="n">
        <v>41244</v>
      </c>
      <c r="B218" s="105" t="n">
        <f aca="false">IF(OR(WEEKDAY(A218-1)=1,WEEKDAY(A218-1)=7),IF(OR(WEEKDAY(A218-2)=1,WEEKDAY(A218-2)=7),A218-3,A218-2),A218-1)</f>
        <v>41243</v>
      </c>
      <c r="C218" s="105" t="n">
        <v>41240</v>
      </c>
      <c r="D218" s="105" t="n">
        <v>41233</v>
      </c>
      <c r="E218" s="105" t="n">
        <v>41228</v>
      </c>
    </row>
    <row r="219" customFormat="false" ht="12.75" hidden="false" customHeight="false" outlineLevel="0" collapsed="false">
      <c r="A219" s="105" t="n">
        <v>41275</v>
      </c>
      <c r="B219" s="105" t="n">
        <v>41273</v>
      </c>
      <c r="C219" s="105" t="n">
        <v>41269</v>
      </c>
      <c r="D219" s="105" t="n">
        <v>41263</v>
      </c>
      <c r="E219" s="105" t="n">
        <v>41258</v>
      </c>
    </row>
    <row r="220" customFormat="false" ht="12.75" hidden="false" customHeight="false" outlineLevel="0" collapsed="false">
      <c r="A220" s="105" t="n">
        <v>41306</v>
      </c>
      <c r="B220" s="105" t="n">
        <f aca="false">IF(OR(WEEKDAY(A220-1)=1,WEEKDAY(A220-1)=7),IF(OR(WEEKDAY(A220-2)=1,WEEKDAY(A220-2)=7),A220-3,A220-2),A220-1)</f>
        <v>41305</v>
      </c>
      <c r="C220" s="105" t="n">
        <v>41302</v>
      </c>
      <c r="D220" s="105" t="n">
        <v>41294</v>
      </c>
      <c r="E220" s="105" t="n">
        <v>41289</v>
      </c>
    </row>
    <row r="221" customFormat="false" ht="12.75" hidden="false" customHeight="false" outlineLevel="0" collapsed="false">
      <c r="A221" s="105" t="n">
        <v>41334</v>
      </c>
      <c r="B221" s="105" t="n">
        <f aca="false">IF(OR(WEEKDAY(A221-1)=1,WEEKDAY(A221-1)=7),IF(OR(WEEKDAY(A221-2)=1,WEEKDAY(A221-2)=7),A221-3,A221-2),A221-1)</f>
        <v>41333</v>
      </c>
      <c r="C221" s="105" t="n">
        <v>41330</v>
      </c>
      <c r="D221" s="105" t="n">
        <v>41325</v>
      </c>
      <c r="E221" s="105" t="n">
        <v>41320</v>
      </c>
    </row>
    <row r="222" customFormat="false" ht="12.75" hidden="false" customHeight="false" outlineLevel="0" collapsed="false">
      <c r="A222" s="105" t="n">
        <v>41365</v>
      </c>
      <c r="B222" s="105" t="n">
        <f aca="false">IF(OR(WEEKDAY(A222-1)=1,WEEKDAY(A222-1)=7),IF(OR(WEEKDAY(A222-2)=1,WEEKDAY(A222-2)=7),A222-3,A222-2),A222-1)</f>
        <v>41362</v>
      </c>
      <c r="C222" s="105" t="n">
        <v>41358</v>
      </c>
      <c r="D222" s="105" t="n">
        <v>41353</v>
      </c>
      <c r="E222" s="105" t="n">
        <v>41348</v>
      </c>
    </row>
    <row r="223" customFormat="false" ht="12.75" hidden="false" customHeight="false" outlineLevel="0" collapsed="false">
      <c r="A223" s="105" t="n">
        <v>41395</v>
      </c>
      <c r="B223" s="105" t="n">
        <f aca="false">IF(OR(WEEKDAY(A223-1)=1,WEEKDAY(A223-1)=7),IF(OR(WEEKDAY(A223-2)=1,WEEKDAY(A223-2)=7),A223-3,A223-2),A223-1)</f>
        <v>41394</v>
      </c>
      <c r="C223" s="105" t="n">
        <v>41389</v>
      </c>
      <c r="D223" s="105" t="n">
        <v>41384</v>
      </c>
      <c r="E223" s="105" t="n">
        <v>41379</v>
      </c>
    </row>
    <row r="224" customFormat="false" ht="12.75" hidden="false" customHeight="false" outlineLevel="0" collapsed="false">
      <c r="A224" s="105" t="n">
        <v>41426</v>
      </c>
      <c r="B224" s="105" t="n">
        <f aca="false">IF(OR(WEEKDAY(A224-1)=1,WEEKDAY(A224-1)=7),IF(OR(WEEKDAY(A224-2)=1,WEEKDAY(A224-2)=7),A224-3,A224-2),A224-1)</f>
        <v>41425</v>
      </c>
      <c r="C224" s="105" t="n">
        <v>41422</v>
      </c>
      <c r="D224" s="105" t="n">
        <v>41414</v>
      </c>
      <c r="E224" s="105" t="n">
        <v>41409</v>
      </c>
    </row>
    <row r="225" customFormat="false" ht="12.75" hidden="false" customHeight="false" outlineLevel="0" collapsed="false">
      <c r="A225" s="105" t="n">
        <v>41456</v>
      </c>
      <c r="B225" s="105" t="n">
        <f aca="false">IF(OR(WEEKDAY(A225-1)=1,WEEKDAY(A225-1)=7),IF(OR(WEEKDAY(A225-2)=1,WEEKDAY(A225-2)=7),A225-3,A225-2),A225-1)</f>
        <v>41453</v>
      </c>
      <c r="C225" s="105" t="n">
        <v>41450</v>
      </c>
      <c r="D225" s="105" t="n">
        <v>41445</v>
      </c>
      <c r="E225" s="105" t="n">
        <v>41440</v>
      </c>
    </row>
    <row r="226" customFormat="false" ht="12.75" hidden="false" customHeight="false" outlineLevel="0" collapsed="false">
      <c r="A226" s="105" t="n">
        <v>41487</v>
      </c>
      <c r="B226" s="105" t="n">
        <f aca="false">IF(OR(WEEKDAY(A226-1)=1,WEEKDAY(A226-1)=7),IF(OR(WEEKDAY(A226-2)=1,WEEKDAY(A226-2)=7),A226-3,A226-2),A226-1)</f>
        <v>41486</v>
      </c>
      <c r="C226" s="105" t="n">
        <v>41481</v>
      </c>
      <c r="D226" s="105" t="n">
        <v>41475</v>
      </c>
      <c r="E226" s="105" t="n">
        <v>41470</v>
      </c>
    </row>
    <row r="227" customFormat="false" ht="12.75" hidden="false" customHeight="false" outlineLevel="0" collapsed="false">
      <c r="A227" s="105" t="n">
        <v>41518</v>
      </c>
      <c r="B227" s="105" t="n">
        <f aca="false">IF(OR(WEEKDAY(A227-1)=1,WEEKDAY(A227-1)=7),IF(OR(WEEKDAY(A227-2)=1,WEEKDAY(A227-2)=7),A227-3,A227-2),A227-1)</f>
        <v>41516</v>
      </c>
      <c r="C227" s="105" t="n">
        <v>41513</v>
      </c>
      <c r="D227" s="105" t="n">
        <v>41506</v>
      </c>
      <c r="E227" s="105" t="n">
        <v>41501</v>
      </c>
    </row>
    <row r="228" customFormat="false" ht="12.75" hidden="false" customHeight="false" outlineLevel="0" collapsed="false">
      <c r="A228" s="105" t="n">
        <v>41548</v>
      </c>
      <c r="B228" s="105" t="n">
        <f aca="false">IF(OR(WEEKDAY(A228-1)=1,WEEKDAY(A228-1)=7),IF(OR(WEEKDAY(A228-2)=1,WEEKDAY(A228-2)=7),A228-3,A228-2),A228-1)</f>
        <v>41547</v>
      </c>
      <c r="C228" s="105" t="n">
        <v>41542</v>
      </c>
      <c r="D228" s="105" t="n">
        <v>41537</v>
      </c>
      <c r="E228" s="105" t="n">
        <v>41532</v>
      </c>
    </row>
    <row r="229" customFormat="false" ht="12.75" hidden="false" customHeight="false" outlineLevel="0" collapsed="false">
      <c r="A229" s="105" t="n">
        <v>41579</v>
      </c>
      <c r="B229" s="105" t="n">
        <f aca="false">IF(OR(WEEKDAY(A229-1)=1,WEEKDAY(A229-1)=7),IF(OR(WEEKDAY(A229-2)=1,WEEKDAY(A229-2)=7),A229-3,A229-2),A229-1)</f>
        <v>41578</v>
      </c>
      <c r="C229" s="105" t="n">
        <v>41575</v>
      </c>
      <c r="D229" s="105" t="n">
        <v>41567</v>
      </c>
      <c r="E229" s="105" t="n">
        <v>41562</v>
      </c>
    </row>
    <row r="230" customFormat="false" ht="12.75" hidden="false" customHeight="false" outlineLevel="0" collapsed="false">
      <c r="A230" s="105" t="n">
        <v>41609</v>
      </c>
      <c r="B230" s="105" t="n">
        <f aca="false">IF(OR(WEEKDAY(A230-1)=1,WEEKDAY(A230-1)=7),IF(OR(WEEKDAY(A230-2)=1,WEEKDAY(A230-2)=7),A230-3,A230-2),A230-1)</f>
        <v>41607</v>
      </c>
      <c r="C230" s="105" t="n">
        <v>41603</v>
      </c>
      <c r="D230" s="105" t="n">
        <v>41598</v>
      </c>
      <c r="E230" s="105" t="n">
        <v>41593</v>
      </c>
    </row>
    <row r="231" customFormat="false" ht="12.75" hidden="false" customHeight="false" outlineLevel="0" collapsed="false">
      <c r="A231" s="105" t="n">
        <v>41640</v>
      </c>
      <c r="B231" s="105" t="n">
        <v>41638</v>
      </c>
      <c r="C231" s="105" t="n">
        <v>41634</v>
      </c>
      <c r="D231" s="105" t="n">
        <v>41628</v>
      </c>
      <c r="E231" s="105" t="n">
        <v>41623</v>
      </c>
    </row>
    <row r="232" customFormat="false" ht="12.75" hidden="false" customHeight="false" outlineLevel="0" collapsed="false">
      <c r="A232" s="105" t="n">
        <v>41671</v>
      </c>
      <c r="B232" s="105" t="n">
        <f aca="false">IF(OR(WEEKDAY(A232-1)=1,WEEKDAY(A232-1)=7),IF(OR(WEEKDAY(A232-2)=1,WEEKDAY(A232-2)=7),A232-3,A232-2),A232-1)</f>
        <v>41670</v>
      </c>
      <c r="C232" s="105" t="n">
        <v>41667</v>
      </c>
      <c r="D232" s="105" t="n">
        <v>41659</v>
      </c>
      <c r="E232" s="105" t="n">
        <v>41654</v>
      </c>
    </row>
    <row r="233" customFormat="false" ht="12.75" hidden="false" customHeight="false" outlineLevel="0" collapsed="false">
      <c r="A233" s="105" t="n">
        <v>41699</v>
      </c>
      <c r="B233" s="105" t="n">
        <f aca="false">IF(OR(WEEKDAY(A233-1)=1,WEEKDAY(A233-1)=7),IF(OR(WEEKDAY(A233-2)=1,WEEKDAY(A233-2)=7),A233-3,A233-2),A233-1)</f>
        <v>41698</v>
      </c>
      <c r="C233" s="105" t="n">
        <v>41695</v>
      </c>
      <c r="D233" s="105" t="n">
        <v>41690</v>
      </c>
      <c r="E233" s="105" t="n">
        <v>41685</v>
      </c>
    </row>
    <row r="234" customFormat="false" ht="12.75" hidden="false" customHeight="false" outlineLevel="0" collapsed="false">
      <c r="A234" s="105" t="n">
        <v>41730</v>
      </c>
      <c r="B234" s="105" t="n">
        <f aca="false">IF(OR(WEEKDAY(A234-1)=1,WEEKDAY(A234-1)=7),IF(OR(WEEKDAY(A234-2)=1,WEEKDAY(A234-2)=7),A234-3,A234-2),A234-1)</f>
        <v>41729</v>
      </c>
      <c r="C234" s="105" t="n">
        <v>41724</v>
      </c>
      <c r="D234" s="105" t="n">
        <v>41718</v>
      </c>
      <c r="E234" s="105" t="n">
        <v>41713</v>
      </c>
    </row>
    <row r="235" customFormat="false" ht="12.75" hidden="false" customHeight="false" outlineLevel="0" collapsed="false">
      <c r="A235" s="105" t="n">
        <v>41760</v>
      </c>
      <c r="B235" s="105" t="n">
        <f aca="false">IF(OR(WEEKDAY(A235-1)=1,WEEKDAY(A235-1)=7),IF(OR(WEEKDAY(A235-2)=1,WEEKDAY(A235-2)=7),A235-3,A235-2),A235-1)</f>
        <v>41759</v>
      </c>
      <c r="C235" s="105" t="n">
        <v>41754</v>
      </c>
      <c r="D235" s="105" t="n">
        <v>41749</v>
      </c>
      <c r="E235" s="105" t="n">
        <v>41744</v>
      </c>
    </row>
    <row r="236" customFormat="false" ht="12.75" hidden="false" customHeight="false" outlineLevel="0" collapsed="false">
      <c r="A236" s="105" t="n">
        <v>41791</v>
      </c>
      <c r="B236" s="105" t="n">
        <f aca="false">IF(OR(WEEKDAY(A236-1)=1,WEEKDAY(A236-1)=7),IF(OR(WEEKDAY(A236-2)=1,WEEKDAY(A236-2)=7),A236-3,A236-2),A236-1)</f>
        <v>41789</v>
      </c>
      <c r="C236" s="105" t="n">
        <v>41786</v>
      </c>
      <c r="D236" s="105" t="n">
        <v>41779</v>
      </c>
      <c r="E236" s="105" t="n">
        <v>41774</v>
      </c>
    </row>
    <row r="237" customFormat="false" ht="12.75" hidden="false" customHeight="false" outlineLevel="0" collapsed="false">
      <c r="A237" s="105" t="n">
        <v>41821</v>
      </c>
      <c r="B237" s="105" t="n">
        <f aca="false">IF(OR(WEEKDAY(A237-1)=1,WEEKDAY(A237-1)=7),IF(OR(WEEKDAY(A237-2)=1,WEEKDAY(A237-2)=7),A237-3,A237-2),A237-1)</f>
        <v>41820</v>
      </c>
      <c r="C237" s="105" t="n">
        <v>41815</v>
      </c>
      <c r="D237" s="105" t="n">
        <v>41810</v>
      </c>
      <c r="E237" s="105" t="n">
        <v>41805</v>
      </c>
    </row>
    <row r="238" customFormat="false" ht="12.75" hidden="false" customHeight="false" outlineLevel="0" collapsed="false">
      <c r="A238" s="105" t="n">
        <v>41852</v>
      </c>
      <c r="B238" s="105" t="n">
        <f aca="false">IF(OR(WEEKDAY(A238-1)=1,WEEKDAY(A238-1)=7),IF(OR(WEEKDAY(A238-2)=1,WEEKDAY(A238-2)=7),A238-3,A238-2),A238-1)</f>
        <v>41851</v>
      </c>
      <c r="C238" s="105" t="n">
        <v>41848</v>
      </c>
      <c r="D238" s="105" t="n">
        <v>41840</v>
      </c>
      <c r="E238" s="105" t="n">
        <v>41835</v>
      </c>
    </row>
    <row r="239" customFormat="false" ht="12.75" hidden="false" customHeight="false" outlineLevel="0" collapsed="false">
      <c r="A239" s="105" t="n">
        <v>41883</v>
      </c>
      <c r="B239" s="105" t="n">
        <f aca="false">IF(OR(WEEKDAY(A239-1)=1,WEEKDAY(A239-1)=7),IF(OR(WEEKDAY(A239-2)=1,WEEKDAY(A239-2)=7),A239-3,A239-2),A239-1)</f>
        <v>41880</v>
      </c>
      <c r="C239" s="105" t="n">
        <v>41877</v>
      </c>
      <c r="D239" s="105" t="n">
        <v>41871</v>
      </c>
      <c r="E239" s="105" t="n">
        <v>41866</v>
      </c>
    </row>
    <row r="240" customFormat="false" ht="12.75" hidden="false" customHeight="false" outlineLevel="0" collapsed="false">
      <c r="A240" s="105" t="n">
        <v>41913</v>
      </c>
      <c r="B240" s="105" t="n">
        <f aca="false">IF(OR(WEEKDAY(A240-1)=1,WEEKDAY(A240-1)=7),IF(OR(WEEKDAY(A240-2)=1,WEEKDAY(A240-2)=7),A240-3,A240-2),A240-1)</f>
        <v>41912</v>
      </c>
      <c r="C240" s="105" t="n">
        <v>41907</v>
      </c>
      <c r="D240" s="105" t="n">
        <v>41902</v>
      </c>
      <c r="E240" s="105" t="n">
        <v>41897</v>
      </c>
    </row>
    <row r="241" customFormat="false" ht="12.75" hidden="false" customHeight="false" outlineLevel="0" collapsed="false">
      <c r="A241" s="105" t="n">
        <v>41944</v>
      </c>
      <c r="B241" s="105" t="n">
        <f aca="false">IF(OR(WEEKDAY(A241-1)=1,WEEKDAY(A241-1)=7),IF(OR(WEEKDAY(A241-2)=1,WEEKDAY(A241-2)=7),A241-3,A241-2),A241-1)</f>
        <v>41943</v>
      </c>
      <c r="C241" s="105" t="n">
        <v>41940</v>
      </c>
      <c r="D241" s="105" t="n">
        <v>41932</v>
      </c>
      <c r="E241" s="105" t="n">
        <v>41927</v>
      </c>
    </row>
    <row r="242" customFormat="false" ht="12.75" hidden="false" customHeight="false" outlineLevel="0" collapsed="false">
      <c r="A242" s="105" t="n">
        <v>41974</v>
      </c>
      <c r="B242" s="105" t="n">
        <f aca="false">IF(OR(WEEKDAY(A242-1)=1,WEEKDAY(A242-1)=7),IF(OR(WEEKDAY(A242-2)=1,WEEKDAY(A242-2)=7),A242-3,A242-2),A242-1)</f>
        <v>41971</v>
      </c>
      <c r="C242" s="105" t="n">
        <v>41967</v>
      </c>
      <c r="D242" s="105" t="n">
        <v>41963</v>
      </c>
      <c r="E242" s="105" t="n">
        <v>41958</v>
      </c>
    </row>
    <row r="243" customFormat="false" ht="12.75" hidden="false" customHeight="false" outlineLevel="0" collapsed="false">
      <c r="A243" s="105" t="n">
        <v>42005</v>
      </c>
      <c r="B243" s="105" t="n">
        <v>42003</v>
      </c>
      <c r="C243" s="105" t="n">
        <v>41999</v>
      </c>
      <c r="D243" s="105" t="n">
        <v>41993</v>
      </c>
      <c r="E243" s="105" t="n">
        <v>41988</v>
      </c>
    </row>
    <row r="244" customFormat="false" ht="12.75" hidden="false" customHeight="false" outlineLevel="0" collapsed="false">
      <c r="A244" s="105" t="n">
        <v>42036</v>
      </c>
      <c r="B244" s="105" t="n">
        <f aca="false">IF(OR(WEEKDAY(A244-1)=1,WEEKDAY(A244-1)=7),IF(OR(WEEKDAY(A244-2)=1,WEEKDAY(A244-2)=7),A244-3,A244-2),A244-1)</f>
        <v>42034</v>
      </c>
      <c r="C244" s="105" t="n">
        <v>42031</v>
      </c>
      <c r="D244" s="105" t="n">
        <v>42024</v>
      </c>
      <c r="E244" s="105" t="n">
        <v>42019</v>
      </c>
    </row>
    <row r="245" customFormat="false" ht="12.75" hidden="false" customHeight="false" outlineLevel="0" collapsed="false">
      <c r="A245" s="105" t="n">
        <v>42064</v>
      </c>
      <c r="B245" s="105" t="n">
        <f aca="false">IF(OR(WEEKDAY(A245-1)=1,WEEKDAY(A245-1)=7),IF(OR(WEEKDAY(A245-2)=1,WEEKDAY(A245-2)=7),A245-3,A245-2),A245-1)</f>
        <v>42062</v>
      </c>
      <c r="C245" s="105" t="n">
        <v>42059</v>
      </c>
      <c r="D245" s="105" t="n">
        <v>42055</v>
      </c>
      <c r="E245" s="105" t="n">
        <v>42050</v>
      </c>
    </row>
    <row r="246" customFormat="false" ht="12.75" hidden="false" customHeight="false" outlineLevel="0" collapsed="false">
      <c r="A246" s="105" t="n">
        <v>42095</v>
      </c>
      <c r="B246" s="105" t="n">
        <f aca="false">IF(OR(WEEKDAY(A246-1)=1,WEEKDAY(A246-1)=7),IF(OR(WEEKDAY(A246-2)=1,WEEKDAY(A246-2)=7),A246-3,A246-2),A246-1)</f>
        <v>42094</v>
      </c>
      <c r="C246" s="105" t="n">
        <v>42089</v>
      </c>
      <c r="D246" s="105" t="n">
        <v>42083</v>
      </c>
      <c r="E246" s="105" t="n">
        <v>42078</v>
      </c>
    </row>
    <row r="247" customFormat="false" ht="12.75" hidden="false" customHeight="false" outlineLevel="0" collapsed="false">
      <c r="A247" s="105" t="n">
        <v>42125</v>
      </c>
      <c r="B247" s="105" t="n">
        <f aca="false">IF(OR(WEEKDAY(A247-1)=1,WEEKDAY(A247-1)=7),IF(OR(WEEKDAY(A247-2)=1,WEEKDAY(A247-2)=7),A247-3,A247-2),A247-1)</f>
        <v>42124</v>
      </c>
      <c r="C247" s="105" t="n">
        <v>42121</v>
      </c>
      <c r="D247" s="105" t="n">
        <v>42114</v>
      </c>
      <c r="E247" s="105" t="n">
        <v>42109</v>
      </c>
    </row>
    <row r="248" customFormat="false" ht="12.75" hidden="false" customHeight="false" outlineLevel="0" collapsed="false">
      <c r="A248" s="105" t="n">
        <v>42156</v>
      </c>
      <c r="B248" s="105" t="n">
        <f aca="false">IF(OR(WEEKDAY(A248-1)=1,WEEKDAY(A248-1)=7),IF(OR(WEEKDAY(A248-2)=1,WEEKDAY(A248-2)=7),A248-3,A248-2),A248-1)</f>
        <v>42153</v>
      </c>
      <c r="C248" s="105" t="n">
        <v>42150</v>
      </c>
      <c r="D248" s="105" t="n">
        <v>42144</v>
      </c>
      <c r="E248" s="105" t="n">
        <v>42139</v>
      </c>
    </row>
    <row r="249" customFormat="false" ht="12.75" hidden="false" customHeight="false" outlineLevel="0" collapsed="false">
      <c r="A249" s="105" t="n">
        <v>42186</v>
      </c>
      <c r="B249" s="105" t="n">
        <f aca="false">IF(OR(WEEKDAY(A249-1)=1,WEEKDAY(A249-1)=7),IF(OR(WEEKDAY(A249-2)=1,WEEKDAY(A249-2)=7),A249-3,A249-2),A249-1)</f>
        <v>42185</v>
      </c>
      <c r="C249" s="105" t="n">
        <v>42180</v>
      </c>
      <c r="D249" s="105" t="n">
        <v>42175</v>
      </c>
      <c r="E249" s="105" t="n">
        <v>42170</v>
      </c>
    </row>
    <row r="250" customFormat="false" ht="12.75" hidden="false" customHeight="false" outlineLevel="0" collapsed="false">
      <c r="A250" s="105" t="n">
        <v>42217</v>
      </c>
      <c r="B250" s="105" t="n">
        <f aca="false">IF(OR(WEEKDAY(A250-1)=1,WEEKDAY(A250-1)=7),IF(OR(WEEKDAY(A250-2)=1,WEEKDAY(A250-2)=7),A250-3,A250-2),A250-1)</f>
        <v>42216</v>
      </c>
      <c r="C250" s="105" t="n">
        <v>42213</v>
      </c>
      <c r="D250" s="105" t="n">
        <v>42205</v>
      </c>
      <c r="E250" s="105" t="n">
        <v>42200</v>
      </c>
    </row>
    <row r="251" customFormat="false" ht="12.75" hidden="false" customHeight="false" outlineLevel="0" collapsed="false">
      <c r="A251" s="105" t="n">
        <v>42248</v>
      </c>
      <c r="B251" s="105" t="n">
        <f aca="false">IF(OR(WEEKDAY(A251-1)=1,WEEKDAY(A251-1)=7),IF(OR(WEEKDAY(A251-2)=1,WEEKDAY(A251-2)=7),A251-3,A251-2),A251-1)</f>
        <v>42247</v>
      </c>
      <c r="C251" s="105" t="n">
        <v>42242</v>
      </c>
      <c r="D251" s="105" t="n">
        <v>42236</v>
      </c>
      <c r="E251" s="105" t="n">
        <v>42231</v>
      </c>
    </row>
    <row r="252" customFormat="false" ht="12.75" hidden="false" customHeight="false" outlineLevel="0" collapsed="false">
      <c r="A252" s="105" t="n">
        <v>42278</v>
      </c>
      <c r="B252" s="105" t="n">
        <f aca="false">IF(OR(WEEKDAY(A252-1)=1,WEEKDAY(A252-1)=7),IF(OR(WEEKDAY(A252-2)=1,WEEKDAY(A252-2)=7),A252-3,A252-2),A252-1)</f>
        <v>42277</v>
      </c>
      <c r="C252" s="105" t="n">
        <v>42272</v>
      </c>
      <c r="D252" s="105" t="n">
        <v>42267</v>
      </c>
      <c r="E252" s="105" t="n">
        <v>42262</v>
      </c>
    </row>
    <row r="253" customFormat="false" ht="12.75" hidden="false" customHeight="false" outlineLevel="0" collapsed="false">
      <c r="A253" s="105" t="n">
        <v>42309</v>
      </c>
      <c r="B253" s="105" t="n">
        <f aca="false">IF(OR(WEEKDAY(A253-1)=1,WEEKDAY(A253-1)=7),IF(OR(WEEKDAY(A253-2)=1,WEEKDAY(A253-2)=7),A253-3,A253-2),A253-1)</f>
        <v>42307</v>
      </c>
      <c r="C253" s="105" t="n">
        <v>42304</v>
      </c>
      <c r="D253" s="105" t="n">
        <v>42297</v>
      </c>
      <c r="E253" s="105" t="n">
        <v>42292</v>
      </c>
    </row>
    <row r="254" customFormat="false" ht="12.75" hidden="false" customHeight="false" outlineLevel="0" collapsed="false">
      <c r="A254" s="105" t="n">
        <v>42339</v>
      </c>
      <c r="B254" s="105" t="n">
        <f aca="false">IF(OR(WEEKDAY(A254-1)=1,WEEKDAY(A254-1)=7),IF(OR(WEEKDAY(A254-2)=1,WEEKDAY(A254-2)=7),A254-3,A254-2),A254-1)</f>
        <v>42338</v>
      </c>
      <c r="C254" s="105" t="n">
        <v>42332</v>
      </c>
      <c r="D254" s="105" t="n">
        <v>42328</v>
      </c>
      <c r="E254" s="105" t="n">
        <v>42323</v>
      </c>
    </row>
    <row r="255" customFormat="false" ht="12.75" hidden="false" customHeight="false" outlineLevel="0" collapsed="false">
      <c r="A255" s="105" t="n">
        <v>42370</v>
      </c>
      <c r="B255" s="105" t="n">
        <v>42368</v>
      </c>
      <c r="C255" s="105" t="n">
        <v>42366</v>
      </c>
      <c r="D255" s="105" t="n">
        <v>42358</v>
      </c>
      <c r="E255" s="105" t="n">
        <v>42353</v>
      </c>
    </row>
    <row r="256" customFormat="false" ht="12.75" hidden="false" customHeight="false" outlineLevel="0" collapsed="false">
      <c r="A256" s="105" t="n">
        <v>42401</v>
      </c>
      <c r="B256" s="105" t="n">
        <f aca="false">IF(OR(WEEKDAY(A256-1)=1,WEEKDAY(A256-1)=7),IF(OR(WEEKDAY(A256-2)=1,WEEKDAY(A256-2)=7),A256-3,A256-2),A256-1)</f>
        <v>42398</v>
      </c>
      <c r="C256" s="105" t="n">
        <v>42395</v>
      </c>
      <c r="D256" s="105" t="n">
        <v>42389</v>
      </c>
      <c r="E256" s="105" t="n">
        <v>42384</v>
      </c>
    </row>
    <row r="257" customFormat="false" ht="12.75" hidden="false" customHeight="false" outlineLevel="0" collapsed="false">
      <c r="A257" s="105" t="n">
        <v>42430</v>
      </c>
      <c r="B257" s="105" t="n">
        <f aca="false">IF(OR(WEEKDAY(A257-1)=1,WEEKDAY(A257-1)=7),IF(OR(WEEKDAY(A257-2)=1,WEEKDAY(A257-2)=7),A257-3,A257-2),A257-1)</f>
        <v>42429</v>
      </c>
      <c r="C257" s="105" t="n">
        <v>42424</v>
      </c>
      <c r="D257" s="105" t="n">
        <v>42420</v>
      </c>
      <c r="E257" s="105" t="n">
        <v>42415</v>
      </c>
    </row>
    <row r="258" customFormat="false" ht="12.75" hidden="false" customHeight="false" outlineLevel="0" collapsed="false">
      <c r="A258" s="105" t="n">
        <v>42461</v>
      </c>
      <c r="B258" s="105" t="n">
        <f aca="false">IF(OR(WEEKDAY(A258-1)=1,WEEKDAY(A258-1)=7),IF(OR(WEEKDAY(A258-2)=1,WEEKDAY(A258-2)=7),A258-3,A258-2),A258-1)</f>
        <v>42460</v>
      </c>
      <c r="C258" s="105" t="n">
        <v>42457</v>
      </c>
      <c r="D258" s="105" t="n">
        <v>42449</v>
      </c>
      <c r="E258" s="105" t="n">
        <v>42444</v>
      </c>
    </row>
    <row r="259" customFormat="false" ht="12.75" hidden="false" customHeight="false" outlineLevel="0" collapsed="false">
      <c r="A259" s="105" t="n">
        <v>42491</v>
      </c>
      <c r="B259" s="105" t="n">
        <f aca="false">IF(OR(WEEKDAY(A259-1)=1,WEEKDAY(A259-1)=7),IF(OR(WEEKDAY(A259-2)=1,WEEKDAY(A259-2)=7),A259-3,A259-2),A259-1)</f>
        <v>42489</v>
      </c>
      <c r="C259" s="105" t="n">
        <v>42486</v>
      </c>
      <c r="D259" s="105" t="n">
        <v>42480</v>
      </c>
      <c r="E259" s="105" t="n">
        <v>42475</v>
      </c>
    </row>
    <row r="260" customFormat="false" ht="12.75" hidden="false" customHeight="false" outlineLevel="0" collapsed="false">
      <c r="A260" s="105" t="n">
        <v>42522</v>
      </c>
      <c r="B260" s="105" t="n">
        <f aca="false">IF(OR(WEEKDAY(A260-1)=1,WEEKDAY(A260-1)=7),IF(OR(WEEKDAY(A260-2)=1,WEEKDAY(A260-2)=7),A260-3,A260-2),A260-1)</f>
        <v>42521</v>
      </c>
      <c r="C260" s="105" t="n">
        <v>42515</v>
      </c>
      <c r="D260" s="105" t="n">
        <v>42510</v>
      </c>
      <c r="E260" s="105" t="n">
        <v>42505</v>
      </c>
    </row>
    <row r="261" customFormat="false" ht="12.75" hidden="false" customHeight="false" outlineLevel="0" collapsed="false">
      <c r="A261" s="105" t="n">
        <v>42552</v>
      </c>
      <c r="B261" s="105" t="n">
        <f aca="false">IF(OR(WEEKDAY(A261-1)=1,WEEKDAY(A261-1)=7),IF(OR(WEEKDAY(A261-2)=1,WEEKDAY(A261-2)=7),A261-3,A261-2),A261-1)</f>
        <v>42551</v>
      </c>
      <c r="C261" s="105" t="n">
        <v>42548</v>
      </c>
      <c r="D261" s="105" t="n">
        <v>42541</v>
      </c>
      <c r="E261" s="105" t="n">
        <v>42536</v>
      </c>
    </row>
    <row r="262" customFormat="false" ht="12.75" hidden="false" customHeight="false" outlineLevel="0" collapsed="false">
      <c r="A262" s="105" t="n">
        <v>42583</v>
      </c>
      <c r="B262" s="105" t="n">
        <f aca="false">IF(OR(WEEKDAY(A262-1)=1,WEEKDAY(A262-1)=7),IF(OR(WEEKDAY(A262-2)=1,WEEKDAY(A262-2)=7),A262-3,A262-2),A262-1)</f>
        <v>42580</v>
      </c>
      <c r="C262" s="105" t="n">
        <v>42577</v>
      </c>
      <c r="D262" s="105" t="n">
        <v>42571</v>
      </c>
      <c r="E262" s="105" t="n">
        <v>42566</v>
      </c>
    </row>
    <row r="263" customFormat="false" ht="12.75" hidden="false" customHeight="false" outlineLevel="0" collapsed="false">
      <c r="A263" s="105" t="n">
        <v>42614</v>
      </c>
      <c r="B263" s="105" t="n">
        <f aca="false">IF(OR(WEEKDAY(A263-1)=1,WEEKDAY(A263-1)=7),IF(OR(WEEKDAY(A263-2)=1,WEEKDAY(A263-2)=7),A263-3,A263-2),A263-1)</f>
        <v>42613</v>
      </c>
      <c r="C263" s="105" t="n">
        <v>42608</v>
      </c>
      <c r="D263" s="105" t="n">
        <v>42602</v>
      </c>
      <c r="E263" s="105" t="n">
        <v>42597</v>
      </c>
    </row>
    <row r="264" customFormat="false" ht="12.75" hidden="false" customHeight="false" outlineLevel="0" collapsed="false">
      <c r="A264" s="105" t="n">
        <v>42644</v>
      </c>
      <c r="B264" s="105" t="n">
        <f aca="false">IF(OR(WEEKDAY(A264-1)=1,WEEKDAY(A264-1)=7),IF(OR(WEEKDAY(A264-2)=1,WEEKDAY(A264-2)=7),A264-3,A264-2),A264-1)</f>
        <v>42643</v>
      </c>
      <c r="C264" s="105" t="n">
        <v>42640</v>
      </c>
      <c r="D264" s="105" t="n">
        <v>42633</v>
      </c>
      <c r="E264" s="105" t="n">
        <v>42628</v>
      </c>
    </row>
    <row r="265" customFormat="false" ht="12.75" hidden="false" customHeight="false" outlineLevel="0" collapsed="false">
      <c r="A265" s="105" t="n">
        <v>42675</v>
      </c>
      <c r="B265" s="105" t="n">
        <f aca="false">IF(OR(WEEKDAY(A265-1)=1,WEEKDAY(A265-1)=7),IF(OR(WEEKDAY(A265-2)=1,WEEKDAY(A265-2)=7),A265-3,A265-2),A265-1)</f>
        <v>42674</v>
      </c>
      <c r="C265" s="105" t="n">
        <v>42669</v>
      </c>
      <c r="D265" s="105" t="n">
        <v>42663</v>
      </c>
      <c r="E265" s="105" t="n">
        <v>42658</v>
      </c>
    </row>
    <row r="266" customFormat="false" ht="12.75" hidden="false" customHeight="false" outlineLevel="0" collapsed="false">
      <c r="A266" s="105" t="n">
        <v>42705</v>
      </c>
      <c r="B266" s="105" t="n">
        <f aca="false">IF(OR(WEEKDAY(A266-1)=1,WEEKDAY(A266-1)=7),IF(OR(WEEKDAY(A266-2)=1,WEEKDAY(A266-2)=7),A266-3,A266-2),A266-1)</f>
        <v>42704</v>
      </c>
      <c r="C266" s="105" t="n">
        <v>42699</v>
      </c>
      <c r="D266" s="105" t="n">
        <v>42694</v>
      </c>
      <c r="E266" s="105" t="n">
        <v>42689</v>
      </c>
    </row>
    <row r="267" customFormat="false" ht="12.75" hidden="false" customHeight="false" outlineLevel="0" collapsed="false">
      <c r="A267" s="105" t="n">
        <v>42736</v>
      </c>
      <c r="B267" s="105" t="n">
        <f aca="false">IF(OR(WEEKDAY(A267-1)=1,WEEKDAY(A267-1)=7),IF(OR(WEEKDAY(A267-2)=1,WEEKDAY(A267-2)=7),A267-3,A267-2),A267-1)</f>
        <v>42734</v>
      </c>
      <c r="C267" s="105" t="n">
        <v>42731</v>
      </c>
      <c r="D267" s="105" t="n">
        <v>42724</v>
      </c>
      <c r="E267" s="105" t="n">
        <v>42719</v>
      </c>
    </row>
    <row r="268" customFormat="false" ht="12.75" hidden="false" customHeight="false" outlineLevel="0" collapsed="false">
      <c r="A268" s="105" t="n">
        <v>42767</v>
      </c>
      <c r="B268" s="105" t="n">
        <f aca="false">IF(OR(WEEKDAY(A268-1)=1,WEEKDAY(A268-1)=7),IF(OR(WEEKDAY(A268-2)=1,WEEKDAY(A268-2)=7),A268-3,A268-2),A268-1)</f>
        <v>42766</v>
      </c>
      <c r="C268" s="105" t="n">
        <v>42761</v>
      </c>
      <c r="D268" s="105" t="n">
        <v>42755</v>
      </c>
      <c r="E268" s="105" t="n">
        <v>42750</v>
      </c>
    </row>
    <row r="269" customFormat="false" ht="12.75" hidden="false" customHeight="false" outlineLevel="0" collapsed="false">
      <c r="A269" s="105" t="n">
        <v>42795</v>
      </c>
      <c r="B269" s="105" t="n">
        <f aca="false">IF(OR(WEEKDAY(A269-1)=1,WEEKDAY(A269-1)=7),IF(OR(WEEKDAY(A269-2)=1,WEEKDAY(A269-2)=7),A269-3,A269-2),A269-1)</f>
        <v>42794</v>
      </c>
      <c r="C269" s="105" t="n">
        <v>42789</v>
      </c>
      <c r="D269" s="105" t="n">
        <v>42786</v>
      </c>
      <c r="E269" s="105" t="n">
        <v>42781</v>
      </c>
    </row>
    <row r="270" customFormat="false" ht="12.75" hidden="false" customHeight="false" outlineLevel="0" collapsed="false">
      <c r="A270" s="105" t="n">
        <v>42826</v>
      </c>
      <c r="B270" s="105" t="n">
        <f aca="false">IF(OR(WEEKDAY(A270-1)=1,WEEKDAY(A270-1)=7),IF(OR(WEEKDAY(A270-2)=1,WEEKDAY(A270-2)=7),A270-3,A270-2),A270-1)</f>
        <v>42825</v>
      </c>
      <c r="C270" s="105" t="n">
        <v>42822</v>
      </c>
      <c r="D270" s="105" t="n">
        <v>42814</v>
      </c>
      <c r="E270" s="105" t="n">
        <v>42809</v>
      </c>
    </row>
    <row r="271" customFormat="false" ht="12.75" hidden="false" customHeight="false" outlineLevel="0" collapsed="false">
      <c r="A271" s="105" t="n">
        <v>42856</v>
      </c>
      <c r="B271" s="105" t="n">
        <f aca="false">IF(OR(WEEKDAY(A271-1)=1,WEEKDAY(A271-1)=7),IF(OR(WEEKDAY(A271-2)=1,WEEKDAY(A271-2)=7),A271-3,A271-2),A271-1)</f>
        <v>42853</v>
      </c>
      <c r="C271" s="105" t="n">
        <v>42850</v>
      </c>
      <c r="D271" s="105" t="n">
        <v>42845</v>
      </c>
      <c r="E271" s="105" t="n">
        <v>42840</v>
      </c>
    </row>
    <row r="272" customFormat="false" ht="12.75" hidden="false" customHeight="false" outlineLevel="0" collapsed="false">
      <c r="A272" s="105" t="n">
        <v>42887</v>
      </c>
      <c r="B272" s="105" t="n">
        <f aca="false">IF(OR(WEEKDAY(A272-1)=1,WEEKDAY(A272-1)=7),IF(OR(WEEKDAY(A272-2)=1,WEEKDAY(A272-2)=7),A272-3,A272-2),A272-1)</f>
        <v>42886</v>
      </c>
      <c r="C272" s="105" t="n">
        <v>42880</v>
      </c>
      <c r="D272" s="105" t="n">
        <v>42875</v>
      </c>
      <c r="E272" s="105" t="n">
        <v>42870</v>
      </c>
    </row>
    <row r="273" customFormat="false" ht="12.75" hidden="false" customHeight="false" outlineLevel="0" collapsed="false">
      <c r="A273" s="105" t="n">
        <v>42917</v>
      </c>
      <c r="B273" s="105" t="n">
        <f aca="false">IF(OR(WEEKDAY(A273-1)=1,WEEKDAY(A273-1)=7),IF(OR(WEEKDAY(A273-2)=1,WEEKDAY(A273-2)=7),A273-3,A273-2),A273-1)</f>
        <v>42916</v>
      </c>
      <c r="C273" s="105" t="n">
        <v>42913</v>
      </c>
      <c r="D273" s="105" t="n">
        <v>42906</v>
      </c>
      <c r="E273" s="105" t="n">
        <v>42901</v>
      </c>
    </row>
    <row r="274" customFormat="false" ht="12.75" hidden="false" customHeight="false" outlineLevel="0" collapsed="false">
      <c r="A274" s="105" t="n">
        <v>42948</v>
      </c>
      <c r="B274" s="105" t="n">
        <f aca="false">IF(OR(WEEKDAY(A274-1)=1,WEEKDAY(A274-1)=7),IF(OR(WEEKDAY(A274-2)=1,WEEKDAY(A274-2)=7),A274-3,A274-2),A274-1)</f>
        <v>42947</v>
      </c>
      <c r="C274" s="105" t="n">
        <v>42942</v>
      </c>
      <c r="D274" s="105" t="n">
        <v>42936</v>
      </c>
      <c r="E274" s="105" t="n">
        <v>42931</v>
      </c>
    </row>
    <row r="275" customFormat="false" ht="12.75" hidden="false" customHeight="false" outlineLevel="0" collapsed="false">
      <c r="A275" s="105" t="n">
        <v>42979</v>
      </c>
      <c r="B275" s="105" t="n">
        <f aca="false">IF(OR(WEEKDAY(A275-1)=1,WEEKDAY(A275-1)=7),IF(OR(WEEKDAY(A275-2)=1,WEEKDAY(A275-2)=7),A275-3,A275-2),A275-1)</f>
        <v>42978</v>
      </c>
      <c r="C275" s="105" t="n">
        <v>42975</v>
      </c>
      <c r="D275" s="105" t="n">
        <v>42967</v>
      </c>
      <c r="E275" s="105" t="n">
        <v>42962</v>
      </c>
    </row>
    <row r="276" customFormat="false" ht="12.75" hidden="false" customHeight="false" outlineLevel="0" collapsed="false">
      <c r="A276" s="105" t="n">
        <v>43009</v>
      </c>
      <c r="B276" s="105" t="n">
        <f aca="false">IF(OR(WEEKDAY(A276-1)=1,WEEKDAY(A276-1)=7),IF(OR(WEEKDAY(A276-2)=1,WEEKDAY(A276-2)=7),A276-3,A276-2),A276-1)</f>
        <v>43007</v>
      </c>
      <c r="C276" s="105" t="n">
        <v>43004</v>
      </c>
      <c r="D276" s="105" t="n">
        <v>42998</v>
      </c>
      <c r="E276" s="105" t="n">
        <v>42993</v>
      </c>
    </row>
    <row r="277" customFormat="false" ht="12.75" hidden="false" customHeight="false" outlineLevel="0" collapsed="false">
      <c r="A277" s="105" t="n">
        <v>43040</v>
      </c>
      <c r="B277" s="105" t="n">
        <f aca="false">IF(OR(WEEKDAY(A277-1)=1,WEEKDAY(A277-1)=7),IF(OR(WEEKDAY(A277-2)=1,WEEKDAY(A277-2)=7),A277-3,A277-2),A277-1)</f>
        <v>43039</v>
      </c>
      <c r="C277" s="105" t="n">
        <v>43034</v>
      </c>
      <c r="D277" s="105" t="n">
        <v>43028</v>
      </c>
      <c r="E277" s="105" t="n">
        <v>43023</v>
      </c>
    </row>
    <row r="278" customFormat="false" ht="12.75" hidden="false" customHeight="false" outlineLevel="0" collapsed="false">
      <c r="A278" s="105" t="n">
        <v>43070</v>
      </c>
      <c r="B278" s="105" t="n">
        <f aca="false">IF(OR(WEEKDAY(A278-1)=1,WEEKDAY(A278-1)=7),IF(OR(WEEKDAY(A278-2)=1,WEEKDAY(A278-2)=7),A278-3,A278-2),A278-1)</f>
        <v>43069</v>
      </c>
      <c r="C278" s="105" t="n">
        <v>43066</v>
      </c>
      <c r="D278" s="105" t="n">
        <v>43059</v>
      </c>
      <c r="E278" s="105" t="n">
        <v>43054</v>
      </c>
    </row>
    <row r="279" customFormat="false" ht="12.75" hidden="false" customHeight="false" outlineLevel="0" collapsed="false">
      <c r="A279" s="105" t="n">
        <v>43101</v>
      </c>
      <c r="B279" s="105" t="n">
        <f aca="false">IF(OR(WEEKDAY(A279-1)=1,WEEKDAY(A279-1)=7),IF(OR(WEEKDAY(A279-2)=1,WEEKDAY(A279-2)=7),A279-3,A279-2),A279-1)</f>
        <v>43098</v>
      </c>
      <c r="C279" s="105" t="n">
        <v>43095</v>
      </c>
      <c r="D279" s="105" t="n">
        <v>43089</v>
      </c>
      <c r="E279" s="105" t="n">
        <v>43084</v>
      </c>
    </row>
    <row r="280" customFormat="false" ht="12.75" hidden="false" customHeight="false" outlineLevel="0" collapsed="false">
      <c r="A280" s="105" t="n">
        <v>43132</v>
      </c>
      <c r="B280" s="105" t="n">
        <f aca="false">IF(OR(WEEKDAY(A280-1)=1,WEEKDAY(A280-1)=7),IF(OR(WEEKDAY(A280-2)=1,WEEKDAY(A280-2)=7),A280-3,A280-2),A280-1)</f>
        <v>43131</v>
      </c>
      <c r="C280" s="105" t="n">
        <v>43126</v>
      </c>
      <c r="D280" s="105" t="n">
        <v>43120</v>
      </c>
      <c r="E280" s="105" t="n">
        <v>43115</v>
      </c>
    </row>
    <row r="281" customFormat="false" ht="12.75" hidden="false" customHeight="false" outlineLevel="0" collapsed="false">
      <c r="A281" s="105" t="n">
        <v>43160</v>
      </c>
      <c r="B281" s="105" t="n">
        <f aca="false">IF(OR(WEEKDAY(A281-1)=1,WEEKDAY(A281-1)=7),IF(OR(WEEKDAY(A281-2)=1,WEEKDAY(A281-2)=7),A281-3,A281-2),A281-1)</f>
        <v>43159</v>
      </c>
      <c r="C281" s="105" t="n">
        <v>43154</v>
      </c>
      <c r="D281" s="105" t="n">
        <v>43151</v>
      </c>
      <c r="E281" s="105" t="n">
        <v>43146</v>
      </c>
    </row>
    <row r="282" customFormat="false" ht="12.75" hidden="false" customHeight="false" outlineLevel="0" collapsed="false">
      <c r="A282" s="105" t="n">
        <v>43191</v>
      </c>
      <c r="B282" s="105" t="n">
        <f aca="false">IF(OR(WEEKDAY(A282-1)=1,WEEKDAY(A282-1)=7),IF(OR(WEEKDAY(A282-2)=1,WEEKDAY(A282-2)=7),A282-3,A282-2),A282-1)</f>
        <v>43189</v>
      </c>
      <c r="C282" s="105" t="n">
        <v>43185</v>
      </c>
      <c r="D282" s="105" t="n">
        <v>43179</v>
      </c>
      <c r="E282" s="105" t="n">
        <v>43174</v>
      </c>
    </row>
    <row r="283" customFormat="false" ht="12.75" hidden="false" customHeight="false" outlineLevel="0" collapsed="false">
      <c r="A283" s="105" t="n">
        <v>43221</v>
      </c>
      <c r="B283" s="105" t="n">
        <f aca="false">IF(OR(WEEKDAY(A283-1)=1,WEEKDAY(A283-1)=7),IF(OR(WEEKDAY(A283-2)=1,WEEKDAY(A283-2)=7),A283-3,A283-2),A283-1)</f>
        <v>43220</v>
      </c>
      <c r="C283" s="105" t="n">
        <v>43215</v>
      </c>
      <c r="D283" s="105" t="n">
        <v>43210</v>
      </c>
      <c r="E283" s="105" t="n">
        <v>43205</v>
      </c>
    </row>
    <row r="284" customFormat="false" ht="12.75" hidden="false" customHeight="false" outlineLevel="0" collapsed="false">
      <c r="A284" s="105" t="n">
        <v>43252</v>
      </c>
      <c r="B284" s="105" t="n">
        <f aca="false">IF(OR(WEEKDAY(A284-1)=1,WEEKDAY(A284-1)=7),IF(OR(WEEKDAY(A284-2)=1,WEEKDAY(A284-2)=7),A284-3,A284-2),A284-1)</f>
        <v>43251</v>
      </c>
      <c r="C284" s="105" t="n">
        <v>43248</v>
      </c>
      <c r="D284" s="105" t="n">
        <v>43240</v>
      </c>
      <c r="E284" s="105" t="n">
        <v>43235</v>
      </c>
    </row>
    <row r="285" customFormat="false" ht="12.75" hidden="false" customHeight="false" outlineLevel="0" collapsed="false">
      <c r="A285" s="105" t="n">
        <v>43282</v>
      </c>
      <c r="B285" s="105" t="n">
        <f aca="false">IF(OR(WEEKDAY(A285-1)=1,WEEKDAY(A285-1)=7),IF(OR(WEEKDAY(A285-2)=1,WEEKDAY(A285-2)=7),A285-3,A285-2),A285-1)</f>
        <v>43280</v>
      </c>
      <c r="C285" s="105" t="n">
        <v>43277</v>
      </c>
      <c r="D285" s="105" t="n">
        <v>43271</v>
      </c>
      <c r="E285" s="105" t="n">
        <v>43266</v>
      </c>
    </row>
    <row r="286" customFormat="false" ht="12.75" hidden="false" customHeight="false" outlineLevel="0" collapsed="false">
      <c r="A286" s="105" t="n">
        <v>43313</v>
      </c>
      <c r="B286" s="105" t="n">
        <f aca="false">IF(OR(WEEKDAY(A286-1)=1,WEEKDAY(A286-1)=7),IF(OR(WEEKDAY(A286-2)=1,WEEKDAY(A286-2)=7),A286-3,A286-2),A286-1)</f>
        <v>43312</v>
      </c>
      <c r="C286" s="105" t="n">
        <v>43307</v>
      </c>
      <c r="D286" s="105" t="n">
        <v>43301</v>
      </c>
      <c r="E286" s="105" t="n">
        <v>43296</v>
      </c>
    </row>
    <row r="287" customFormat="false" ht="12.75" hidden="false" customHeight="false" outlineLevel="0" collapsed="false">
      <c r="A287" s="105" t="n">
        <v>43344</v>
      </c>
      <c r="B287" s="105" t="n">
        <f aca="false">IF(OR(WEEKDAY(A287-1)=1,WEEKDAY(A287-1)=7),IF(OR(WEEKDAY(A287-2)=1,WEEKDAY(A287-2)=7),A287-3,A287-2),A287-1)</f>
        <v>43343</v>
      </c>
      <c r="C287" s="105" t="n">
        <v>43340</v>
      </c>
      <c r="D287" s="105" t="n">
        <v>43332</v>
      </c>
      <c r="E287" s="105" t="n">
        <v>43327</v>
      </c>
    </row>
    <row r="288" customFormat="false" ht="12.75" hidden="false" customHeight="false" outlineLevel="0" collapsed="false">
      <c r="A288" s="105" t="n">
        <v>43374</v>
      </c>
      <c r="B288" s="105" t="n">
        <f aca="false">IF(OR(WEEKDAY(A288-1)=1,WEEKDAY(A288-1)=7),IF(OR(WEEKDAY(A288-2)=1,WEEKDAY(A288-2)=7),A288-3,A288-2),A288-1)</f>
        <v>43371</v>
      </c>
      <c r="C288" s="105" t="n">
        <v>43368</v>
      </c>
      <c r="D288" s="105" t="n">
        <v>43363</v>
      </c>
      <c r="E288" s="105" t="n">
        <v>43358</v>
      </c>
    </row>
    <row r="289" customFormat="false" ht="12.75" hidden="false" customHeight="false" outlineLevel="0" collapsed="false">
      <c r="A289" s="105" t="n">
        <v>43405</v>
      </c>
      <c r="B289" s="105" t="n">
        <f aca="false">IF(OR(WEEKDAY(A289-1)=1,WEEKDAY(A289-1)=7),IF(OR(WEEKDAY(A289-2)=1,WEEKDAY(A289-2)=7),A289-3,A289-2),A289-1)</f>
        <v>43404</v>
      </c>
      <c r="C289" s="105" t="n">
        <v>43399</v>
      </c>
      <c r="D289" s="105" t="n">
        <v>43393</v>
      </c>
      <c r="E289" s="105" t="n">
        <v>43388</v>
      </c>
    </row>
    <row r="290" customFormat="false" ht="12.75" hidden="false" customHeight="false" outlineLevel="0" collapsed="false">
      <c r="A290" s="105" t="n">
        <v>43435</v>
      </c>
      <c r="B290" s="105" t="n">
        <f aca="false">IF(OR(WEEKDAY(A290-1)=1,WEEKDAY(A290-1)=7),IF(OR(WEEKDAY(A290-2)=1,WEEKDAY(A290-2)=7),A290-3,A290-2),A290-1)</f>
        <v>43434</v>
      </c>
      <c r="C290" s="105" t="n">
        <v>43431</v>
      </c>
      <c r="D290" s="105" t="n">
        <v>43424</v>
      </c>
      <c r="E290" s="105" t="n">
        <v>43419</v>
      </c>
    </row>
    <row r="291" customFormat="false" ht="12.75" hidden="false" customHeight="false" outlineLevel="0" collapsed="false">
      <c r="A291" s="105" t="n">
        <v>43466</v>
      </c>
      <c r="B291" s="105" t="n">
        <v>43464</v>
      </c>
      <c r="C291" s="105" t="n">
        <v>43460</v>
      </c>
      <c r="D291" s="105" t="n">
        <v>43454</v>
      </c>
      <c r="E291" s="105" t="n">
        <v>43449</v>
      </c>
    </row>
    <row r="292" customFormat="false" ht="12.75" hidden="false" customHeight="false" outlineLevel="0" collapsed="false">
      <c r="A292" s="105" t="n">
        <v>43497</v>
      </c>
      <c r="B292" s="105" t="n">
        <f aca="false">IF(OR(WEEKDAY(A292-1)=1,WEEKDAY(A292-1)=7),IF(OR(WEEKDAY(A292-2)=1,WEEKDAY(A292-2)=7),A292-3,A292-2),A292-1)</f>
        <v>43496</v>
      </c>
      <c r="C292" s="105" t="n">
        <v>43493</v>
      </c>
      <c r="D292" s="105" t="n">
        <v>43485</v>
      </c>
      <c r="E292" s="105" t="n">
        <v>43480</v>
      </c>
    </row>
    <row r="293" customFormat="false" ht="12.75" hidden="false" customHeight="false" outlineLevel="0" collapsed="false">
      <c r="A293" s="105" t="n">
        <v>43525</v>
      </c>
      <c r="B293" s="105" t="n">
        <f aca="false">IF(OR(WEEKDAY(A293-1)=1,WEEKDAY(A293-1)=7),IF(OR(WEEKDAY(A293-2)=1,WEEKDAY(A293-2)=7),A293-3,A293-2),A293-1)</f>
        <v>43524</v>
      </c>
      <c r="C293" s="105" t="n">
        <v>43521</v>
      </c>
      <c r="D293" s="105" t="n">
        <v>43516</v>
      </c>
      <c r="E293" s="105" t="n">
        <v>43511</v>
      </c>
    </row>
    <row r="294" customFormat="false" ht="12.75" hidden="false" customHeight="false" outlineLevel="0" collapsed="false">
      <c r="A294" s="105" t="n">
        <v>43556</v>
      </c>
      <c r="B294" s="105" t="n">
        <f aca="false">IF(OR(WEEKDAY(A294-1)=1,WEEKDAY(A294-1)=7),IF(OR(WEEKDAY(A294-2)=1,WEEKDAY(A294-2)=7),A294-3,A294-2),A294-1)</f>
        <v>43553</v>
      </c>
      <c r="C294" s="105" t="n">
        <v>43550</v>
      </c>
      <c r="D294" s="105" t="n">
        <v>43544</v>
      </c>
      <c r="E294" s="105" t="n">
        <v>43539</v>
      </c>
    </row>
    <row r="295" customFormat="false" ht="12.75" hidden="false" customHeight="false" outlineLevel="0" collapsed="false">
      <c r="A295" s="105" t="n">
        <v>43586</v>
      </c>
      <c r="B295" s="105" t="n">
        <f aca="false">IF(OR(WEEKDAY(A295-1)=1,WEEKDAY(A295-1)=7),IF(OR(WEEKDAY(A295-2)=1,WEEKDAY(A295-2)=7),A295-3,A295-2),A295-1)</f>
        <v>43585</v>
      </c>
      <c r="C295" s="105" t="n">
        <v>43580</v>
      </c>
      <c r="D295" s="105" t="n">
        <v>43575</v>
      </c>
      <c r="E295" s="105" t="n">
        <v>43570</v>
      </c>
    </row>
    <row r="296" customFormat="false" ht="12.75" hidden="false" customHeight="false" outlineLevel="0" collapsed="false">
      <c r="A296" s="105" t="n">
        <v>43617</v>
      </c>
      <c r="B296" s="105" t="n">
        <f aca="false">IF(OR(WEEKDAY(A296-1)=1,WEEKDAY(A296-1)=7),IF(OR(WEEKDAY(A296-2)=1,WEEKDAY(A296-2)=7),A296-3,A296-2),A296-1)</f>
        <v>43616</v>
      </c>
      <c r="C296" s="105" t="n">
        <v>43613</v>
      </c>
      <c r="D296" s="105" t="n">
        <v>43605</v>
      </c>
      <c r="E296" s="105" t="n">
        <v>43600</v>
      </c>
    </row>
    <row r="297" customFormat="false" ht="12.75" hidden="false" customHeight="false" outlineLevel="0" collapsed="false">
      <c r="A297" s="105" t="n">
        <v>43647</v>
      </c>
      <c r="B297" s="105" t="n">
        <f aca="false">IF(OR(WEEKDAY(A297-1)=1,WEEKDAY(A297-1)=7),IF(OR(WEEKDAY(A297-2)=1,WEEKDAY(A297-2)=7),A297-3,A297-2),A297-1)</f>
        <v>43644</v>
      </c>
      <c r="C297" s="105" t="n">
        <v>43641</v>
      </c>
      <c r="D297" s="105" t="n">
        <v>43636</v>
      </c>
      <c r="E297" s="105" t="n">
        <v>43631</v>
      </c>
    </row>
    <row r="298" customFormat="false" ht="12.75" hidden="false" customHeight="false" outlineLevel="0" collapsed="false">
      <c r="A298" s="105" t="n">
        <v>43678</v>
      </c>
      <c r="B298" s="105" t="n">
        <f aca="false">IF(OR(WEEKDAY(A298-1)=1,WEEKDAY(A298-1)=7),IF(OR(WEEKDAY(A298-2)=1,WEEKDAY(A298-2)=7),A298-3,A298-2),A298-1)</f>
        <v>43677</v>
      </c>
      <c r="C298" s="105" t="n">
        <v>43672</v>
      </c>
      <c r="D298" s="105" t="n">
        <v>43666</v>
      </c>
      <c r="E298" s="105" t="n">
        <v>43661</v>
      </c>
    </row>
    <row r="299" customFormat="false" ht="12.75" hidden="false" customHeight="false" outlineLevel="0" collapsed="false">
      <c r="A299" s="105" t="n">
        <v>43709</v>
      </c>
      <c r="B299" s="105" t="n">
        <f aca="false">IF(OR(WEEKDAY(A299-1)=1,WEEKDAY(A299-1)=7),IF(OR(WEEKDAY(A299-2)=1,WEEKDAY(A299-2)=7),A299-3,A299-2),A299-1)</f>
        <v>43707</v>
      </c>
      <c r="C299" s="105" t="n">
        <v>43704</v>
      </c>
      <c r="D299" s="105" t="n">
        <v>43697</v>
      </c>
      <c r="E299" s="105" t="n">
        <v>43692</v>
      </c>
    </row>
    <row r="300" customFormat="false" ht="12.75" hidden="false" customHeight="false" outlineLevel="0" collapsed="false">
      <c r="A300" s="105" t="n">
        <v>43739</v>
      </c>
      <c r="B300" s="105" t="n">
        <f aca="false">IF(OR(WEEKDAY(A300-1)=1,WEEKDAY(A300-1)=7),IF(OR(WEEKDAY(A300-2)=1,WEEKDAY(A300-2)=7),A300-3,A300-2),A300-1)</f>
        <v>43738</v>
      </c>
      <c r="C300" s="105" t="n">
        <v>43733</v>
      </c>
      <c r="D300" s="105" t="n">
        <v>43728</v>
      </c>
      <c r="E300" s="105" t="n">
        <v>43723</v>
      </c>
    </row>
    <row r="301" customFormat="false" ht="12.75" hidden="false" customHeight="false" outlineLevel="0" collapsed="false">
      <c r="A301" s="105" t="n">
        <v>43770</v>
      </c>
      <c r="B301" s="105" t="n">
        <f aca="false">IF(OR(WEEKDAY(A301-1)=1,WEEKDAY(A301-1)=7),IF(OR(WEEKDAY(A301-2)=1,WEEKDAY(A301-2)=7),A301-3,A301-2),A301-1)</f>
        <v>43769</v>
      </c>
      <c r="C301" s="105" t="n">
        <v>43766</v>
      </c>
      <c r="D301" s="105" t="n">
        <v>43758</v>
      </c>
      <c r="E301" s="105" t="n">
        <v>43753</v>
      </c>
    </row>
    <row r="302" customFormat="false" ht="12.75" hidden="false" customHeight="false" outlineLevel="0" collapsed="false">
      <c r="A302" s="105" t="n">
        <v>43800</v>
      </c>
      <c r="B302" s="105" t="n">
        <f aca="false">IF(OR(WEEKDAY(A302-1)=1,WEEKDAY(A302-1)=7),IF(OR(WEEKDAY(A302-2)=1,WEEKDAY(A302-2)=7),A302-3,A302-2),A302-1)</f>
        <v>43798</v>
      </c>
      <c r="C302" s="105" t="n">
        <v>43794</v>
      </c>
      <c r="D302" s="105" t="n">
        <v>43789</v>
      </c>
      <c r="E302" s="105" t="n">
        <v>43784</v>
      </c>
    </row>
    <row r="303" customFormat="false" ht="12.75" hidden="false" customHeight="false" outlineLevel="0" collapsed="false">
      <c r="A303" s="105" t="n">
        <v>43831</v>
      </c>
      <c r="B303" s="105" t="n">
        <v>43829</v>
      </c>
      <c r="C303" s="105" t="n">
        <v>43825</v>
      </c>
      <c r="D303" s="105" t="n">
        <v>43819</v>
      </c>
      <c r="E303" s="105" t="n">
        <v>43814</v>
      </c>
    </row>
    <row r="304" customFormat="false" ht="12.75" hidden="false" customHeight="false" outlineLevel="0" collapsed="false">
      <c r="A304" s="105" t="n">
        <v>43862</v>
      </c>
      <c r="B304" s="105" t="n">
        <f aca="false">IF(OR(WEEKDAY(A304-1)=1,WEEKDAY(A304-1)=7),IF(OR(WEEKDAY(A304-2)=1,WEEKDAY(A304-2)=7),A304-3,A304-2),A304-1)</f>
        <v>43861</v>
      </c>
      <c r="C304" s="105" t="n">
        <v>43858</v>
      </c>
      <c r="D304" s="105" t="n">
        <v>43850</v>
      </c>
      <c r="E304" s="105" t="n">
        <v>43845</v>
      </c>
    </row>
    <row r="305" customFormat="false" ht="12.75" hidden="false" customHeight="false" outlineLevel="0" collapsed="false">
      <c r="A305" s="105" t="n">
        <v>43891</v>
      </c>
      <c r="B305" s="105" t="n">
        <f aca="false">IF(OR(WEEKDAY(A305-1)=1,WEEKDAY(A305-1)=7),IF(OR(WEEKDAY(A305-2)=1,WEEKDAY(A305-2)=7),A305-3,A305-2),A305-1)</f>
        <v>43889</v>
      </c>
      <c r="C305" s="105" t="n">
        <v>43886</v>
      </c>
      <c r="D305" s="105" t="n">
        <v>43881</v>
      </c>
      <c r="E305" s="105" t="n">
        <v>43876</v>
      </c>
    </row>
    <row r="306" customFormat="false" ht="12.75" hidden="false" customHeight="false" outlineLevel="0" collapsed="false">
      <c r="A306" s="105" t="n">
        <v>43922</v>
      </c>
      <c r="B306" s="105" t="n">
        <f aca="false">IF(OR(WEEKDAY(A306-1)=1,WEEKDAY(A306-1)=7),IF(OR(WEEKDAY(A306-2)=1,WEEKDAY(A306-2)=7),A306-3,A306-2),A306-1)</f>
        <v>43921</v>
      </c>
      <c r="C306" s="105" t="n">
        <v>43916</v>
      </c>
      <c r="D306" s="105" t="n">
        <v>43910</v>
      </c>
      <c r="E306" s="105" t="n">
        <v>43905</v>
      </c>
    </row>
    <row r="307" customFormat="false" ht="12.75" hidden="false" customHeight="false" outlineLevel="0" collapsed="false">
      <c r="A307" s="105" t="n">
        <v>43952</v>
      </c>
      <c r="B307" s="105" t="n">
        <f aca="false">IF(OR(WEEKDAY(A307-1)=1,WEEKDAY(A307-1)=7),IF(OR(WEEKDAY(A307-2)=1,WEEKDAY(A307-2)=7),A307-3,A307-2),A307-1)</f>
        <v>43951</v>
      </c>
      <c r="C307" s="105" t="n">
        <v>43948</v>
      </c>
      <c r="D307" s="105" t="n">
        <v>43941</v>
      </c>
      <c r="E307" s="105" t="n">
        <v>43936</v>
      </c>
    </row>
    <row r="308" customFormat="false" ht="12.75" hidden="false" customHeight="false" outlineLevel="0" collapsed="false">
      <c r="A308" s="105" t="n">
        <v>43983</v>
      </c>
      <c r="B308" s="105" t="n">
        <f aca="false">IF(OR(WEEKDAY(A308-1)=1,WEEKDAY(A308-1)=7),IF(OR(WEEKDAY(A308-2)=1,WEEKDAY(A308-2)=7),A308-3,A308-2),A308-1)</f>
        <v>43980</v>
      </c>
      <c r="C308" s="105" t="n">
        <v>43977</v>
      </c>
      <c r="D308" s="105" t="n">
        <v>43971</v>
      </c>
      <c r="E308" s="105" t="n">
        <v>43966</v>
      </c>
    </row>
    <row r="309" customFormat="false" ht="12.75" hidden="false" customHeight="false" outlineLevel="0" collapsed="false">
      <c r="A309" s="105" t="n">
        <v>44013</v>
      </c>
      <c r="B309" s="105" t="n">
        <f aca="false">IF(OR(WEEKDAY(A309-1)=1,WEEKDAY(A309-1)=7),IF(OR(WEEKDAY(A309-2)=1,WEEKDAY(A309-2)=7),A309-3,A309-2),A309-1)</f>
        <v>44012</v>
      </c>
      <c r="C309" s="105" t="n">
        <v>44007</v>
      </c>
      <c r="D309" s="105" t="n">
        <v>44002</v>
      </c>
      <c r="E309" s="105" t="n">
        <v>43997</v>
      </c>
    </row>
    <row r="310" customFormat="false" ht="12.75" hidden="false" customHeight="false" outlineLevel="0" collapsed="false">
      <c r="A310" s="105" t="n">
        <v>44044</v>
      </c>
      <c r="B310" s="105" t="n">
        <f aca="false">IF(OR(WEEKDAY(A310-1)=1,WEEKDAY(A310-1)=7),IF(OR(WEEKDAY(A310-2)=1,WEEKDAY(A310-2)=7),A310-3,A310-2),A310-1)</f>
        <v>44043</v>
      </c>
      <c r="C310" s="105" t="n">
        <v>44040</v>
      </c>
      <c r="D310" s="105" t="n">
        <v>44032</v>
      </c>
      <c r="E310" s="105" t="n">
        <v>44027</v>
      </c>
    </row>
    <row r="311" customFormat="false" ht="12.75" hidden="false" customHeight="false" outlineLevel="0" collapsed="false">
      <c r="A311" s="105" t="n">
        <v>44075</v>
      </c>
      <c r="B311" s="105" t="n">
        <f aca="false">IF(OR(WEEKDAY(A311-1)=1,WEEKDAY(A311-1)=7),IF(OR(WEEKDAY(A311-2)=1,WEEKDAY(A311-2)=7),A311-3,A311-2),A311-1)</f>
        <v>44074</v>
      </c>
      <c r="C311" s="105" t="n">
        <v>44069</v>
      </c>
      <c r="D311" s="105" t="n">
        <v>44063</v>
      </c>
      <c r="E311" s="105" t="n">
        <v>44058</v>
      </c>
    </row>
    <row r="312" customFormat="false" ht="12.75" hidden="false" customHeight="false" outlineLevel="0" collapsed="false">
      <c r="A312" s="105" t="n">
        <v>44105</v>
      </c>
      <c r="B312" s="105" t="n">
        <f aca="false">IF(OR(WEEKDAY(A312-1)=1,WEEKDAY(A312-1)=7),IF(OR(WEEKDAY(A312-2)=1,WEEKDAY(A312-2)=7),A312-3,A312-2),A312-1)</f>
        <v>44104</v>
      </c>
      <c r="C312" s="105" t="n">
        <v>44099</v>
      </c>
      <c r="D312" s="105" t="n">
        <v>44094</v>
      </c>
      <c r="E312" s="105" t="n">
        <v>44089</v>
      </c>
    </row>
    <row r="313" customFormat="false" ht="12.75" hidden="false" customHeight="false" outlineLevel="0" collapsed="false">
      <c r="A313" s="105" t="n">
        <v>44136</v>
      </c>
      <c r="B313" s="105" t="n">
        <f aca="false">IF(OR(WEEKDAY(A313-1)=1,WEEKDAY(A313-1)=7),IF(OR(WEEKDAY(A313-2)=1,WEEKDAY(A313-2)=7),A313-3,A313-2),A313-1)</f>
        <v>44134</v>
      </c>
      <c r="C313" s="105" t="n">
        <v>44131</v>
      </c>
      <c r="D313" s="105" t="n">
        <v>44124</v>
      </c>
      <c r="E313" s="105" t="n">
        <v>44119</v>
      </c>
    </row>
    <row r="314" customFormat="false" ht="12.75" hidden="false" customHeight="false" outlineLevel="0" collapsed="false">
      <c r="A314" s="105" t="n">
        <v>44166</v>
      </c>
      <c r="B314" s="105" t="n">
        <f aca="false">IF(OR(WEEKDAY(A314-1)=1,WEEKDAY(A314-1)=7),IF(OR(WEEKDAY(A314-2)=1,WEEKDAY(A314-2)=7),A314-3,A314-2),A314-1)</f>
        <v>44165</v>
      </c>
      <c r="C314" s="105" t="n">
        <v>44159</v>
      </c>
      <c r="D314" s="105" t="n">
        <v>44155</v>
      </c>
      <c r="E314" s="105" t="n">
        <v>44150</v>
      </c>
    </row>
    <row r="315" customFormat="false" ht="12.75" hidden="false" customHeight="false" outlineLevel="0" collapsed="false">
      <c r="A315" s="105" t="n">
        <v>44197</v>
      </c>
      <c r="B315" s="105" t="n">
        <v>44195</v>
      </c>
      <c r="C315" s="105" t="n">
        <v>44193</v>
      </c>
      <c r="D315" s="105" t="n">
        <v>44185</v>
      </c>
      <c r="E315" s="105" t="n">
        <v>44180</v>
      </c>
    </row>
    <row r="316" customFormat="false" ht="12.75" hidden="false" customHeight="false" outlineLevel="0" collapsed="false">
      <c r="A316" s="105" t="n">
        <v>44228</v>
      </c>
      <c r="B316" s="105" t="n">
        <f aca="false">IF(OR(WEEKDAY(A316-1)=1,WEEKDAY(A316-1)=7),IF(OR(WEEKDAY(A316-2)=1,WEEKDAY(A316-2)=7),A316-3,A316-2),A316-1)</f>
        <v>44225</v>
      </c>
      <c r="C316" s="105" t="n">
        <v>44222</v>
      </c>
      <c r="D316" s="105" t="n">
        <v>44216</v>
      </c>
      <c r="E316" s="105" t="n">
        <v>44211</v>
      </c>
    </row>
    <row r="317" customFormat="false" ht="12.75" hidden="false" customHeight="false" outlineLevel="0" collapsed="false">
      <c r="A317" s="105" t="n">
        <v>44256</v>
      </c>
      <c r="B317" s="105" t="n">
        <f aca="false">IF(OR(WEEKDAY(A317-1)=1,WEEKDAY(A317-1)=7),IF(OR(WEEKDAY(A317-2)=1,WEEKDAY(A317-2)=7),A317-3,A317-2),A317-1)</f>
        <v>44253</v>
      </c>
      <c r="C317" s="105" t="n">
        <v>44250</v>
      </c>
      <c r="D317" s="105" t="n">
        <v>44247</v>
      </c>
      <c r="E317" s="105" t="n">
        <v>44242</v>
      </c>
    </row>
    <row r="318" customFormat="false" ht="12.75" hidden="false" customHeight="false" outlineLevel="0" collapsed="false">
      <c r="A318" s="105" t="n">
        <v>44287</v>
      </c>
      <c r="B318" s="105" t="n">
        <f aca="false">IF(OR(WEEKDAY(A318-1)=1,WEEKDAY(A318-1)=7),IF(OR(WEEKDAY(A318-2)=1,WEEKDAY(A318-2)=7),A318-3,A318-2),A318-1)</f>
        <v>44286</v>
      </c>
      <c r="C318" s="105" t="n">
        <v>44281</v>
      </c>
      <c r="D318" s="105" t="n">
        <v>44275</v>
      </c>
      <c r="E318" s="105" t="n">
        <v>44270</v>
      </c>
    </row>
    <row r="319" customFormat="false" ht="12.75" hidden="false" customHeight="false" outlineLevel="0" collapsed="false">
      <c r="A319" s="105" t="n">
        <v>44317</v>
      </c>
      <c r="B319" s="105" t="n">
        <f aca="false">IF(OR(WEEKDAY(A319-1)=1,WEEKDAY(A319-1)=7),IF(OR(WEEKDAY(A319-2)=1,WEEKDAY(A319-2)=7),A319-3,A319-2),A319-1)</f>
        <v>44316</v>
      </c>
      <c r="C319" s="105" t="n">
        <v>44313</v>
      </c>
      <c r="D319" s="105" t="n">
        <v>44306</v>
      </c>
      <c r="E319" s="105" t="n">
        <v>44301</v>
      </c>
    </row>
    <row r="320" customFormat="false" ht="12.75" hidden="false" customHeight="false" outlineLevel="0" collapsed="false">
      <c r="A320" s="105" t="n">
        <v>44348</v>
      </c>
      <c r="B320" s="105" t="n">
        <f aca="false">IF(OR(WEEKDAY(A320-1)=1,WEEKDAY(A320-1)=7),IF(OR(WEEKDAY(A320-2)=1,WEEKDAY(A320-2)=7),A320-3,A320-2),A320-1)</f>
        <v>44347</v>
      </c>
      <c r="C320" s="105" t="n">
        <v>44341</v>
      </c>
      <c r="D320" s="105" t="n">
        <v>44336</v>
      </c>
      <c r="E320" s="105" t="n">
        <v>44331</v>
      </c>
    </row>
    <row r="321" customFormat="false" ht="12.75" hidden="false" customHeight="false" outlineLevel="0" collapsed="false">
      <c r="A321" s="105" t="n">
        <v>44378</v>
      </c>
      <c r="B321" s="105" t="n">
        <f aca="false">IF(OR(WEEKDAY(A321-1)=1,WEEKDAY(A321-1)=7),IF(OR(WEEKDAY(A321-2)=1,WEEKDAY(A321-2)=7),A321-3,A321-2),A321-1)</f>
        <v>44377</v>
      </c>
      <c r="C321" s="105" t="n">
        <v>44372</v>
      </c>
      <c r="D321" s="105" t="n">
        <v>44367</v>
      </c>
      <c r="E321" s="105" t="n">
        <v>44362</v>
      </c>
    </row>
    <row r="322" customFormat="false" ht="12.75" hidden="false" customHeight="false" outlineLevel="0" collapsed="false">
      <c r="A322" s="105" t="n">
        <v>44409</v>
      </c>
      <c r="B322" s="105" t="n">
        <f aca="false">IF(OR(WEEKDAY(A322-1)=1,WEEKDAY(A322-1)=7),IF(OR(WEEKDAY(A322-2)=1,WEEKDAY(A322-2)=7),A322-3,A322-2),A322-1)</f>
        <v>44407</v>
      </c>
      <c r="C322" s="105" t="n">
        <v>44404</v>
      </c>
      <c r="D322" s="105" t="n">
        <v>44397</v>
      </c>
      <c r="E322" s="105" t="n">
        <v>44392</v>
      </c>
    </row>
    <row r="323" customFormat="false" ht="12.75" hidden="false" customHeight="false" outlineLevel="0" collapsed="false">
      <c r="A323" s="105" t="n">
        <v>44440</v>
      </c>
      <c r="B323" s="105" t="n">
        <f aca="false">IF(OR(WEEKDAY(A323-1)=1,WEEKDAY(A323-1)=7),IF(OR(WEEKDAY(A323-2)=1,WEEKDAY(A323-2)=7),A323-3,A323-2),A323-1)</f>
        <v>44439</v>
      </c>
      <c r="C323" s="105" t="n">
        <v>44434</v>
      </c>
      <c r="D323" s="105" t="n">
        <v>44428</v>
      </c>
      <c r="E323" s="105" t="n">
        <v>44423</v>
      </c>
    </row>
    <row r="324" customFormat="false" ht="12.75" hidden="false" customHeight="false" outlineLevel="0" collapsed="false">
      <c r="A324" s="105" t="n">
        <v>44470</v>
      </c>
      <c r="B324" s="105" t="n">
        <f aca="false">IF(OR(WEEKDAY(A324-1)=1,WEEKDAY(A324-1)=7),IF(OR(WEEKDAY(A324-2)=1,WEEKDAY(A324-2)=7),A324-3,A324-2),A324-1)</f>
        <v>44469</v>
      </c>
      <c r="C324" s="105" t="n">
        <v>44466</v>
      </c>
      <c r="D324" s="105" t="n">
        <v>44459</v>
      </c>
      <c r="E324" s="105" t="n">
        <v>44454</v>
      </c>
    </row>
    <row r="325" customFormat="false" ht="12.75" hidden="false" customHeight="false" outlineLevel="0" collapsed="false">
      <c r="A325" s="105" t="n">
        <v>44501</v>
      </c>
      <c r="B325" s="105" t="n">
        <f aca="false">IF(OR(WEEKDAY(A325-1)=1,WEEKDAY(A325-1)=7),IF(OR(WEEKDAY(A325-2)=1,WEEKDAY(A325-2)=7),A325-3,A325-2),A325-1)</f>
        <v>44498</v>
      </c>
      <c r="C325" s="105" t="n">
        <v>44495</v>
      </c>
      <c r="D325" s="105" t="n">
        <v>44489</v>
      </c>
      <c r="E325" s="105" t="n">
        <v>44484</v>
      </c>
    </row>
    <row r="326" customFormat="false" ht="12.75" hidden="false" customHeight="false" outlineLevel="0" collapsed="false">
      <c r="A326" s="105" t="n">
        <v>44531</v>
      </c>
      <c r="B326" s="105" t="n">
        <f aca="false">IF(OR(WEEKDAY(A326-1)=1,WEEKDAY(A326-1)=7),IF(OR(WEEKDAY(A326-2)=1,WEEKDAY(A326-2)=7),A326-3,A326-2),A326-1)</f>
        <v>44530</v>
      </c>
      <c r="C326" s="105" t="n">
        <v>44525</v>
      </c>
      <c r="D326" s="105" t="n">
        <v>44520</v>
      </c>
      <c r="E326" s="105" t="n">
        <v>44515</v>
      </c>
    </row>
    <row r="327" customFormat="false" ht="12.75" hidden="false" customHeight="false" outlineLevel="0" collapsed="false">
      <c r="A327" s="105" t="n">
        <v>44562</v>
      </c>
      <c r="B327" s="105" t="n">
        <v>44560</v>
      </c>
      <c r="C327" s="105" t="n">
        <v>44557</v>
      </c>
      <c r="D327" s="105" t="n">
        <v>44550</v>
      </c>
      <c r="E327" s="105" t="n">
        <v>44545</v>
      </c>
    </row>
    <row r="328" customFormat="false" ht="12.75" hidden="false" customHeight="false" outlineLevel="0" collapsed="false">
      <c r="A328" s="105" t="n">
        <v>44593</v>
      </c>
      <c r="B328" s="105" t="n">
        <f aca="false">IF(OR(WEEKDAY(A328-1)=1,WEEKDAY(A328-1)=7),IF(OR(WEEKDAY(A328-2)=1,WEEKDAY(A328-2)=7),A328-3,A328-2),A328-1)</f>
        <v>44592</v>
      </c>
      <c r="C328" s="105" t="n">
        <v>44587</v>
      </c>
      <c r="D328" s="105" t="n">
        <v>44581</v>
      </c>
      <c r="E328" s="105" t="n">
        <v>44576</v>
      </c>
    </row>
    <row r="329" customFormat="false" ht="12.75" hidden="false" customHeight="false" outlineLevel="0" collapsed="false">
      <c r="A329" s="105" t="n">
        <v>44621</v>
      </c>
      <c r="B329" s="105" t="n">
        <f aca="false">IF(OR(WEEKDAY(A329-1)=1,WEEKDAY(A329-1)=7),IF(OR(WEEKDAY(A329-2)=1,WEEKDAY(A329-2)=7),A329-3,A329-2),A329-1)</f>
        <v>44620</v>
      </c>
      <c r="C329" s="105" t="n">
        <v>44615</v>
      </c>
      <c r="D329" s="105" t="n">
        <v>44612</v>
      </c>
      <c r="E329" s="105" t="n">
        <v>44607</v>
      </c>
    </row>
    <row r="330" customFormat="false" ht="12.75" hidden="false" customHeight="false" outlineLevel="0" collapsed="false">
      <c r="A330" s="105" t="n">
        <v>44652</v>
      </c>
      <c r="B330" s="105" t="n">
        <f aca="false">IF(OR(WEEKDAY(A330-1)=1,WEEKDAY(A330-1)=7),IF(OR(WEEKDAY(A330-2)=1,WEEKDAY(A330-2)=7),A330-3,A330-2),A330-1)</f>
        <v>44651</v>
      </c>
      <c r="C330" s="105" t="n">
        <v>44648</v>
      </c>
      <c r="D330" s="105" t="n">
        <v>44640</v>
      </c>
      <c r="E330" s="105" t="n">
        <v>44635</v>
      </c>
    </row>
    <row r="331" customFormat="false" ht="12.75" hidden="false" customHeight="false" outlineLevel="0" collapsed="false">
      <c r="A331" s="105" t="n">
        <v>44682</v>
      </c>
      <c r="B331" s="105" t="n">
        <f aca="false">IF(OR(WEEKDAY(A331-1)=1,WEEKDAY(A331-1)=7),IF(OR(WEEKDAY(A331-2)=1,WEEKDAY(A331-2)=7),A331-3,A331-2),A331-1)</f>
        <v>44680</v>
      </c>
      <c r="C331" s="105" t="n">
        <v>44677</v>
      </c>
      <c r="D331" s="105" t="n">
        <v>44671</v>
      </c>
      <c r="E331" s="105" t="n">
        <v>44666</v>
      </c>
    </row>
    <row r="332" customFormat="false" ht="12.75" hidden="false" customHeight="false" outlineLevel="0" collapsed="false">
      <c r="A332" s="105" t="n">
        <v>44713</v>
      </c>
      <c r="B332" s="105" t="n">
        <f aca="false">IF(OR(WEEKDAY(A332-1)=1,WEEKDAY(A332-1)=7),IF(OR(WEEKDAY(A332-2)=1,WEEKDAY(A332-2)=7),A332-3,A332-2),A332-1)</f>
        <v>44712</v>
      </c>
      <c r="C332" s="105" t="n">
        <v>44706</v>
      </c>
      <c r="D332" s="105" t="n">
        <v>44701</v>
      </c>
      <c r="E332" s="105" t="n">
        <v>44696</v>
      </c>
    </row>
    <row r="333" customFormat="false" ht="12.75" hidden="false" customHeight="false" outlineLevel="0" collapsed="false">
      <c r="A333" s="105" t="n">
        <v>44743</v>
      </c>
      <c r="B333" s="105" t="n">
        <f aca="false">IF(OR(WEEKDAY(A333-1)=1,WEEKDAY(A333-1)=7),IF(OR(WEEKDAY(A333-2)=1,WEEKDAY(A333-2)=7),A333-3,A333-2),A333-1)</f>
        <v>44742</v>
      </c>
      <c r="C333" s="105" t="n">
        <v>44739</v>
      </c>
      <c r="D333" s="105" t="n">
        <v>44732</v>
      </c>
      <c r="E333" s="105" t="n">
        <v>44727</v>
      </c>
    </row>
    <row r="334" customFormat="false" ht="12.75" hidden="false" customHeight="false" outlineLevel="0" collapsed="false">
      <c r="A334" s="105" t="n">
        <v>44774</v>
      </c>
      <c r="B334" s="105" t="n">
        <f aca="false">IF(OR(WEEKDAY(A334-1)=1,WEEKDAY(A334-1)=7),IF(OR(WEEKDAY(A334-2)=1,WEEKDAY(A334-2)=7),A334-3,A334-2),A334-1)</f>
        <v>44771</v>
      </c>
      <c r="C334" s="105" t="n">
        <v>44768</v>
      </c>
      <c r="D334" s="105" t="n">
        <v>44762</v>
      </c>
      <c r="E334" s="105" t="n">
        <v>44757</v>
      </c>
    </row>
    <row r="335" customFormat="false" ht="12.75" hidden="false" customHeight="false" outlineLevel="0" collapsed="false">
      <c r="A335" s="105" t="n">
        <v>44805</v>
      </c>
      <c r="B335" s="105" t="n">
        <f aca="false">IF(OR(WEEKDAY(A335-1)=1,WEEKDAY(A335-1)=7),IF(OR(WEEKDAY(A335-2)=1,WEEKDAY(A335-2)=7),A335-3,A335-2),A335-1)</f>
        <v>44804</v>
      </c>
      <c r="C335" s="105" t="n">
        <v>44799</v>
      </c>
      <c r="D335" s="105" t="n">
        <v>44793</v>
      </c>
      <c r="E335" s="105" t="n">
        <v>44788</v>
      </c>
    </row>
    <row r="336" customFormat="false" ht="12.75" hidden="false" customHeight="false" outlineLevel="0" collapsed="false">
      <c r="A336" s="105" t="n">
        <v>44835</v>
      </c>
      <c r="B336" s="105" t="n">
        <f aca="false">IF(OR(WEEKDAY(A336-1)=1,WEEKDAY(A336-1)=7),IF(OR(WEEKDAY(A336-2)=1,WEEKDAY(A336-2)=7),A336-3,A336-2),A336-1)</f>
        <v>44834</v>
      </c>
      <c r="C336" s="105" t="n">
        <v>44831</v>
      </c>
      <c r="D336" s="105" t="n">
        <v>44824</v>
      </c>
      <c r="E336" s="105" t="n">
        <v>44819</v>
      </c>
    </row>
    <row r="337" customFormat="false" ht="12.75" hidden="false" customHeight="false" outlineLevel="0" collapsed="false">
      <c r="A337" s="105" t="n">
        <v>44866</v>
      </c>
      <c r="B337" s="105" t="n">
        <f aca="false">IF(OR(WEEKDAY(A337-1)=1,WEEKDAY(A337-1)=7),IF(OR(WEEKDAY(A337-2)=1,WEEKDAY(A337-2)=7),A337-3,A337-2),A337-1)</f>
        <v>44865</v>
      </c>
      <c r="C337" s="105" t="n">
        <v>44860</v>
      </c>
      <c r="D337" s="105" t="n">
        <v>44854</v>
      </c>
      <c r="E337" s="105" t="n">
        <v>44849</v>
      </c>
    </row>
    <row r="338" customFormat="false" ht="12.75" hidden="false" customHeight="false" outlineLevel="0" collapsed="false">
      <c r="A338" s="105" t="n">
        <v>44896</v>
      </c>
      <c r="B338" s="105" t="n">
        <f aca="false">IF(OR(WEEKDAY(A338-1)=1,WEEKDAY(A338-1)=7),IF(OR(WEEKDAY(A338-2)=1,WEEKDAY(A338-2)=7),A338-3,A338-2),A338-1)</f>
        <v>44895</v>
      </c>
      <c r="C338" s="105" t="n">
        <v>44890</v>
      </c>
      <c r="D338" s="105" t="n">
        <v>44885</v>
      </c>
      <c r="E338" s="105" t="n">
        <v>44880</v>
      </c>
    </row>
    <row r="339" customFormat="false" ht="12.75" hidden="false" customHeight="false" outlineLevel="0" collapsed="false">
      <c r="A339" s="105" t="n">
        <v>44927</v>
      </c>
      <c r="B339" s="105" t="n">
        <v>44925</v>
      </c>
      <c r="C339" s="105" t="n">
        <v>44922</v>
      </c>
      <c r="D339" s="105" t="n">
        <v>44915</v>
      </c>
      <c r="E339" s="105" t="n">
        <v>44910</v>
      </c>
    </row>
    <row r="340" customFormat="false" ht="12.75" hidden="false" customHeight="false" outlineLevel="0" collapsed="false">
      <c r="A340" s="105" t="n">
        <v>44958</v>
      </c>
      <c r="B340" s="105" t="n">
        <f aca="false">IF(OR(WEEKDAY(A340-1)=1,WEEKDAY(A340-1)=7),IF(OR(WEEKDAY(A340-2)=1,WEEKDAY(A340-2)=7),A340-3,A340-2),A340-1)</f>
        <v>44957</v>
      </c>
      <c r="C340" s="105" t="n">
        <v>44952</v>
      </c>
      <c r="D340" s="105" t="n">
        <v>44946</v>
      </c>
      <c r="E340" s="105" t="n">
        <v>44941</v>
      </c>
    </row>
    <row r="341" customFormat="false" ht="12.75" hidden="false" customHeight="false" outlineLevel="0" collapsed="false">
      <c r="A341" s="105" t="n">
        <v>44986</v>
      </c>
      <c r="B341" s="105" t="n">
        <f aca="false">IF(OR(WEEKDAY(A341-1)=1,WEEKDAY(A341-1)=7),IF(OR(WEEKDAY(A341-2)=1,WEEKDAY(A341-2)=7),A341-3,A341-2),A341-1)</f>
        <v>44985</v>
      </c>
      <c r="C341" s="105" t="n">
        <v>44980</v>
      </c>
      <c r="D341" s="105" t="n">
        <v>44977</v>
      </c>
      <c r="E341" s="105" t="n">
        <v>44972</v>
      </c>
    </row>
    <row r="342" customFormat="false" ht="12.75" hidden="false" customHeight="false" outlineLevel="0" collapsed="false">
      <c r="A342" s="105" t="n">
        <v>45017</v>
      </c>
      <c r="B342" s="105" t="n">
        <f aca="false">IF(OR(WEEKDAY(A342-1)=1,WEEKDAY(A342-1)=7),IF(OR(WEEKDAY(A342-2)=1,WEEKDAY(A342-2)=7),A342-3,A342-2),A342-1)</f>
        <v>45016</v>
      </c>
      <c r="C342" s="105" t="n">
        <v>45013</v>
      </c>
      <c r="D342" s="105" t="n">
        <v>45005</v>
      </c>
      <c r="E342" s="105" t="n">
        <v>45000</v>
      </c>
    </row>
    <row r="343" customFormat="false" ht="12.75" hidden="false" customHeight="false" outlineLevel="0" collapsed="false">
      <c r="A343" s="105" t="n">
        <v>45047</v>
      </c>
      <c r="B343" s="105" t="n">
        <f aca="false">IF(OR(WEEKDAY(A343-1)=1,WEEKDAY(A343-1)=7),IF(OR(WEEKDAY(A343-2)=1,WEEKDAY(A343-2)=7),A343-3,A343-2),A343-1)</f>
        <v>45044</v>
      </c>
      <c r="C343" s="105" t="n">
        <v>45041</v>
      </c>
      <c r="D343" s="105" t="n">
        <v>45036</v>
      </c>
      <c r="E343" s="105" t="n">
        <v>45031</v>
      </c>
    </row>
    <row r="344" customFormat="false" ht="12.75" hidden="false" customHeight="false" outlineLevel="0" collapsed="false">
      <c r="A344" s="105" t="n">
        <v>45078</v>
      </c>
      <c r="B344" s="105" t="n">
        <f aca="false">IF(OR(WEEKDAY(A344-1)=1,WEEKDAY(A344-1)=7),IF(OR(WEEKDAY(A344-2)=1,WEEKDAY(A344-2)=7),A344-3,A344-2),A344-1)</f>
        <v>45077</v>
      </c>
      <c r="C344" s="105" t="n">
        <v>45071</v>
      </c>
      <c r="D344" s="105" t="n">
        <v>45066</v>
      </c>
      <c r="E344" s="105" t="n">
        <v>45061</v>
      </c>
    </row>
    <row r="345" customFormat="false" ht="12.75" hidden="false" customHeight="false" outlineLevel="0" collapsed="false">
      <c r="A345" s="105" t="n">
        <v>45108</v>
      </c>
      <c r="B345" s="105" t="n">
        <f aca="false">IF(OR(WEEKDAY(A345-1)=1,WEEKDAY(A345-1)=7),IF(OR(WEEKDAY(A345-2)=1,WEEKDAY(A345-2)=7),A345-3,A345-2),A345-1)</f>
        <v>45107</v>
      </c>
      <c r="C345" s="105" t="n">
        <v>45104</v>
      </c>
      <c r="D345" s="105" t="n">
        <v>45097</v>
      </c>
      <c r="E345" s="105" t="n">
        <v>45092</v>
      </c>
    </row>
    <row r="346" customFormat="false" ht="12.75" hidden="false" customHeight="false" outlineLevel="0" collapsed="false">
      <c r="A346" s="105" t="n">
        <v>45139</v>
      </c>
      <c r="B346" s="105" t="n">
        <f aca="false">IF(OR(WEEKDAY(A346-1)=1,WEEKDAY(A346-1)=7),IF(OR(WEEKDAY(A346-2)=1,WEEKDAY(A346-2)=7),A346-3,A346-2),A346-1)</f>
        <v>45138</v>
      </c>
      <c r="C346" s="105" t="n">
        <v>45133</v>
      </c>
      <c r="D346" s="105" t="n">
        <v>45127</v>
      </c>
      <c r="E346" s="105" t="n">
        <v>45122</v>
      </c>
    </row>
    <row r="347" customFormat="false" ht="12.75" hidden="false" customHeight="false" outlineLevel="0" collapsed="false">
      <c r="A347" s="105" t="n">
        <v>45170</v>
      </c>
      <c r="B347" s="105" t="n">
        <f aca="false">IF(OR(WEEKDAY(A347-1)=1,WEEKDAY(A347-1)=7),IF(OR(WEEKDAY(A347-2)=1,WEEKDAY(A347-2)=7),A347-3,A347-2),A347-1)</f>
        <v>45169</v>
      </c>
      <c r="C347" s="105" t="n">
        <v>45166</v>
      </c>
      <c r="D347" s="105" t="n">
        <v>45158</v>
      </c>
      <c r="E347" s="105" t="n">
        <v>45153</v>
      </c>
    </row>
    <row r="348" customFormat="false" ht="12.75" hidden="false" customHeight="false" outlineLevel="0" collapsed="false">
      <c r="A348" s="105" t="n">
        <v>45200</v>
      </c>
      <c r="B348" s="105" t="n">
        <f aca="false">IF(OR(WEEKDAY(A348-1)=1,WEEKDAY(A348-1)=7),IF(OR(WEEKDAY(A348-2)=1,WEEKDAY(A348-2)=7),A348-3,A348-2),A348-1)</f>
        <v>45198</v>
      </c>
      <c r="C348" s="105" t="n">
        <v>45195</v>
      </c>
      <c r="D348" s="105" t="n">
        <v>45189</v>
      </c>
      <c r="E348" s="105" t="n">
        <v>45184</v>
      </c>
    </row>
    <row r="349" customFormat="false" ht="12.75" hidden="false" customHeight="false" outlineLevel="0" collapsed="false">
      <c r="A349" s="105" t="n">
        <v>45231</v>
      </c>
      <c r="B349" s="105" t="n">
        <f aca="false">IF(OR(WEEKDAY(A349-1)=1,WEEKDAY(A349-1)=7),IF(OR(WEEKDAY(A349-2)=1,WEEKDAY(A349-2)=7),A349-3,A349-2),A349-1)</f>
        <v>45230</v>
      </c>
      <c r="C349" s="105" t="n">
        <v>45225</v>
      </c>
      <c r="D349" s="105" t="n">
        <v>45219</v>
      </c>
      <c r="E349" s="105" t="n">
        <v>45214</v>
      </c>
    </row>
    <row r="350" customFormat="false" ht="12.75" hidden="false" customHeight="false" outlineLevel="0" collapsed="false">
      <c r="A350" s="105" t="n">
        <v>45261</v>
      </c>
      <c r="B350" s="105" t="n">
        <f aca="false">IF(OR(WEEKDAY(A350-1)=1,WEEKDAY(A350-1)=7),IF(OR(WEEKDAY(A350-2)=1,WEEKDAY(A350-2)=7),A350-3,A350-2),A350-1)</f>
        <v>45260</v>
      </c>
      <c r="C350" s="105" t="n">
        <v>45257</v>
      </c>
      <c r="D350" s="105" t="n">
        <v>45250</v>
      </c>
      <c r="E350" s="105" t="n">
        <v>45245</v>
      </c>
    </row>
    <row r="351" customFormat="false" ht="12.75" hidden="false" customHeight="false" outlineLevel="0" collapsed="false">
      <c r="A351" s="105" t="n">
        <v>45292</v>
      </c>
      <c r="B351" s="105" t="n">
        <f aca="false">IF(OR(WEEKDAY(A351-1)=1,WEEKDAY(A351-1)=7),IF(OR(WEEKDAY(A351-2)=1,WEEKDAY(A351-2)=7),A351-3,A351-2),A351-1)</f>
        <v>45289</v>
      </c>
      <c r="C351" s="105" t="n">
        <v>45286</v>
      </c>
      <c r="D351" s="105" t="n">
        <v>45280</v>
      </c>
      <c r="E351" s="105" t="n">
        <v>45275</v>
      </c>
    </row>
    <row r="352" customFormat="false" ht="12.75" hidden="false" customHeight="false" outlineLevel="0" collapsed="false">
      <c r="A352" s="105" t="n">
        <v>45323</v>
      </c>
      <c r="B352" s="105" t="n">
        <f aca="false">IF(OR(WEEKDAY(A352-1)=1,WEEKDAY(A352-1)=7),IF(OR(WEEKDAY(A352-2)=1,WEEKDAY(A352-2)=7),A352-3,A352-2),A352-1)</f>
        <v>45322</v>
      </c>
      <c r="C352" s="105" t="n">
        <v>45317</v>
      </c>
      <c r="D352" s="105" t="n">
        <v>45311</v>
      </c>
      <c r="E352" s="105" t="n">
        <v>45306</v>
      </c>
    </row>
    <row r="353" customFormat="false" ht="12.75" hidden="false" customHeight="false" outlineLevel="0" collapsed="false">
      <c r="A353" s="105" t="n">
        <v>45352</v>
      </c>
      <c r="B353" s="105" t="n">
        <f aca="false">IF(OR(WEEKDAY(A353-1)=1,WEEKDAY(A353-1)=7),IF(OR(WEEKDAY(A353-2)=1,WEEKDAY(A353-2)=7),A353-3,A353-2),A353-1)</f>
        <v>45351</v>
      </c>
      <c r="C353" s="105" t="n">
        <v>45348</v>
      </c>
      <c r="D353" s="105" t="n">
        <v>45342</v>
      </c>
      <c r="E353" s="105" t="n">
        <v>45337</v>
      </c>
    </row>
    <row r="354" customFormat="false" ht="12.75" hidden="false" customHeight="false" outlineLevel="0" collapsed="false">
      <c r="A354" s="105" t="n">
        <v>45383</v>
      </c>
      <c r="B354" s="105" t="n">
        <f aca="false">IF(OR(WEEKDAY(A354-1)=1,WEEKDAY(A354-1)=7),IF(OR(WEEKDAY(A354-2)=1,WEEKDAY(A354-2)=7),A354-3,A354-2),A354-1)</f>
        <v>45380</v>
      </c>
      <c r="C354" s="105" t="n">
        <v>45376</v>
      </c>
      <c r="D354" s="105" t="n">
        <v>45371</v>
      </c>
      <c r="E354" s="105" t="n">
        <v>45366</v>
      </c>
    </row>
    <row r="355" customFormat="false" ht="12.75" hidden="false" customHeight="false" outlineLevel="0" collapsed="false">
      <c r="A355" s="105" t="n">
        <v>45413</v>
      </c>
      <c r="B355" s="105" t="n">
        <f aca="false">IF(OR(WEEKDAY(A355-1)=1,WEEKDAY(A355-1)=7),IF(OR(WEEKDAY(A355-2)=1,WEEKDAY(A355-2)=7),A355-3,A355-2),A355-1)</f>
        <v>45412</v>
      </c>
      <c r="C355" s="105" t="n">
        <v>45407</v>
      </c>
      <c r="D355" s="105" t="n">
        <v>45402</v>
      </c>
      <c r="E355" s="105" t="n">
        <v>45397</v>
      </c>
    </row>
    <row r="356" customFormat="false" ht="12.75" hidden="false" customHeight="false" outlineLevel="0" collapsed="false">
      <c r="A356" s="105" t="n">
        <v>45444</v>
      </c>
      <c r="B356" s="105" t="n">
        <f aca="false">IF(OR(WEEKDAY(A356-1)=1,WEEKDAY(A356-1)=7),IF(OR(WEEKDAY(A356-2)=1,WEEKDAY(A356-2)=7),A356-3,A356-2),A356-1)</f>
        <v>45443</v>
      </c>
      <c r="C356" s="105" t="n">
        <v>45440</v>
      </c>
      <c r="D356" s="105" t="n">
        <v>45432</v>
      </c>
      <c r="E356" s="105" t="n">
        <v>45427</v>
      </c>
    </row>
    <row r="357" customFormat="false" ht="12.75" hidden="false" customHeight="false" outlineLevel="0" collapsed="false">
      <c r="A357" s="105" t="n">
        <v>45474</v>
      </c>
      <c r="B357" s="105" t="n">
        <f aca="false">IF(OR(WEEKDAY(A357-1)=1,WEEKDAY(A357-1)=7),IF(OR(WEEKDAY(A357-2)=1,WEEKDAY(A357-2)=7),A357-3,A357-2),A357-1)</f>
        <v>45471</v>
      </c>
      <c r="C357" s="105" t="n">
        <v>45468</v>
      </c>
      <c r="D357" s="105" t="n">
        <v>45463</v>
      </c>
      <c r="E357" s="105" t="n">
        <v>45458</v>
      </c>
    </row>
    <row r="358" customFormat="false" ht="12.75" hidden="false" customHeight="false" outlineLevel="0" collapsed="false">
      <c r="A358" s="105" t="n">
        <v>45505</v>
      </c>
      <c r="B358" s="105" t="n">
        <f aca="false">IF(OR(WEEKDAY(A358-1)=1,WEEKDAY(A358-1)=7),IF(OR(WEEKDAY(A358-2)=1,WEEKDAY(A358-2)=7),A358-3,A358-2),A358-1)</f>
        <v>45504</v>
      </c>
      <c r="C358" s="105" t="n">
        <v>45499</v>
      </c>
      <c r="D358" s="105" t="n">
        <v>45493</v>
      </c>
      <c r="E358" s="105" t="n">
        <v>45488</v>
      </c>
    </row>
    <row r="359" customFormat="false" ht="12.75" hidden="false" customHeight="false" outlineLevel="0" collapsed="false">
      <c r="A359" s="105" t="n">
        <v>45536</v>
      </c>
      <c r="B359" s="105" t="n">
        <f aca="false">IF(OR(WEEKDAY(A359-1)=1,WEEKDAY(A359-1)=7),IF(OR(WEEKDAY(A359-2)=1,WEEKDAY(A359-2)=7),A359-3,A359-2),A359-1)</f>
        <v>45534</v>
      </c>
      <c r="C359" s="105" t="n">
        <v>45531</v>
      </c>
      <c r="D359" s="105" t="n">
        <v>45524</v>
      </c>
      <c r="E359" s="105" t="n">
        <v>45519</v>
      </c>
    </row>
    <row r="360" customFormat="false" ht="12.75" hidden="false" customHeight="false" outlineLevel="0" collapsed="false">
      <c r="A360" s="105" t="n">
        <v>45566</v>
      </c>
      <c r="B360" s="105" t="n">
        <f aca="false">IF(OR(WEEKDAY(A360-1)=1,WEEKDAY(A360-1)=7),IF(OR(WEEKDAY(A360-2)=1,WEEKDAY(A360-2)=7),A360-3,A360-2),A360-1)</f>
        <v>45565</v>
      </c>
      <c r="C360" s="105" t="n">
        <v>45560</v>
      </c>
      <c r="D360" s="105" t="n">
        <v>45555</v>
      </c>
      <c r="E360" s="105" t="n">
        <v>45550</v>
      </c>
    </row>
    <row r="361" customFormat="false" ht="12.75" hidden="false" customHeight="false" outlineLevel="0" collapsed="false">
      <c r="A361" s="105" t="n">
        <v>45597</v>
      </c>
      <c r="B361" s="105" t="n">
        <f aca="false">IF(OR(WEEKDAY(A361-1)=1,WEEKDAY(A361-1)=7),IF(OR(WEEKDAY(A361-2)=1,WEEKDAY(A361-2)=7),A361-3,A361-2),A361-1)</f>
        <v>45596</v>
      </c>
      <c r="C361" s="105" t="n">
        <v>45593</v>
      </c>
      <c r="D361" s="105" t="n">
        <v>45585</v>
      </c>
      <c r="E361" s="105" t="n">
        <v>45580</v>
      </c>
    </row>
    <row r="362" customFormat="false" ht="12.75" hidden="false" customHeight="false" outlineLevel="0" collapsed="false">
      <c r="A362" s="105" t="n">
        <v>45627</v>
      </c>
      <c r="B362" s="105" t="n">
        <f aca="false">IF(OR(WEEKDAY(A362-1)=1,WEEKDAY(A362-1)=7),IF(OR(WEEKDAY(A362-2)=1,WEEKDAY(A362-2)=7),A362-3,A362-2),A362-1)</f>
        <v>45625</v>
      </c>
      <c r="C362" s="105" t="n">
        <v>45621</v>
      </c>
      <c r="D362" s="105" t="n">
        <v>45616</v>
      </c>
      <c r="E362" s="105" t="n">
        <v>45611</v>
      </c>
    </row>
    <row r="363" customFormat="false" ht="12.75" hidden="false" customHeight="false" outlineLevel="0" collapsed="false">
      <c r="A363" s="105" t="n">
        <v>45658</v>
      </c>
      <c r="B363" s="105" t="n">
        <v>45656</v>
      </c>
      <c r="C363" s="105" t="n">
        <v>45652</v>
      </c>
      <c r="D363" s="105"/>
      <c r="E363" s="105"/>
    </row>
    <row r="364" customFormat="false" ht="12.75" hidden="false" customHeight="false" outlineLevel="0" collapsed="false">
      <c r="A364" s="105" t="n">
        <v>45689</v>
      </c>
      <c r="B364" s="105" t="n">
        <f aca="false">IF(OR(WEEKDAY(A364-1)=1,WEEKDAY(A364-1)=7),IF(OR(WEEKDAY(A364-2)=1,WEEKDAY(A364-2)=7),A364-3,A364-2),A364-1)</f>
        <v>45688</v>
      </c>
      <c r="C364" s="105" t="n">
        <v>45685</v>
      </c>
      <c r="D364" s="105"/>
      <c r="E364" s="105"/>
    </row>
    <row r="365" customFormat="false" ht="12.75" hidden="false" customHeight="false" outlineLevel="0" collapsed="false">
      <c r="A365" s="105" t="n">
        <v>45717</v>
      </c>
      <c r="B365" s="105" t="n">
        <f aca="false">IF(OR(WEEKDAY(A365-1)=1,WEEKDAY(A365-1)=7),IF(OR(WEEKDAY(A365-2)=1,WEEKDAY(A365-2)=7),A365-3,A365-2),A365-1)</f>
        <v>45716</v>
      </c>
      <c r="C365" s="105" t="n">
        <v>45713</v>
      </c>
      <c r="D365" s="105"/>
      <c r="E365" s="105"/>
    </row>
    <row r="366" customFormat="false" ht="12.75" hidden="false" customHeight="false" outlineLevel="0" collapsed="false">
      <c r="A366" s="105" t="n">
        <v>45748</v>
      </c>
      <c r="B366" s="105" t="n">
        <f aca="false">IF(OR(WEEKDAY(A366-1)=1,WEEKDAY(A366-1)=7),IF(OR(WEEKDAY(A366-2)=1,WEEKDAY(A366-2)=7),A366-3,A366-2),A366-1)</f>
        <v>45747</v>
      </c>
      <c r="C366" s="105" t="n">
        <v>45742</v>
      </c>
      <c r="D366" s="105"/>
      <c r="E366" s="105"/>
    </row>
    <row r="367" customFormat="false" ht="12.75" hidden="false" customHeight="false" outlineLevel="0" collapsed="false">
      <c r="A367" s="105" t="n">
        <v>45778</v>
      </c>
      <c r="B367" s="105" t="n">
        <f aca="false">IF(OR(WEEKDAY(A367-1)=1,WEEKDAY(A367-1)=7),IF(OR(WEEKDAY(A367-2)=1,WEEKDAY(A367-2)=7),A367-3,A367-2),A367-1)</f>
        <v>45777</v>
      </c>
      <c r="C367" s="105" t="n">
        <v>45772</v>
      </c>
      <c r="D367" s="105"/>
      <c r="E367" s="105"/>
    </row>
    <row r="368" customFormat="false" ht="12.75" hidden="false" customHeight="false" outlineLevel="0" collapsed="false">
      <c r="A368" s="105" t="n">
        <v>45809</v>
      </c>
      <c r="B368" s="105" t="n">
        <f aca="false">IF(OR(WEEKDAY(A368-1)=1,WEEKDAY(A368-1)=7),IF(OR(WEEKDAY(A368-2)=1,WEEKDAY(A368-2)=7),A368-3,A368-2),A368-1)</f>
        <v>45807</v>
      </c>
      <c r="C368" s="105" t="n">
        <v>45804</v>
      </c>
      <c r="D368" s="105"/>
      <c r="E368" s="105"/>
    </row>
    <row r="369" customFormat="false" ht="12.75" hidden="false" customHeight="false" outlineLevel="0" collapsed="false">
      <c r="A369" s="105" t="n">
        <v>45839</v>
      </c>
      <c r="B369" s="105" t="n">
        <f aca="false">IF(OR(WEEKDAY(A369-1)=1,WEEKDAY(A369-1)=7),IF(OR(WEEKDAY(A369-2)=1,WEEKDAY(A369-2)=7),A369-3,A369-2),A369-1)</f>
        <v>45838</v>
      </c>
      <c r="C369" s="105" t="n">
        <v>45833</v>
      </c>
      <c r="D369" s="105"/>
      <c r="E369" s="105"/>
    </row>
    <row r="370" customFormat="false" ht="12.75" hidden="false" customHeight="false" outlineLevel="0" collapsed="false">
      <c r="A370" s="105" t="n">
        <v>45870</v>
      </c>
      <c r="B370" s="105" t="n">
        <f aca="false">IF(OR(WEEKDAY(A370-1)=1,WEEKDAY(A370-1)=7),IF(OR(WEEKDAY(A370-2)=1,WEEKDAY(A370-2)=7),A370-3,A370-2),A370-1)</f>
        <v>45869</v>
      </c>
      <c r="C370" s="105" t="n">
        <v>45866</v>
      </c>
      <c r="D370" s="105"/>
      <c r="E370" s="105"/>
    </row>
    <row r="371" customFormat="false" ht="12.75" hidden="false" customHeight="false" outlineLevel="0" collapsed="false">
      <c r="A371" s="105" t="n">
        <v>45901</v>
      </c>
      <c r="B371" s="105" t="n">
        <f aca="false">IF(OR(WEEKDAY(A371-1)=1,WEEKDAY(A371-1)=7),IF(OR(WEEKDAY(A371-2)=1,WEEKDAY(A371-2)=7),A371-3,A371-2),A371-1)</f>
        <v>45898</v>
      </c>
      <c r="C371" s="105" t="n">
        <v>45895</v>
      </c>
      <c r="D371" s="105"/>
      <c r="E371" s="105"/>
    </row>
    <row r="372" customFormat="false" ht="12.75" hidden="false" customHeight="false" outlineLevel="0" collapsed="false">
      <c r="A372" s="105" t="n">
        <v>45931</v>
      </c>
      <c r="B372" s="105" t="n">
        <f aca="false">IF(OR(WEEKDAY(A372-1)=1,WEEKDAY(A372-1)=7),IF(OR(WEEKDAY(A372-2)=1,WEEKDAY(A372-2)=7),A372-3,A372-2),A372-1)</f>
        <v>45930</v>
      </c>
      <c r="C372" s="105" t="n">
        <v>45925</v>
      </c>
      <c r="D372" s="105"/>
      <c r="E372" s="105"/>
    </row>
    <row r="373" customFormat="false" ht="12.75" hidden="false" customHeight="false" outlineLevel="0" collapsed="false">
      <c r="A373" s="105" t="n">
        <v>45962</v>
      </c>
      <c r="B373" s="105" t="n">
        <f aca="false">IF(OR(WEEKDAY(A373-1)=1,WEEKDAY(A373-1)=7),IF(OR(WEEKDAY(A373-2)=1,WEEKDAY(A373-2)=7),A373-3,A373-2),A373-1)</f>
        <v>45961</v>
      </c>
      <c r="C373" s="105" t="n">
        <v>45958</v>
      </c>
      <c r="D373" s="105"/>
      <c r="E373" s="105"/>
    </row>
    <row r="374" customFormat="false" ht="12.75" hidden="false" customHeight="false" outlineLevel="0" collapsed="false">
      <c r="A374" s="105" t="n">
        <v>45992</v>
      </c>
      <c r="B374" s="105" t="n">
        <f aca="false">IF(OR(WEEKDAY(A374-1)=1,WEEKDAY(A374-1)=7),IF(OR(WEEKDAY(A374-2)=1,WEEKDAY(A374-2)=7),A374-3,A374-2),A374-1)</f>
        <v>45989</v>
      </c>
      <c r="C374" s="105" t="n">
        <v>45985</v>
      </c>
      <c r="D374" s="105"/>
      <c r="E374" s="105"/>
    </row>
    <row r="375" customFormat="false" ht="12.75" hidden="false" customHeight="false" outlineLevel="0" collapsed="false">
      <c r="A375" s="105" t="n">
        <v>46023</v>
      </c>
      <c r="B375" s="105" t="n">
        <v>46021</v>
      </c>
      <c r="C375" s="105" t="n">
        <v>46017</v>
      </c>
      <c r="D375" s="105"/>
      <c r="E375" s="105"/>
    </row>
    <row r="376" customFormat="false" ht="12.75" hidden="false" customHeight="false" outlineLevel="0" collapsed="false">
      <c r="A376" s="105" t="n">
        <v>46054</v>
      </c>
      <c r="B376" s="105" t="n">
        <f aca="false">IF(OR(WEEKDAY(A376-1)=1,WEEKDAY(A376-1)=7),IF(OR(WEEKDAY(A376-2)=1,WEEKDAY(A376-2)=7),A376-3,A376-2),A376-1)</f>
        <v>46052</v>
      </c>
      <c r="C376" s="105" t="n">
        <v>46049</v>
      </c>
      <c r="D376" s="105"/>
      <c r="E376" s="105"/>
    </row>
    <row r="377" customFormat="false" ht="12.75" hidden="false" customHeight="false" outlineLevel="0" collapsed="false">
      <c r="A377" s="105" t="n">
        <v>46082</v>
      </c>
      <c r="B377" s="105" t="n">
        <f aca="false">IF(OR(WEEKDAY(A377-1)=1,WEEKDAY(A377-1)=7),IF(OR(WEEKDAY(A377-2)=1,WEEKDAY(A377-2)=7),A377-3,A377-2),A377-1)</f>
        <v>46080</v>
      </c>
      <c r="C377" s="105" t="n">
        <v>46077</v>
      </c>
      <c r="D377" s="105"/>
      <c r="E377" s="105"/>
    </row>
    <row r="378" customFormat="false" ht="12.75" hidden="false" customHeight="false" outlineLevel="0" collapsed="false">
      <c r="A378" s="105" t="n">
        <v>46113</v>
      </c>
      <c r="B378" s="105" t="n">
        <f aca="false">IF(OR(WEEKDAY(A378-1)=1,WEEKDAY(A378-1)=7),IF(OR(WEEKDAY(A378-2)=1,WEEKDAY(A378-2)=7),A378-3,A378-2),A378-1)</f>
        <v>46112</v>
      </c>
      <c r="C378" s="105" t="n">
        <v>46107</v>
      </c>
      <c r="D378" s="105"/>
      <c r="E378" s="105"/>
    </row>
    <row r="379" customFormat="false" ht="12.75" hidden="false" customHeight="false" outlineLevel="0" collapsed="false">
      <c r="A379" s="105" t="n">
        <v>46143</v>
      </c>
      <c r="B379" s="105" t="n">
        <f aca="false">IF(OR(WEEKDAY(A379-1)=1,WEEKDAY(A379-1)=7),IF(OR(WEEKDAY(A379-2)=1,WEEKDAY(A379-2)=7),A379-3,A379-2),A379-1)</f>
        <v>46142</v>
      </c>
      <c r="C379" s="105" t="n">
        <v>46139</v>
      </c>
      <c r="D379" s="105"/>
      <c r="E379" s="105"/>
    </row>
    <row r="380" customFormat="false" ht="12.75" hidden="false" customHeight="false" outlineLevel="0" collapsed="false">
      <c r="A380" s="105" t="n">
        <v>46174</v>
      </c>
      <c r="B380" s="105" t="n">
        <f aca="false">IF(OR(WEEKDAY(A380-1)=1,WEEKDAY(A380-1)=7),IF(OR(WEEKDAY(A380-2)=1,WEEKDAY(A380-2)=7),A380-3,A380-2),A380-1)</f>
        <v>46171</v>
      </c>
      <c r="C380" s="105" t="n">
        <v>46168</v>
      </c>
      <c r="D380" s="105"/>
      <c r="E380" s="105"/>
    </row>
    <row r="381" customFormat="false" ht="12.75" hidden="false" customHeight="false" outlineLevel="0" collapsed="false">
      <c r="A381" s="105" t="n">
        <v>46204</v>
      </c>
      <c r="B381" s="105" t="n">
        <f aca="false">IF(OR(WEEKDAY(A381-1)=1,WEEKDAY(A381-1)=7),IF(OR(WEEKDAY(A381-2)=1,WEEKDAY(A381-2)=7),A381-3,A381-2),A381-1)</f>
        <v>46203</v>
      </c>
      <c r="C381" s="105" t="n">
        <v>46198</v>
      </c>
      <c r="D381" s="105"/>
      <c r="E381" s="105"/>
    </row>
    <row r="382" customFormat="false" ht="12.75" hidden="false" customHeight="false" outlineLevel="0" collapsed="false">
      <c r="A382" s="105" t="n">
        <v>46235</v>
      </c>
      <c r="B382" s="105" t="n">
        <f aca="false">IF(OR(WEEKDAY(A382-1)=1,WEEKDAY(A382-1)=7),IF(OR(WEEKDAY(A382-2)=1,WEEKDAY(A382-2)=7),A382-3,A382-2),A382-1)</f>
        <v>46234</v>
      </c>
      <c r="C382" s="105" t="n">
        <v>46231</v>
      </c>
      <c r="D382" s="105"/>
      <c r="E382" s="105"/>
    </row>
    <row r="383" customFormat="false" ht="12.75" hidden="false" customHeight="false" outlineLevel="0" collapsed="false">
      <c r="A383" s="105" t="n">
        <v>46266</v>
      </c>
      <c r="B383" s="105" t="n">
        <f aca="false">IF(OR(WEEKDAY(A383-1)=1,WEEKDAY(A383-1)=7),IF(OR(WEEKDAY(A383-2)=1,WEEKDAY(A383-2)=7),A383-3,A383-2),A383-1)</f>
        <v>46265</v>
      </c>
      <c r="C383" s="105" t="n">
        <v>46260</v>
      </c>
      <c r="D383" s="105"/>
      <c r="E383" s="105"/>
    </row>
    <row r="384" customFormat="false" ht="12.75" hidden="false" customHeight="false" outlineLevel="0" collapsed="false">
      <c r="A384" s="105" t="n">
        <v>46296</v>
      </c>
      <c r="B384" s="105" t="n">
        <f aca="false">IF(OR(WEEKDAY(A384-1)=1,WEEKDAY(A384-1)=7),IF(OR(WEEKDAY(A384-2)=1,WEEKDAY(A384-2)=7),A384-3,A384-2),A384-1)</f>
        <v>46295</v>
      </c>
      <c r="C384" s="105" t="n">
        <v>46290</v>
      </c>
      <c r="D384" s="105"/>
      <c r="E384" s="105"/>
    </row>
    <row r="385" customFormat="false" ht="12.75" hidden="false" customHeight="false" outlineLevel="0" collapsed="false">
      <c r="A385" s="105" t="n">
        <v>46327</v>
      </c>
      <c r="B385" s="105" t="n">
        <f aca="false">IF(OR(WEEKDAY(A385-1)=1,WEEKDAY(A385-1)=7),IF(OR(WEEKDAY(A385-2)=1,WEEKDAY(A385-2)=7),A385-3,A385-2),A385-1)</f>
        <v>46325</v>
      </c>
      <c r="C385" s="105" t="n">
        <v>46322</v>
      </c>
      <c r="D385" s="105"/>
      <c r="E385" s="105"/>
    </row>
    <row r="386" customFormat="false" ht="12.75" hidden="false" customHeight="false" outlineLevel="0" collapsed="false">
      <c r="A386" s="105" t="n">
        <v>46357</v>
      </c>
      <c r="B386" s="105" t="n">
        <f aca="false">IF(OR(WEEKDAY(A386-1)=1,WEEKDAY(A386-1)=7),IF(OR(WEEKDAY(A386-2)=1,WEEKDAY(A386-2)=7),A386-3,A386-2),A386-1)</f>
        <v>46356</v>
      </c>
      <c r="C386" s="105" t="n">
        <v>46350</v>
      </c>
      <c r="D386" s="105"/>
      <c r="E386" s="105"/>
    </row>
    <row r="387" customFormat="false" ht="12.75" hidden="false" customHeight="false" outlineLevel="0" collapsed="false">
      <c r="A387" s="105" t="n">
        <v>46388</v>
      </c>
      <c r="B387" s="105" t="n">
        <v>46386</v>
      </c>
      <c r="C387" s="105" t="n">
        <v>46384</v>
      </c>
      <c r="D387" s="105"/>
      <c r="E387" s="105"/>
    </row>
    <row r="388" customFormat="false" ht="12.75" hidden="false" customHeight="false" outlineLevel="0" collapsed="false">
      <c r="A388" s="105" t="n">
        <v>46419</v>
      </c>
      <c r="B388" s="105" t="n">
        <f aca="false">IF(OR(WEEKDAY(A388-1)=1,WEEKDAY(A388-1)=7),IF(OR(WEEKDAY(A388-2)=1,WEEKDAY(A388-2)=7),A388-3,A388-2),A388-1)</f>
        <v>46416</v>
      </c>
      <c r="C388" s="105" t="n">
        <v>46413</v>
      </c>
      <c r="D388" s="105"/>
      <c r="E388" s="105"/>
    </row>
    <row r="389" customFormat="false" ht="12.75" hidden="false" customHeight="false" outlineLevel="0" collapsed="false">
      <c r="A389" s="105" t="n">
        <v>46447</v>
      </c>
      <c r="B389" s="105" t="n">
        <f aca="false">IF(OR(WEEKDAY(A389-1)=1,WEEKDAY(A389-1)=7),IF(OR(WEEKDAY(A389-2)=1,WEEKDAY(A389-2)=7),A389-3,A389-2),A389-1)</f>
        <v>46444</v>
      </c>
      <c r="C389" s="105" t="n">
        <v>46441</v>
      </c>
      <c r="D389" s="105"/>
      <c r="E389" s="105"/>
    </row>
    <row r="390" customFormat="false" ht="12.75" hidden="false" customHeight="false" outlineLevel="0" collapsed="false">
      <c r="A390" s="105" t="n">
        <v>46478</v>
      </c>
      <c r="B390" s="105" t="n">
        <f aca="false">IF(OR(WEEKDAY(A390-1)=1,WEEKDAY(A390-1)=7),IF(OR(WEEKDAY(A390-2)=1,WEEKDAY(A390-2)=7),A390-3,A390-2),A390-1)</f>
        <v>46477</v>
      </c>
      <c r="C390" s="105" t="n">
        <v>46472</v>
      </c>
      <c r="D390" s="105"/>
      <c r="E390" s="105"/>
    </row>
    <row r="391" customFormat="false" ht="12.75" hidden="false" customHeight="false" outlineLevel="0" collapsed="false">
      <c r="A391" s="105" t="n">
        <v>46508</v>
      </c>
      <c r="B391" s="105" t="n">
        <f aca="false">IF(OR(WEEKDAY(A391-1)=1,WEEKDAY(A391-1)=7),IF(OR(WEEKDAY(A391-2)=1,WEEKDAY(A391-2)=7),A391-3,A391-2),A391-1)</f>
        <v>46507</v>
      </c>
      <c r="C391" s="105" t="n">
        <v>46504</v>
      </c>
      <c r="D391" s="105"/>
      <c r="E391" s="105"/>
    </row>
    <row r="392" customFormat="false" ht="12.75" hidden="false" customHeight="false" outlineLevel="0" collapsed="false">
      <c r="A392" s="105" t="n">
        <v>46539</v>
      </c>
      <c r="B392" s="105" t="n">
        <f aca="false">IF(OR(WEEKDAY(A392-1)=1,WEEKDAY(A392-1)=7),IF(OR(WEEKDAY(A392-2)=1,WEEKDAY(A392-2)=7),A392-3,A392-2),A392-1)</f>
        <v>46538</v>
      </c>
      <c r="C392" s="105" t="n">
        <v>46532</v>
      </c>
      <c r="D392" s="105"/>
      <c r="E392" s="105"/>
    </row>
    <row r="393" customFormat="false" ht="12.75" hidden="false" customHeight="false" outlineLevel="0" collapsed="false">
      <c r="A393" s="105" t="n">
        <v>46569</v>
      </c>
      <c r="B393" s="105" t="n">
        <f aca="false">IF(OR(WEEKDAY(A393-1)=1,WEEKDAY(A393-1)=7),IF(OR(WEEKDAY(A393-2)=1,WEEKDAY(A393-2)=7),A393-3,A393-2),A393-1)</f>
        <v>46568</v>
      </c>
      <c r="C393" s="105" t="n">
        <v>46563</v>
      </c>
      <c r="D393" s="105"/>
      <c r="E393" s="105"/>
    </row>
    <row r="394" customFormat="false" ht="12.75" hidden="false" customHeight="false" outlineLevel="0" collapsed="false">
      <c r="A394" s="105" t="n">
        <v>46600</v>
      </c>
      <c r="B394" s="105" t="n">
        <f aca="false">IF(OR(WEEKDAY(A394-1)=1,WEEKDAY(A394-1)=7),IF(OR(WEEKDAY(A394-2)=1,WEEKDAY(A394-2)=7),A394-3,A394-2),A394-1)</f>
        <v>46598</v>
      </c>
      <c r="C394" s="105" t="n">
        <v>46595</v>
      </c>
      <c r="D394" s="105"/>
      <c r="E394" s="105"/>
    </row>
    <row r="395" customFormat="false" ht="12.75" hidden="false" customHeight="false" outlineLevel="0" collapsed="false">
      <c r="A395" s="105" t="n">
        <v>46631</v>
      </c>
      <c r="B395" s="105" t="n">
        <f aca="false">IF(OR(WEEKDAY(A395-1)=1,WEEKDAY(A395-1)=7),IF(OR(WEEKDAY(A395-2)=1,WEEKDAY(A395-2)=7),A395-3,A395-2),A395-1)</f>
        <v>46630</v>
      </c>
      <c r="C395" s="105" t="n">
        <v>46625</v>
      </c>
      <c r="D395" s="105"/>
      <c r="E395" s="105"/>
    </row>
    <row r="396" customFormat="false" ht="12.75" hidden="false" customHeight="false" outlineLevel="0" collapsed="false">
      <c r="A396" s="105" t="n">
        <v>46661</v>
      </c>
      <c r="B396" s="105" t="n">
        <f aca="false">IF(OR(WEEKDAY(A396-1)=1,WEEKDAY(A396-1)=7),IF(OR(WEEKDAY(A396-2)=1,WEEKDAY(A396-2)=7),A396-3,A396-2),A396-1)</f>
        <v>46660</v>
      </c>
      <c r="C396" s="105" t="n">
        <v>46657</v>
      </c>
      <c r="D396" s="105"/>
      <c r="E396" s="105"/>
    </row>
    <row r="397" customFormat="false" ht="12.75" hidden="false" customHeight="false" outlineLevel="0" collapsed="false">
      <c r="A397" s="105" t="n">
        <v>46692</v>
      </c>
      <c r="B397" s="105" t="n">
        <f aca="false">IF(OR(WEEKDAY(A397-1)=1,WEEKDAY(A397-1)=7),IF(OR(WEEKDAY(A397-2)=1,WEEKDAY(A397-2)=7),A397-3,A397-2),A397-1)</f>
        <v>46689</v>
      </c>
      <c r="C397" s="105" t="n">
        <v>46686</v>
      </c>
      <c r="D397" s="105"/>
      <c r="E397" s="105"/>
    </row>
    <row r="398" customFormat="false" ht="12.75" hidden="false" customHeight="false" outlineLevel="0" collapsed="false">
      <c r="A398" s="105" t="n">
        <v>46722</v>
      </c>
      <c r="B398" s="105" t="n">
        <f aca="false">IF(OR(WEEKDAY(A398-1)=1,WEEKDAY(A398-1)=7),IF(OR(WEEKDAY(A398-2)=1,WEEKDAY(A398-2)=7),A398-3,A398-2),A398-1)</f>
        <v>46721</v>
      </c>
      <c r="C398" s="105" t="n">
        <v>46716</v>
      </c>
      <c r="D398" s="105"/>
      <c r="E398" s="105"/>
    </row>
    <row r="399" customFormat="false" ht="12.75" hidden="false" customHeight="false" outlineLevel="0" collapsed="false">
      <c r="A399" s="105" t="n">
        <v>46753</v>
      </c>
      <c r="B399" s="105" t="n">
        <v>46751</v>
      </c>
      <c r="C399" s="105" t="n">
        <v>46748</v>
      </c>
      <c r="D399" s="105"/>
      <c r="E399" s="105"/>
    </row>
    <row r="400" customFormat="false" ht="12.75" hidden="false" customHeight="false" outlineLevel="0" collapsed="false">
      <c r="A400" s="105" t="n">
        <v>46784</v>
      </c>
      <c r="B400" s="105" t="n">
        <f aca="false">IF(OR(WEEKDAY(A400-1)=1,WEEKDAY(A400-1)=7),IF(OR(WEEKDAY(A400-2)=1,WEEKDAY(A400-2)=7),A400-3,A400-2),A400-1)</f>
        <v>46783</v>
      </c>
      <c r="C400" s="105" t="n">
        <v>46778</v>
      </c>
      <c r="D400" s="105"/>
      <c r="E400" s="105"/>
    </row>
    <row r="401" customFormat="false" ht="12.75" hidden="false" customHeight="false" outlineLevel="0" collapsed="false">
      <c r="A401" s="105" t="n">
        <v>46813</v>
      </c>
      <c r="B401" s="105" t="n">
        <f aca="false">IF(OR(WEEKDAY(A401-1)=1,WEEKDAY(A401-1)=7),IF(OR(WEEKDAY(A401-2)=1,WEEKDAY(A401-2)=7),A401-3,A401-2),A401-1)</f>
        <v>46812</v>
      </c>
      <c r="C401" s="105" t="n">
        <v>46807</v>
      </c>
      <c r="D401" s="105"/>
      <c r="E401" s="105"/>
    </row>
    <row r="402" customFormat="false" ht="12.75" hidden="false" customHeight="false" outlineLevel="0" collapsed="false">
      <c r="A402" s="105" t="n">
        <v>46844</v>
      </c>
      <c r="B402" s="105" t="n">
        <f aca="false">IF(OR(WEEKDAY(A402-1)=1,WEEKDAY(A402-1)=7),IF(OR(WEEKDAY(A402-2)=1,WEEKDAY(A402-2)=7),A402-3,A402-2),A402-1)</f>
        <v>46843</v>
      </c>
      <c r="C402" s="105" t="n">
        <v>46840</v>
      </c>
      <c r="D402" s="105"/>
      <c r="E402" s="105"/>
    </row>
    <row r="403" customFormat="false" ht="12.75" hidden="false" customHeight="false" outlineLevel="0" collapsed="false">
      <c r="A403" s="105" t="n">
        <v>46874</v>
      </c>
      <c r="B403" s="105" t="n">
        <f aca="false">IF(OR(WEEKDAY(A403-1)=1,WEEKDAY(A403-1)=7),IF(OR(WEEKDAY(A403-2)=1,WEEKDAY(A403-2)=7),A403-3,A403-2),A403-1)</f>
        <v>46871</v>
      </c>
      <c r="C403" s="105" t="n">
        <v>46868</v>
      </c>
      <c r="D403" s="105"/>
      <c r="E403" s="105"/>
    </row>
    <row r="404" customFormat="false" ht="12.75" hidden="false" customHeight="false" outlineLevel="0" collapsed="false">
      <c r="A404" s="105" t="n">
        <v>46905</v>
      </c>
      <c r="B404" s="105" t="n">
        <f aca="false">IF(OR(WEEKDAY(A404-1)=1,WEEKDAY(A404-1)=7),IF(OR(WEEKDAY(A404-2)=1,WEEKDAY(A404-2)=7),A404-3,A404-2),A404-1)</f>
        <v>46904</v>
      </c>
      <c r="C404" s="105" t="n">
        <v>46898</v>
      </c>
      <c r="D404" s="105"/>
      <c r="E404" s="105"/>
    </row>
    <row r="405" customFormat="false" ht="12.75" hidden="false" customHeight="false" outlineLevel="0" collapsed="false">
      <c r="A405" s="105" t="n">
        <v>46935</v>
      </c>
      <c r="B405" s="105" t="n">
        <f aca="false">IF(OR(WEEKDAY(A405-1)=1,WEEKDAY(A405-1)=7),IF(OR(WEEKDAY(A405-2)=1,WEEKDAY(A405-2)=7),A405-3,A405-2),A405-1)</f>
        <v>46934</v>
      </c>
      <c r="C405" s="105" t="n">
        <v>46931</v>
      </c>
      <c r="D405" s="105"/>
      <c r="E405" s="105"/>
    </row>
    <row r="406" customFormat="false" ht="12.75" hidden="false" customHeight="false" outlineLevel="0" collapsed="false">
      <c r="A406" s="105" t="n">
        <v>46966</v>
      </c>
      <c r="B406" s="105" t="n">
        <f aca="false">IF(OR(WEEKDAY(A406-1)=1,WEEKDAY(A406-1)=7),IF(OR(WEEKDAY(A406-2)=1,WEEKDAY(A406-2)=7),A406-3,A406-2),A406-1)</f>
        <v>46965</v>
      </c>
      <c r="C406" s="105" t="n">
        <v>46960</v>
      </c>
      <c r="D406" s="105"/>
      <c r="E406" s="105"/>
    </row>
    <row r="407" customFormat="false" ht="12.75" hidden="false" customHeight="false" outlineLevel="0" collapsed="false">
      <c r="A407" s="105" t="n">
        <v>46997</v>
      </c>
      <c r="B407" s="105" t="n">
        <f aca="false">IF(OR(WEEKDAY(A407-1)=1,WEEKDAY(A407-1)=7),IF(OR(WEEKDAY(A407-2)=1,WEEKDAY(A407-2)=7),A407-3,A407-2),A407-1)</f>
        <v>46996</v>
      </c>
      <c r="C407" s="105" t="n">
        <v>46993</v>
      </c>
      <c r="D407" s="105"/>
      <c r="E407" s="105"/>
    </row>
    <row r="408" customFormat="false" ht="12.75" hidden="false" customHeight="false" outlineLevel="0" collapsed="false">
      <c r="A408" s="105" t="n">
        <v>47027</v>
      </c>
      <c r="B408" s="105" t="n">
        <f aca="false">IF(OR(WEEKDAY(A408-1)=1,WEEKDAY(A408-1)=7),IF(OR(WEEKDAY(A408-2)=1,WEEKDAY(A408-2)=7),A408-3,A408-2),A408-1)</f>
        <v>47025</v>
      </c>
      <c r="C408" s="105" t="n">
        <v>47022</v>
      </c>
      <c r="D408" s="105"/>
      <c r="E408" s="105"/>
    </row>
    <row r="409" customFormat="false" ht="12.75" hidden="false" customHeight="false" outlineLevel="0" collapsed="false">
      <c r="A409" s="105" t="n">
        <v>47058</v>
      </c>
      <c r="B409" s="105" t="n">
        <f aca="false">IF(OR(WEEKDAY(A409-1)=1,WEEKDAY(A409-1)=7),IF(OR(WEEKDAY(A409-2)=1,WEEKDAY(A409-2)=7),A409-3,A409-2),A409-1)</f>
        <v>47057</v>
      </c>
      <c r="C409" s="105" t="n">
        <v>47052</v>
      </c>
      <c r="D409" s="105"/>
      <c r="E409" s="105"/>
    </row>
    <row r="410" customFormat="false" ht="12.75" hidden="false" customHeight="false" outlineLevel="0" collapsed="false">
      <c r="A410" s="105" t="n">
        <v>47088</v>
      </c>
      <c r="B410" s="105" t="n">
        <f aca="false">IF(OR(WEEKDAY(A410-1)=1,WEEKDAY(A410-1)=7),IF(OR(WEEKDAY(A410-2)=1,WEEKDAY(A410-2)=7),A410-3,A410-2),A410-1)</f>
        <v>47087</v>
      </c>
      <c r="C410" s="105" t="n">
        <v>47084</v>
      </c>
      <c r="D410" s="105"/>
      <c r="E410" s="105"/>
    </row>
    <row r="411" customFormat="false" ht="12.75" hidden="false" customHeight="false" outlineLevel="0" collapsed="false">
      <c r="A411" s="105" t="n">
        <v>47119</v>
      </c>
      <c r="B411" s="105" t="n">
        <f aca="false">IF(OR(WEEKDAY(A411-1)=1,WEEKDAY(A411-1)=7),IF(OR(WEEKDAY(A411-2)=1,WEEKDAY(A411-2)=7),A411-3,A411-2),A411-1)</f>
        <v>47116</v>
      </c>
      <c r="C411" s="105" t="n">
        <v>47113</v>
      </c>
      <c r="D411" s="105"/>
      <c r="E411" s="105"/>
    </row>
    <row r="412" customFormat="false" ht="12.75" hidden="false" customHeight="false" outlineLevel="0" collapsed="false">
      <c r="A412" s="105" t="n">
        <v>47150</v>
      </c>
      <c r="B412" s="105" t="n">
        <f aca="false">IF(OR(WEEKDAY(A412-1)=1,WEEKDAY(A412-1)=7),IF(OR(WEEKDAY(A412-2)=1,WEEKDAY(A412-2)=7),A412-3,A412-2),A412-1)</f>
        <v>47149</v>
      </c>
      <c r="C412" s="105" t="n">
        <v>47144</v>
      </c>
      <c r="D412" s="105"/>
      <c r="E412" s="105"/>
    </row>
    <row r="413" customFormat="false" ht="12.75" hidden="false" customHeight="false" outlineLevel="0" collapsed="false">
      <c r="A413" s="105" t="n">
        <v>47178</v>
      </c>
      <c r="B413" s="105" t="n">
        <f aca="false">IF(OR(WEEKDAY(A413-1)=1,WEEKDAY(A413-1)=7),IF(OR(WEEKDAY(A413-2)=1,WEEKDAY(A413-2)=7),A413-3,A413-2),A413-1)</f>
        <v>47177</v>
      </c>
      <c r="C413" s="105" t="n">
        <v>47172</v>
      </c>
      <c r="D413" s="105"/>
      <c r="E413" s="105"/>
    </row>
    <row r="414" customFormat="false" ht="12.75" hidden="false" customHeight="false" outlineLevel="0" collapsed="false">
      <c r="A414" s="105" t="n">
        <v>47209</v>
      </c>
      <c r="B414" s="105" t="n">
        <f aca="false">IF(OR(WEEKDAY(A414-1)=1,WEEKDAY(A414-1)=7),IF(OR(WEEKDAY(A414-2)=1,WEEKDAY(A414-2)=7),A414-3,A414-2),A414-1)</f>
        <v>47207</v>
      </c>
      <c r="C414" s="105" t="n">
        <v>47203</v>
      </c>
      <c r="D414" s="105"/>
      <c r="E414" s="105"/>
    </row>
    <row r="415" customFormat="false" ht="12.75" hidden="false" customHeight="false" outlineLevel="0" collapsed="false">
      <c r="A415" s="105" t="n">
        <v>47239</v>
      </c>
      <c r="B415" s="105" t="n">
        <f aca="false">IF(OR(WEEKDAY(A415-1)=1,WEEKDAY(A415-1)=7),IF(OR(WEEKDAY(A415-2)=1,WEEKDAY(A415-2)=7),A415-3,A415-2),A415-1)</f>
        <v>47238</v>
      </c>
      <c r="C415" s="105" t="n">
        <v>47233</v>
      </c>
      <c r="D415" s="105"/>
      <c r="E415" s="105"/>
    </row>
    <row r="416" customFormat="false" ht="12.75" hidden="false" customHeight="false" outlineLevel="0" collapsed="false">
      <c r="A416" s="105" t="n">
        <v>47270</v>
      </c>
      <c r="B416" s="105" t="n">
        <f aca="false">IF(OR(WEEKDAY(A416-1)=1,WEEKDAY(A416-1)=7),IF(OR(WEEKDAY(A416-2)=1,WEEKDAY(A416-2)=7),A416-3,A416-2),A416-1)</f>
        <v>47269</v>
      </c>
      <c r="C416" s="105" t="n">
        <v>47266</v>
      </c>
      <c r="D416" s="105"/>
      <c r="E416" s="105"/>
    </row>
    <row r="417" customFormat="false" ht="12.75" hidden="false" customHeight="false" outlineLevel="0" collapsed="false">
      <c r="A417" s="105" t="n">
        <v>47300</v>
      </c>
      <c r="B417" s="105" t="n">
        <f aca="false">IF(OR(WEEKDAY(A417-1)=1,WEEKDAY(A417-1)=7),IF(OR(WEEKDAY(A417-2)=1,WEEKDAY(A417-2)=7),A417-3,A417-2),A417-1)</f>
        <v>47298</v>
      </c>
      <c r="C417" s="105" t="n">
        <v>47295</v>
      </c>
      <c r="D417" s="105"/>
      <c r="E417" s="105"/>
    </row>
    <row r="418" customFormat="false" ht="12.75" hidden="false" customHeight="false" outlineLevel="0" collapsed="false">
      <c r="A418" s="105" t="n">
        <v>47331</v>
      </c>
      <c r="B418" s="105" t="n">
        <f aca="false">IF(OR(WEEKDAY(A418-1)=1,WEEKDAY(A418-1)=7),IF(OR(WEEKDAY(A418-2)=1,WEEKDAY(A418-2)=7),A418-3,A418-2),A418-1)</f>
        <v>47330</v>
      </c>
      <c r="C418" s="105" t="n">
        <v>47325</v>
      </c>
      <c r="D418" s="105"/>
      <c r="E418" s="105"/>
    </row>
    <row r="419" customFormat="false" ht="12.75" hidden="false" customHeight="false" outlineLevel="0" collapsed="false">
      <c r="A419" s="105" t="n">
        <v>47362</v>
      </c>
      <c r="B419" s="105" t="n">
        <f aca="false">IF(OR(WEEKDAY(A419-1)=1,WEEKDAY(A419-1)=7),IF(OR(WEEKDAY(A419-2)=1,WEEKDAY(A419-2)=7),A419-3,A419-2),A419-1)</f>
        <v>47361</v>
      </c>
      <c r="C419" s="105" t="n">
        <v>47358</v>
      </c>
      <c r="D419" s="105"/>
      <c r="E419" s="105"/>
    </row>
    <row r="420" customFormat="false" ht="12.75" hidden="false" customHeight="false" outlineLevel="0" collapsed="false">
      <c r="A420" s="105" t="n">
        <v>47392</v>
      </c>
      <c r="B420" s="105" t="n">
        <f aca="false">IF(OR(WEEKDAY(A420-1)=1,WEEKDAY(A420-1)=7),IF(OR(WEEKDAY(A420-2)=1,WEEKDAY(A420-2)=7),A420-3,A420-2),A420-1)</f>
        <v>47389</v>
      </c>
      <c r="C420" s="105" t="n">
        <v>47386</v>
      </c>
      <c r="D420" s="105"/>
      <c r="E420" s="105"/>
    </row>
    <row r="421" customFormat="false" ht="12.75" hidden="false" customHeight="false" outlineLevel="0" collapsed="false">
      <c r="A421" s="105" t="n">
        <v>47423</v>
      </c>
      <c r="B421" s="105" t="n">
        <f aca="false">IF(OR(WEEKDAY(A421-1)=1,WEEKDAY(A421-1)=7),IF(OR(WEEKDAY(A421-2)=1,WEEKDAY(A421-2)=7),A421-3,A421-2),A421-1)</f>
        <v>47422</v>
      </c>
      <c r="C421" s="105" t="n">
        <v>47417</v>
      </c>
      <c r="D421" s="105"/>
      <c r="E421" s="105"/>
    </row>
    <row r="422" customFormat="false" ht="12.75" hidden="false" customHeight="false" outlineLevel="0" collapsed="false">
      <c r="A422" s="105" t="n">
        <v>47453</v>
      </c>
      <c r="B422" s="105" t="n">
        <f aca="false">IF(OR(WEEKDAY(A422-1)=1,WEEKDAY(A422-1)=7),IF(OR(WEEKDAY(A422-2)=1,WEEKDAY(A422-2)=7),A422-3,A422-2),A422-1)</f>
        <v>47452</v>
      </c>
      <c r="C422" s="105" t="n">
        <v>47449</v>
      </c>
      <c r="D422" s="105"/>
      <c r="E422" s="105"/>
    </row>
    <row r="423" customFormat="false" ht="12.75" hidden="false" customHeight="false" outlineLevel="0" collapsed="false">
      <c r="A423" s="105" t="n">
        <v>47484</v>
      </c>
      <c r="B423" s="105" t="n">
        <v>47482</v>
      </c>
      <c r="C423" s="105" t="n">
        <v>47478</v>
      </c>
      <c r="D423" s="105"/>
      <c r="E423" s="105"/>
    </row>
    <row r="424" customFormat="false" ht="12.75" hidden="false" customHeight="false" outlineLevel="0" collapsed="false">
      <c r="A424" s="105" t="n">
        <v>47515</v>
      </c>
      <c r="B424" s="105" t="n">
        <f aca="false">IF(OR(WEEKDAY(A424-1)=1,WEEKDAY(A424-1)=7),IF(OR(WEEKDAY(A424-2)=1,WEEKDAY(A424-2)=7),A424-3,A424-2),A424-1)</f>
        <v>47514</v>
      </c>
      <c r="C424" s="105" t="n">
        <v>47511</v>
      </c>
      <c r="D424" s="105"/>
      <c r="E424" s="105"/>
    </row>
    <row r="425" customFormat="false" ht="12.75" hidden="false" customHeight="false" outlineLevel="0" collapsed="false">
      <c r="A425" s="105" t="n">
        <v>47543</v>
      </c>
      <c r="B425" s="105" t="n">
        <f aca="false">IF(OR(WEEKDAY(A425-1)=1,WEEKDAY(A425-1)=7),IF(OR(WEEKDAY(A425-2)=1,WEEKDAY(A425-2)=7),A425-3,A425-2),A425-1)</f>
        <v>47542</v>
      </c>
      <c r="C425" s="105" t="n">
        <v>47539</v>
      </c>
      <c r="D425" s="105"/>
      <c r="E425" s="105"/>
    </row>
    <row r="426" customFormat="false" ht="12.75" hidden="false" customHeight="false" outlineLevel="0" collapsed="false">
      <c r="A426" s="105" t="n">
        <v>47574</v>
      </c>
      <c r="B426" s="105" t="n">
        <f aca="false">IF(OR(WEEKDAY(A426-1)=1,WEEKDAY(A426-1)=7),IF(OR(WEEKDAY(A426-2)=1,WEEKDAY(A426-2)=7),A426-3,A426-2),A426-1)</f>
        <v>47571</v>
      </c>
      <c r="C426" s="105" t="n">
        <v>47568</v>
      </c>
      <c r="D426" s="105"/>
      <c r="E426" s="105"/>
    </row>
    <row r="427" customFormat="false" ht="12.75" hidden="false" customHeight="false" outlineLevel="0" collapsed="false">
      <c r="A427" s="105" t="n">
        <v>47604</v>
      </c>
      <c r="B427" s="105" t="n">
        <f aca="false">IF(OR(WEEKDAY(A427-1)=1,WEEKDAY(A427-1)=7),IF(OR(WEEKDAY(A427-2)=1,WEEKDAY(A427-2)=7),A427-3,A427-2),A427-1)</f>
        <v>47603</v>
      </c>
      <c r="C427" s="105" t="n">
        <v>47598</v>
      </c>
      <c r="D427" s="105"/>
      <c r="E427" s="105"/>
    </row>
    <row r="428" customFormat="false" ht="12.75" hidden="false" customHeight="false" outlineLevel="0" collapsed="false">
      <c r="A428" s="105" t="n">
        <v>47635</v>
      </c>
      <c r="B428" s="105" t="n">
        <f aca="false">IF(OR(WEEKDAY(A428-1)=1,WEEKDAY(A428-1)=7),IF(OR(WEEKDAY(A428-2)=1,WEEKDAY(A428-2)=7),A428-3,A428-2),A428-1)</f>
        <v>47634</v>
      </c>
      <c r="C428" s="105" t="n">
        <v>47631</v>
      </c>
      <c r="D428" s="105"/>
      <c r="E428" s="105"/>
    </row>
    <row r="429" customFormat="false" ht="12.75" hidden="false" customHeight="false" outlineLevel="0" collapsed="false">
      <c r="A429" s="105" t="n">
        <v>47665</v>
      </c>
      <c r="B429" s="105" t="n">
        <f aca="false">IF(OR(WEEKDAY(A429-1)=1,WEEKDAY(A429-1)=7),IF(OR(WEEKDAY(A429-2)=1,WEEKDAY(A429-2)=7),A429-3,A429-2),A429-1)</f>
        <v>47662</v>
      </c>
      <c r="C429" s="105" t="n">
        <v>47659</v>
      </c>
      <c r="D429" s="105"/>
      <c r="E429" s="105"/>
    </row>
    <row r="430" customFormat="false" ht="12.75" hidden="false" customHeight="false" outlineLevel="0" collapsed="false">
      <c r="A430" s="105" t="n">
        <v>47696</v>
      </c>
      <c r="B430" s="105" t="n">
        <f aca="false">IF(OR(WEEKDAY(A430-1)=1,WEEKDAY(A430-1)=7),IF(OR(WEEKDAY(A430-2)=1,WEEKDAY(A430-2)=7),A430-3,A430-2),A430-1)</f>
        <v>47695</v>
      </c>
      <c r="C430" s="105" t="n">
        <v>47690</v>
      </c>
      <c r="D430" s="105"/>
      <c r="E430" s="105"/>
    </row>
    <row r="431" customFormat="false" ht="12.75" hidden="false" customHeight="false" outlineLevel="0" collapsed="false">
      <c r="A431" s="105" t="n">
        <v>47727</v>
      </c>
      <c r="B431" s="105" t="n">
        <f aca="false">IF(OR(WEEKDAY(A431-1)=1,WEEKDAY(A431-1)=7),IF(OR(WEEKDAY(A431-2)=1,WEEKDAY(A431-2)=7),A431-3,A431-2),A431-1)</f>
        <v>47725</v>
      </c>
      <c r="C431" s="105" t="n">
        <v>47722</v>
      </c>
      <c r="D431" s="105"/>
      <c r="E431" s="105"/>
    </row>
    <row r="432" customFormat="false" ht="12.75" hidden="false" customHeight="false" outlineLevel="0" collapsed="false">
      <c r="A432" s="105" t="n">
        <v>47757</v>
      </c>
      <c r="B432" s="105" t="n">
        <f aca="false">IF(OR(WEEKDAY(A432-1)=1,WEEKDAY(A432-1)=7),IF(OR(WEEKDAY(A432-2)=1,WEEKDAY(A432-2)=7),A432-3,A432-2),A432-1)</f>
        <v>47756</v>
      </c>
      <c r="C432" s="105" t="n">
        <v>47751</v>
      </c>
      <c r="D432" s="105"/>
      <c r="E432" s="105"/>
    </row>
    <row r="433" customFormat="false" ht="12.75" hidden="false" customHeight="false" outlineLevel="0" collapsed="false">
      <c r="A433" s="105" t="n">
        <v>47788</v>
      </c>
      <c r="B433" s="105" t="n">
        <f aca="false">IF(OR(WEEKDAY(A433-1)=1,WEEKDAY(A433-1)=7),IF(OR(WEEKDAY(A433-2)=1,WEEKDAY(A433-2)=7),A433-3,A433-2),A433-1)</f>
        <v>47787</v>
      </c>
      <c r="C433" s="105" t="n">
        <v>47784</v>
      </c>
      <c r="D433" s="105"/>
      <c r="E433" s="105"/>
    </row>
    <row r="434" customFormat="false" ht="12.75" hidden="false" customHeight="false" outlineLevel="0" collapsed="false">
      <c r="A434" s="105" t="n">
        <v>47818</v>
      </c>
      <c r="B434" s="105" t="n">
        <f aca="false">IF(OR(WEEKDAY(A434-1)=1,WEEKDAY(A434-1)=7),IF(OR(WEEKDAY(A434-2)=1,WEEKDAY(A434-2)=7),A434-3,A434-2),A434-1)</f>
        <v>47816</v>
      </c>
      <c r="C434" s="105" t="n">
        <v>47812</v>
      </c>
      <c r="D434" s="105"/>
      <c r="E434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2001-03-30T16:14:24Z</dcterms:created>
  <dc:creator>Kenneth Parkhill</dc:creator>
  <dc:description/>
  <dc:language>en-US</dc:language>
  <cp:lastModifiedBy>Kenneth Parkhill</cp:lastModifiedBy>
  <cp:lastPrinted>2001-05-02T11:37:07Z</cp:lastPrinted>
  <dcterms:modified xsi:type="dcterms:W3CDTF">2001-05-02T14:59:00Z</dcterms:modified>
  <cp:revision>0</cp:revision>
  <dc:subject/>
  <dc:title/>
</cp:coreProperties>
</file>