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28.xml" ContentType="application/vnd.openxmlformats-officedocument.spreadsheetml.worksheet+xml"/>
  <Override PartName="/xl/worksheets/sheet1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Trading Sheet" sheetId="1" state="visible" r:id="rId3"/>
    <sheet name="Transport" sheetId="2" state="visible" r:id="rId4"/>
    <sheet name="Confirmation" sheetId="3" state="visible" r:id="rId5"/>
    <sheet name="Web Error" sheetId="4" state="visible" r:id="rId6"/>
    <sheet name="5-31" sheetId="5" state="visible" r:id="rId7"/>
    <sheet name="5-30" sheetId="6" state="visible" r:id="rId8"/>
    <sheet name="5-29" sheetId="7" state="visible" r:id="rId9"/>
    <sheet name="5-26,27,28" sheetId="8" state="visible" r:id="rId10"/>
    <sheet name="5-25" sheetId="9" state="visible" r:id="rId11"/>
    <sheet name="5-24" sheetId="10" state="visible" r:id="rId12"/>
    <sheet name="5-23" sheetId="11" state="visible" r:id="rId13"/>
    <sheet name="5-22" sheetId="12" state="visible" r:id="rId14"/>
    <sheet name="5-19-21" sheetId="13" state="visible" r:id="rId15"/>
    <sheet name="5-18" sheetId="14" state="visible" r:id="rId16"/>
    <sheet name="5-17" sheetId="15" state="visible" r:id="rId17"/>
    <sheet name="5-16" sheetId="16" state="visible" r:id="rId18"/>
    <sheet name="5-15" sheetId="17" state="visible" r:id="rId19"/>
    <sheet name="5-12,13,14" sheetId="18" state="visible" r:id="rId20"/>
    <sheet name="5-11" sheetId="19" state="visible" r:id="rId21"/>
    <sheet name="5-10" sheetId="20" state="visible" r:id="rId22"/>
    <sheet name="5-9" sheetId="21" state="visible" r:id="rId23"/>
    <sheet name="5-8" sheetId="22" state="visible" r:id="rId24"/>
    <sheet name="5-5,6,7" sheetId="23" state="visible" r:id="rId25"/>
    <sheet name="5-4" sheetId="24" state="visible" r:id="rId26"/>
    <sheet name="5-3" sheetId="25" state="visible" r:id="rId27"/>
    <sheet name="5-2" sheetId="26" state="visible" r:id="rId28"/>
    <sheet name="5-1" sheetId="27" state="visible" r:id="rId29"/>
    <sheet name="4-28,29,30" sheetId="28" state="visible" r:id="rId3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<sst xmlns="http://schemas.openxmlformats.org/spreadsheetml/2006/main" count="2982" uniqueCount="198">
  <si>
    <t xml:space="preserve">Transport Summary</t>
  </si>
  <si>
    <t xml:space="preserve">VNG</t>
  </si>
  <si>
    <t xml:space="preserve">Gas Day:</t>
  </si>
  <si>
    <t xml:space="preserve">Pipeline</t>
  </si>
  <si>
    <t xml:space="preserve">Primary</t>
  </si>
  <si>
    <t xml:space="preserve">ENA / VNG</t>
  </si>
  <si>
    <t xml:space="preserve">Remaining</t>
  </si>
  <si>
    <t xml:space="preserve">Receipt</t>
  </si>
  <si>
    <t xml:space="preserve">Current</t>
  </si>
  <si>
    <t xml:space="preserve">Delivery</t>
  </si>
  <si>
    <t xml:space="preserve">MDTQ</t>
  </si>
  <si>
    <t xml:space="preserve">Flowing</t>
  </si>
  <si>
    <t xml:space="preserve">Delivered</t>
  </si>
  <si>
    <t xml:space="preserve">Purchase</t>
  </si>
  <si>
    <t xml:space="preserve">Fuel</t>
  </si>
  <si>
    <t xml:space="preserve">Commodity</t>
  </si>
  <si>
    <t xml:space="preserve">aca</t>
  </si>
  <si>
    <t xml:space="preserve">gri</t>
  </si>
  <si>
    <t xml:space="preserve">great plains</t>
  </si>
  <si>
    <t xml:space="preserve">Tennessee</t>
  </si>
  <si>
    <t xml:space="preserve">Zn 0</t>
  </si>
  <si>
    <t xml:space="preserve">Zn 3 CNG</t>
  </si>
  <si>
    <t xml:space="preserve">Zn 1</t>
  </si>
  <si>
    <t xml:space="preserve">CNG</t>
  </si>
  <si>
    <t xml:space="preserve">Oakford/Pool</t>
  </si>
  <si>
    <t xml:space="preserve">S Webster/Pool</t>
  </si>
  <si>
    <t xml:space="preserve">TRCO</t>
  </si>
  <si>
    <t xml:space="preserve">Zn 5 Emporia</t>
  </si>
  <si>
    <t xml:space="preserve">Zn 2</t>
  </si>
  <si>
    <t xml:space="preserve">Zn 3</t>
  </si>
  <si>
    <t xml:space="preserve">Columbia Gulf</t>
  </si>
  <si>
    <t xml:space="preserve">Rayne</t>
  </si>
  <si>
    <t xml:space="preserve">Leach</t>
  </si>
  <si>
    <t xml:space="preserve">TCO</t>
  </si>
  <si>
    <t xml:space="preserve">Lebanon</t>
  </si>
  <si>
    <t xml:space="preserve">Cobb</t>
  </si>
  <si>
    <t xml:space="preserve">Leach / Pool</t>
  </si>
  <si>
    <t xml:space="preserve">Emporia</t>
  </si>
  <si>
    <t xml:space="preserve">Total Transport - All Pipes</t>
  </si>
  <si>
    <t xml:space="preserve">VNG FORECAST :</t>
  </si>
  <si>
    <t xml:space="preserve">SENDOUT VOLUME (Less Enuser and FS Supply) :</t>
  </si>
  <si>
    <t xml:space="preserve">MaxTCO</t>
  </si>
  <si>
    <t xml:space="preserve">Min CNG</t>
  </si>
  <si>
    <t xml:space="preserve">Min TCO</t>
  </si>
  <si>
    <t xml:space="preserve">MaxCNG</t>
  </si>
  <si>
    <t xml:space="preserve">Position Manager (CNG)</t>
  </si>
  <si>
    <t xml:space="preserve">Position Manager (TCO)</t>
  </si>
  <si>
    <t xml:space="preserve">Position Manager (TRCO)</t>
  </si>
  <si>
    <t xml:space="preserve">Storage Fill (TCO)</t>
  </si>
  <si>
    <t xml:space="preserve">Storage Fill (CNG)</t>
  </si>
  <si>
    <t xml:space="preserve">Tier 1 = 10,958</t>
  </si>
  <si>
    <t xml:space="preserve">Tier 2 = 101,852</t>
  </si>
  <si>
    <t xml:space="preserve">Tier 3 = 45,095</t>
  </si>
  <si>
    <t xml:space="preserve">Daily Trading Setup - VNG Desk.xls</t>
  </si>
  <si>
    <t xml:space="preserve">VIRGINIA NATURAL GAS</t>
  </si>
  <si>
    <t xml:space="preserve">Northern VNG System</t>
  </si>
  <si>
    <t xml:space="preserve">Contract</t>
  </si>
  <si>
    <t xml:space="preserve">Available</t>
  </si>
  <si>
    <t xml:space="preserve">TGP</t>
  </si>
  <si>
    <t xml:space="preserve">FT-A</t>
  </si>
  <si>
    <t xml:space="preserve">S Webster</t>
  </si>
  <si>
    <t xml:space="preserve">Zn 1-500</t>
  </si>
  <si>
    <t xml:space="preserve">Zn 1-800</t>
  </si>
  <si>
    <t xml:space="preserve">FT</t>
  </si>
  <si>
    <t xml:space="preserve">Leidy</t>
  </si>
  <si>
    <t xml:space="preserve">FTNN</t>
  </si>
  <si>
    <t xml:space="preserve">Storage</t>
  </si>
  <si>
    <t xml:space="preserve">Quantico</t>
  </si>
  <si>
    <t xml:space="preserve">LNG</t>
  </si>
  <si>
    <t xml:space="preserve">Oakford</t>
  </si>
  <si>
    <t xml:space="preserve">Cornwell</t>
  </si>
  <si>
    <t xml:space="preserve">Petersburg</t>
  </si>
  <si>
    <t xml:space="preserve">Hastings</t>
  </si>
  <si>
    <t xml:space="preserve">Finnefrock</t>
  </si>
  <si>
    <t xml:space="preserve">K# 100007 MDQ:</t>
  </si>
  <si>
    <t xml:space="preserve">K#100007 FLOWING VOL</t>
  </si>
  <si>
    <t xml:space="preserve">Southern VNG System</t>
  </si>
  <si>
    <t xml:space="preserve">Gulf</t>
  </si>
  <si>
    <t xml:space="preserve">FTS-1</t>
  </si>
  <si>
    <t xml:space="preserve">SST</t>
  </si>
  <si>
    <t xml:space="preserve">Boswell</t>
  </si>
  <si>
    <t xml:space="preserve">FS</t>
  </si>
  <si>
    <t xml:space="preserve">Zn 4</t>
  </si>
  <si>
    <t xml:space="preserve">GSS</t>
  </si>
  <si>
    <t xml:space="preserve">ESS</t>
  </si>
  <si>
    <t xml:space="preserve">WSS</t>
  </si>
  <si>
    <t xml:space="preserve">FTS</t>
  </si>
  <si>
    <t xml:space="preserve">Max</t>
  </si>
  <si>
    <t xml:space="preserve">Total Storage Delivered to VNG:</t>
  </si>
  <si>
    <t xml:space="preserve">Total Transport Delivered to VNG:</t>
  </si>
  <si>
    <t xml:space="preserve">Total Gated Deliveries to VNG:</t>
  </si>
  <si>
    <t xml:space="preserve">VNG TRADING POSITION FOR:</t>
  </si>
  <si>
    <t xml:space="preserve">PIPE</t>
  </si>
  <si>
    <t xml:space="preserve">POINT</t>
  </si>
  <si>
    <t xml:space="preserve">LONG / (SHORT)</t>
  </si>
  <si>
    <t xml:space="preserve">Tco</t>
  </si>
  <si>
    <t xml:space="preserve">POOL</t>
  </si>
  <si>
    <t xml:space="preserve">GULF</t>
  </si>
  <si>
    <t xml:space="preserve">M/L</t>
  </si>
  <si>
    <t xml:space="preserve">DOMINION</t>
  </si>
  <si>
    <t xml:space="preserve">SP</t>
  </si>
  <si>
    <t xml:space="preserve">TENNESSEE</t>
  </si>
  <si>
    <t xml:space="preserve">Z0</t>
  </si>
  <si>
    <t xml:space="preserve">Z1-500</t>
  </si>
  <si>
    <t xml:space="preserve">Z1-800</t>
  </si>
  <si>
    <t xml:space="preserve">TRANSCO</t>
  </si>
  <si>
    <t xml:space="preserve">Z1-30</t>
  </si>
  <si>
    <t xml:space="preserve">Z2-45</t>
  </si>
  <si>
    <t xml:space="preserve">Z3-65</t>
  </si>
  <si>
    <t xml:space="preserve">Z4-85</t>
  </si>
  <si>
    <t xml:space="preserve">ENA Pipeline Citygate Nominations </t>
  </si>
  <si>
    <t xml:space="preserve">Columbia</t>
  </si>
  <si>
    <t xml:space="preserve">Previous</t>
  </si>
  <si>
    <t xml:space="preserve">New</t>
  </si>
  <si>
    <t xml:space="preserve">Delivery </t>
  </si>
  <si>
    <t xml:space="preserve">ENA</t>
  </si>
  <si>
    <t xml:space="preserve">Gas Control</t>
  </si>
  <si>
    <t xml:space="preserve">Point</t>
  </si>
  <si>
    <t xml:space="preserve">Contract #</t>
  </si>
  <si>
    <t xml:space="preserve">Nominated </t>
  </si>
  <si>
    <t xml:space="preserve">Confirmed </t>
  </si>
  <si>
    <t xml:space="preserve">Meter 30 VN</t>
  </si>
  <si>
    <t xml:space="preserve">Alliance</t>
  </si>
  <si>
    <t xml:space="preserve">Total</t>
  </si>
  <si>
    <t xml:space="preserve">ENA Total VNG Deliveries</t>
  </si>
  <si>
    <t xml:space="preserve">ENA Pipeline Citygate Nominations</t>
  </si>
  <si>
    <t xml:space="preserve">VNG Daily Setup</t>
  </si>
  <si>
    <t xml:space="preserve">Flow Date</t>
  </si>
  <si>
    <t xml:space="preserve">  DTH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</si>
  <si>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</si>
  <si>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</si>
  <si>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</si>
  <si>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</si>
  <si>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</si>
  <si>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ACTUAL</t>
  </si>
  <si>
    <t xml:space="preserve">High</t>
  </si>
  <si>
    <t xml:space="preserve">Low</t>
  </si>
  <si>
    <t xml:space="preserve">Norfolk, VA Forecast</t>
  </si>
  <si>
    <t xml:space="preserve">Cooling / (Heating) Degree Days</t>
  </si>
  <si>
    <t xml:space="preserve">Forecasted Demand</t>
  </si>
  <si>
    <t xml:space="preserve">Total System Sendout</t>
  </si>
  <si>
    <t xml:space="preserve">Long / (Short) at Gate</t>
  </si>
  <si>
    <t xml:space="preserve">FIRM CUSTOMER VOLUME</t>
  </si>
  <si>
    <t xml:space="preserve">INTERRUPTIBLE VOLUME / STATUS</t>
  </si>
  <si>
    <t xml:space="preserve">ON</t>
  </si>
  <si>
    <t xml:space="preserve">SUPPLY:</t>
  </si>
  <si>
    <t xml:space="preserve">AVAILABLE</t>
  </si>
  <si>
    <t xml:space="preserve">TRANSCO </t>
  </si>
  <si>
    <t xml:space="preserve">  FS  Swing - Williams</t>
  </si>
  <si>
    <t xml:space="preserve">  FT - Enron</t>
  </si>
  <si>
    <t xml:space="preserve">Tco to Transco @ Boswell</t>
  </si>
  <si>
    <t xml:space="preserve">  WSS - INJ  (4,025)</t>
  </si>
  <si>
    <t xml:space="preserve">  ESS-INJ (598)</t>
  </si>
  <si>
    <t xml:space="preserve">  GSS-INJ (851)</t>
  </si>
  <si>
    <t xml:space="preserve"> TOTAL Emporia</t>
  </si>
  <si>
    <t xml:space="preserve"> TOTAL City Gate (.01%)</t>
  </si>
  <si>
    <t xml:space="preserve">  FT-WSS-INJ (3,386)</t>
  </si>
  <si>
    <t xml:space="preserve">COLUMBIA</t>
  </si>
  <si>
    <t xml:space="preserve">  +  SST - Spot</t>
  </si>
  <si>
    <t xml:space="preserve">  +  FTS - System Supply</t>
  </si>
  <si>
    <t xml:space="preserve">  =  Subtotal FT Sys. Supply</t>
  </si>
  <si>
    <t xml:space="preserve">*</t>
  </si>
  <si>
    <t xml:space="preserve">      SST - FSS         (28,639)</t>
  </si>
  <si>
    <t xml:space="preserve">  EndUser Transport to VNG</t>
  </si>
  <si>
    <t xml:space="preserve">  CVA Transport to VNG</t>
  </si>
  <si>
    <t xml:space="preserve">Alliance Transport to VNG</t>
  </si>
  <si>
    <t xml:space="preserve">  Cove Point LNG</t>
  </si>
  <si>
    <t xml:space="preserve">  LNG  X-133 (3,244)</t>
  </si>
  <si>
    <t xml:space="preserve">TOTAL</t>
  </si>
  <si>
    <t xml:space="preserve">  FTNN</t>
  </si>
  <si>
    <t xml:space="preserve">  GSS            (19,735) </t>
  </si>
  <si>
    <t xml:space="preserve">Subtotal Cannot exceed 46,075 Apr - Oct</t>
  </si>
  <si>
    <t xml:space="preserve">Cove Point</t>
  </si>
  <si>
    <t xml:space="preserve">TOTAL Quantico</t>
  </si>
  <si>
    <t xml:space="preserve">TOTAL City Gate(.0025%)</t>
  </si>
  <si>
    <t xml:space="preserve">PROPANE   (12.63 gal = 1 dth)</t>
  </si>
  <si>
    <t xml:space="preserve">  NORTHERN</t>
  </si>
  <si>
    <t xml:space="preserve">/dth</t>
  </si>
  <si>
    <t xml:space="preserve">  SOUTHERN</t>
  </si>
  <si>
    <t xml:space="preserve">Difference: [ -Short] ,[+Long]</t>
  </si>
  <si>
    <t xml:space="preserve">Projected  Storage  Summary</t>
  </si>
  <si>
    <t xml:space="preserve">Max Inj.</t>
  </si>
  <si>
    <t xml:space="preserve">Max W/D</t>
  </si>
  <si>
    <t xml:space="preserve">FSS</t>
  </si>
  <si>
    <t xml:space="preserve">Both K#'s</t>
  </si>
  <si>
    <t xml:space="preserve">gal day</t>
  </si>
  <si>
    <t xml:space="preserve">Propane</t>
  </si>
  <si>
    <t xml:space="preserve">12.63=1</t>
  </si>
  <si>
    <t xml:space="preserve">dth</t>
  </si>
  <si>
    <t xml:space="preserve">Low Burn Contingenies</t>
  </si>
  <si>
    <t xml:space="preserve">High Burn Contingenies</t>
  </si>
  <si>
    <t xml:space="preserve">Note: </t>
  </si>
  <si>
    <t xml:space="preserve">Note:</t>
  </si>
  <si>
    <t xml:space="preserve">Monday</t>
  </si>
  <si>
    <t xml:space="preserve">Sunday</t>
  </si>
  <si>
    <t xml:space="preserve">      SST - FSS         (9837)</t>
  </si>
  <si>
    <t xml:space="preserve">      SST - FSS         (28639)</t>
  </si>
  <si>
    <t xml:space="preserve">Mondau</t>
  </si>
</sst>
</file>

<file path=xl/styles.xml><?xml version="1.0" encoding="utf-8"?>
<styleSheet xmlns="http://schemas.openxmlformats.org/spreadsheetml/2006/main">
  <numFmts count="14">
    <numFmt numFmtId="164" formatCode="#,##0"/>
    <numFmt numFmtId="165" formatCode="General"/>
    <numFmt numFmtId="166" formatCode="[$-409]d\-mmm\-yy"/>
    <numFmt numFmtId="167" formatCode="m/d/yy\ h:mm\ AM/PM"/>
    <numFmt numFmtId="168" formatCode="0.0000%"/>
    <numFmt numFmtId="169" formatCode="\$#,##0.0000"/>
    <numFmt numFmtId="170" formatCode="0.00%"/>
    <numFmt numFmtId="171" formatCode="[$-409]#,##0_);[RED]\(#,##0\)"/>
    <numFmt numFmtId="172" formatCode="0"/>
    <numFmt numFmtId="173" formatCode="[$-409]d\-mmm"/>
    <numFmt numFmtId="174" formatCode="[$-409]m/d/yyyy"/>
    <numFmt numFmtId="175" formatCode="hh:mm\ AM/PM"/>
    <numFmt numFmtId="176" formatCode="0_);[RED]\(0\)"/>
    <numFmt numFmtId="177" formatCode="0%"/>
  </numFmts>
  <fonts count="4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 MT"/>
      <family val="0"/>
    </font>
    <font>
      <b val="true"/>
      <sz val="8"/>
      <name val="Arial MT"/>
      <family val="0"/>
    </font>
    <font>
      <sz val="12"/>
      <name val="Arial MT"/>
      <family val="0"/>
    </font>
    <font>
      <sz val="12"/>
      <color rgb="FF0000FF"/>
      <name val="Arial MT"/>
      <family val="0"/>
    </font>
    <font>
      <b val="true"/>
      <sz val="12"/>
      <color rgb="FF0000FF"/>
      <name val="Arial MT"/>
      <family val="0"/>
    </font>
    <font>
      <sz val="10"/>
      <color rgb="FF0000FF"/>
      <name val="Arial MT"/>
      <family val="0"/>
    </font>
    <font>
      <sz val="12"/>
      <color rgb="FFFF0000"/>
      <name val="Arial MT"/>
      <family val="0"/>
    </font>
    <font>
      <b val="true"/>
      <sz val="12"/>
      <color rgb="FFFF0000"/>
      <name val="Arial MT"/>
      <family val="0"/>
    </font>
    <font>
      <b val="true"/>
      <sz val="9"/>
      <name val="Arial MT"/>
      <family val="0"/>
    </font>
    <font>
      <b val="true"/>
      <sz val="12"/>
      <color rgb="FF000000"/>
      <name val="Arial MT"/>
      <family val="0"/>
    </font>
    <font>
      <b val="true"/>
      <i val="true"/>
      <sz val="12"/>
      <name val="Tahoma"/>
      <family val="2"/>
    </font>
    <font>
      <b val="true"/>
      <sz val="12"/>
      <color rgb="FFFFFFFF"/>
      <name val="Arial MT"/>
      <family val="0"/>
    </font>
    <font>
      <b val="true"/>
      <sz val="14"/>
      <name val="Arial MT"/>
      <family val="0"/>
    </font>
    <font>
      <sz val="8"/>
      <name val="Arial MT"/>
      <family val="0"/>
    </font>
    <font>
      <sz val="8"/>
      <color rgb="FFC0C0C0"/>
      <name val="Arial MT"/>
      <family val="0"/>
    </font>
    <font>
      <sz val="12"/>
      <color rgb="FFC0C0C0"/>
      <name val="Arial MT"/>
      <family val="0"/>
    </font>
    <font>
      <b val="true"/>
      <sz val="10"/>
      <name val="Arial MT"/>
      <family val="0"/>
    </font>
    <font>
      <b val="true"/>
      <sz val="10"/>
      <color rgb="FFFF0000"/>
      <name val="Arial MT"/>
      <family val="0"/>
    </font>
    <font>
      <b val="true"/>
      <u val="single"/>
      <sz val="12"/>
      <name val="Arial MT"/>
      <family val="0"/>
    </font>
    <font>
      <u val="single"/>
      <sz val="12"/>
      <name val="Arial MT"/>
      <family val="0"/>
    </font>
    <font>
      <sz val="9"/>
      <name val="Arial MT"/>
      <family val="0"/>
    </font>
    <font>
      <b val="true"/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name val="TimesNewRomanPS"/>
      <family val="0"/>
    </font>
    <font>
      <sz val="8"/>
      <name val="Arial"/>
      <family val="0"/>
    </font>
    <font>
      <sz val="9"/>
      <name val="Arial"/>
      <family val="2"/>
    </font>
    <font>
      <sz val="9"/>
      <name val="Arial"/>
      <family val="0"/>
    </font>
    <font>
      <b val="true"/>
      <sz val="9"/>
      <name val="Arial"/>
      <family val="2"/>
    </font>
    <font>
      <i val="true"/>
      <sz val="12"/>
      <name val="Arial"/>
      <family val="2"/>
    </font>
    <font>
      <b val="true"/>
      <i val="true"/>
      <sz val="12"/>
      <name val="Arial MT"/>
      <family val="0"/>
    </font>
    <font>
      <b val="true"/>
      <i val="true"/>
      <sz val="12"/>
      <color rgb="FFFF0000"/>
      <name val="Arial MT"/>
      <family val="0"/>
    </font>
    <font>
      <b val="true"/>
      <i val="true"/>
      <sz val="12"/>
      <color rgb="FFC0C0C0"/>
      <name val="Arial MT"/>
      <family val="0"/>
    </font>
    <font>
      <u val="single"/>
      <sz val="12"/>
      <name val="Arial"/>
      <family val="0"/>
    </font>
    <font>
      <i val="true"/>
      <sz val="12"/>
      <name val="Arial MT"/>
      <family val="0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 val="true"/>
      <u val="single"/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9F9F9F"/>
        <bgColor rgb="FF808080"/>
      </patternFill>
    </fill>
    <fill>
      <patternFill patternType="solid">
        <fgColor rgb="FFFF00FF"/>
        <bgColor rgb="FFFF00FF"/>
      </patternFill>
    </fill>
    <fill>
      <patternFill patternType="solid">
        <fgColor rgb="FF0000FF"/>
        <bgColor rgb="FF0000FF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0066CC"/>
        <bgColor rgb="FF00808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91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double"/>
      <top style="double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 style="double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double"/>
      <right style="thin"/>
      <top style="thin"/>
      <bottom style="medium"/>
      <diagonal/>
    </border>
    <border diagonalUp="false" diagonalDown="false">
      <left style="thin"/>
      <right style="double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double"/>
      <right style="thin"/>
      <top style="medium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Dashed"/>
      <right style="mediumDashed"/>
      <top style="mediumDashed"/>
      <bottom/>
      <diagonal/>
    </border>
    <border diagonalUp="false" diagonalDown="false">
      <left style="mediumDashed"/>
      <right/>
      <top/>
      <bottom/>
      <diagonal/>
    </border>
    <border diagonalUp="false" diagonalDown="false">
      <left/>
      <right style="mediumDashed"/>
      <top/>
      <bottom/>
      <diagonal/>
    </border>
    <border diagonalUp="false" diagonalDown="false">
      <left style="mediumDashed"/>
      <right style="mediumDashed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Dashed"/>
      <right/>
      <top/>
      <bottom style="mediumDashed"/>
      <diagonal/>
    </border>
    <border diagonalUp="false" diagonalDown="false">
      <left/>
      <right/>
      <top/>
      <bottom style="mediumDashed"/>
      <diagonal/>
    </border>
    <border diagonalUp="false" diagonalDown="false">
      <left/>
      <right style="mediumDashed"/>
      <top/>
      <bottom style="mediumDashed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 style="double"/>
      <bottom/>
      <diagonal/>
    </border>
    <border diagonalUp="false" diagonalDown="false">
      <left/>
      <right style="thick"/>
      <top style="double"/>
      <bottom/>
      <diagonal/>
    </border>
    <border diagonalUp="false" diagonalDown="false">
      <left style="thick"/>
      <right/>
      <top/>
      <bottom style="double"/>
      <diagonal/>
    </border>
    <border diagonalUp="false" diagonalDown="false">
      <left/>
      <right style="thick"/>
      <top/>
      <bottom style="double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1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2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1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2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2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2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2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2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1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2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3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3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3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3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3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3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3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3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2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3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3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3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3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2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2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2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2" borderId="2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2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2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3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3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4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4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45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4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4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4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4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4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4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4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3" fillId="0" borderId="4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4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5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2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5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5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5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5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5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5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5" borderId="5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5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6" borderId="5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6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6" borderId="5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6" borderId="5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5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5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3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0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9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1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4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4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0" fillId="0" borderId="1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6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6" fillId="0" borderId="1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2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0" fillId="0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0" fillId="0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0" fillId="0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4" fillId="7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7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7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8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8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8" borderId="6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2" fillId="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2" fillId="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6" fillId="7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3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9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6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6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6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15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6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2" fillId="0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2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2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8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8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7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7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7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7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7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9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9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9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1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10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1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10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4" fillId="11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11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11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11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7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2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27" fillId="0" borderId="7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76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27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7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8" fillId="0" borderId="7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7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9" fillId="0" borderId="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0" borderId="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8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2" fillId="0" borderId="8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2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30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7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1" fillId="0" borderId="8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1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6" fontId="0" fillId="0" borderId="3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3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4" fillId="0" borderId="8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0" fillId="0" borderId="8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8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12" borderId="7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12" borderId="7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13" borderId="86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12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2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12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12" borderId="7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12" borderId="8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2" borderId="8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7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4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3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8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7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7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4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3" fillId="7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3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7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7" fillId="0" borderId="7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7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7" fillId="0" borderId="4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7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3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2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8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8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1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6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23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1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3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3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4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6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5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7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47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5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4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53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8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3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9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7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7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79" xfId="21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upply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F9F9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602280</xdr:colOff>
      <xdr:row>36</xdr:row>
      <xdr:rowOff>199800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9624240" cy="7400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3.88"/>
    <col collapsed="false" customWidth="true" hidden="false" outlineLevel="0" max="2" min="2" style="1" width="21.76"/>
    <col collapsed="false" customWidth="true" hidden="false" outlineLevel="0" max="3" min="3" style="1" width="17.21"/>
    <col collapsed="false" customWidth="true" hidden="false" outlineLevel="0" max="4" min="4" style="1" width="13.44"/>
    <col collapsed="false" customWidth="true" hidden="false" outlineLevel="0" max="5" min="5" style="1" width="10.21"/>
    <col collapsed="false" customWidth="true" hidden="false" outlineLevel="0" max="6" min="6" style="1" width="9.88"/>
    <col collapsed="false" customWidth="true" hidden="false" outlineLevel="0" max="7" min="7" style="1" width="0.65"/>
    <col collapsed="false" customWidth="true" hidden="false" outlineLevel="0" max="8" min="8" style="1" width="10.43"/>
    <col collapsed="false" customWidth="true" hidden="false" outlineLevel="0" max="9" min="9" style="1" width="0.65"/>
  </cols>
  <sheetData>
    <row r="1" customFormat="false" ht="15.75" hidden="false" customHeight="false" outlineLevel="0" collapsed="false">
      <c r="A1" s="2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5.75" hidden="false" customHeight="false" outlineLevel="0" collapsed="false">
      <c r="A2" s="2"/>
      <c r="B2" s="2" t="s">
        <v>1</v>
      </c>
      <c r="C2" s="3" t="s">
        <v>2</v>
      </c>
      <c r="D2" s="4" t="n">
        <f aca="true">TODAY()+9</f>
        <v>45935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6.5" hidden="false" customHeight="false" outlineLevel="0" collapsed="false">
      <c r="A3" s="2"/>
      <c r="B3" s="5" t="n">
        <f aca="true">NOW()</f>
        <v>45926.898579363</v>
      </c>
      <c r="C3" s="2"/>
      <c r="D3" s="2"/>
      <c r="E3" s="2"/>
      <c r="F3" s="2"/>
      <c r="G3" s="2"/>
      <c r="H3" s="2"/>
      <c r="I3" s="2"/>
      <c r="J3" s="6"/>
      <c r="K3" s="6"/>
      <c r="L3" s="6"/>
      <c r="M3" s="6"/>
      <c r="N3" s="6"/>
      <c r="O3" s="6"/>
      <c r="P3" s="6"/>
      <c r="Q3" s="6"/>
    </row>
    <row r="4" customFormat="false" ht="16.5" hidden="false" customHeight="false" outlineLevel="0" collapsed="false">
      <c r="A4" s="2"/>
      <c r="B4" s="7" t="s">
        <v>3</v>
      </c>
      <c r="C4" s="8" t="s">
        <v>4</v>
      </c>
      <c r="D4" s="8" t="s">
        <v>4</v>
      </c>
      <c r="E4" s="9"/>
      <c r="F4" s="10" t="s">
        <v>5</v>
      </c>
      <c r="G4" s="11"/>
      <c r="H4" s="12" t="s">
        <v>6</v>
      </c>
      <c r="I4" s="13"/>
      <c r="J4" s="14" t="s">
        <v>7</v>
      </c>
      <c r="K4" s="15" t="s">
        <v>8</v>
      </c>
      <c r="L4" s="15" t="s">
        <v>8</v>
      </c>
      <c r="M4" s="15"/>
      <c r="N4" s="15"/>
      <c r="O4" s="6"/>
      <c r="P4" s="6"/>
      <c r="Q4" s="6"/>
    </row>
    <row r="5" customFormat="false" ht="16.5" hidden="false" customHeight="false" outlineLevel="0" collapsed="false">
      <c r="A5" s="16"/>
      <c r="B5" s="16"/>
      <c r="C5" s="16" t="s">
        <v>7</v>
      </c>
      <c r="D5" s="16" t="s">
        <v>9</v>
      </c>
      <c r="E5" s="16" t="s">
        <v>10</v>
      </c>
      <c r="F5" s="17" t="s">
        <v>11</v>
      </c>
      <c r="G5" s="11"/>
      <c r="H5" s="18" t="s">
        <v>12</v>
      </c>
      <c r="I5" s="15"/>
      <c r="J5" s="19" t="s">
        <v>13</v>
      </c>
      <c r="K5" s="15" t="s">
        <v>14</v>
      </c>
      <c r="L5" s="15" t="s">
        <v>15</v>
      </c>
      <c r="M5" s="15" t="s">
        <v>16</v>
      </c>
      <c r="N5" s="15" t="s">
        <v>17</v>
      </c>
      <c r="O5" s="15" t="s">
        <v>18</v>
      </c>
      <c r="P5" s="15"/>
      <c r="Q5" s="15"/>
    </row>
    <row r="6" customFormat="false" ht="15.75" hidden="false" customHeight="false" outlineLevel="0" collapsed="false">
      <c r="A6" s="20"/>
      <c r="B6" s="21" t="s">
        <v>19</v>
      </c>
      <c r="C6" s="22" t="s">
        <v>20</v>
      </c>
      <c r="D6" s="22" t="s">
        <v>21</v>
      </c>
      <c r="E6" s="23" t="n">
        <v>2598</v>
      </c>
      <c r="F6" s="24" t="n">
        <v>0</v>
      </c>
      <c r="G6" s="25"/>
      <c r="H6" s="26" t="n">
        <f aca="false">E6-F6</f>
        <v>2598</v>
      </c>
      <c r="I6" s="27"/>
      <c r="J6" s="28" t="n">
        <f aca="false">H6/(1-K6)</f>
        <v>2735.88879528222</v>
      </c>
      <c r="K6" s="29" t="n">
        <v>0.0504</v>
      </c>
      <c r="L6" s="30" t="n">
        <f aca="false">0.0978</f>
        <v>0.0978</v>
      </c>
      <c r="M6" s="30" t="n">
        <f aca="false">0.0022</f>
        <v>0.0022</v>
      </c>
      <c r="N6" s="30" t="n">
        <f aca="false">0.007</f>
        <v>0.007</v>
      </c>
      <c r="O6" s="31"/>
      <c r="P6" s="31"/>
      <c r="Q6" s="31"/>
    </row>
    <row r="7" customFormat="false" ht="15.75" hidden="false" customHeight="false" outlineLevel="0" collapsed="false">
      <c r="A7" s="20"/>
      <c r="B7" s="32" t="s">
        <v>19</v>
      </c>
      <c r="C7" s="33" t="s">
        <v>22</v>
      </c>
      <c r="D7" s="33" t="s">
        <v>21</v>
      </c>
      <c r="E7" s="34" t="n">
        <v>2125</v>
      </c>
      <c r="F7" s="35" t="n">
        <v>0</v>
      </c>
      <c r="G7" s="25"/>
      <c r="H7" s="36" t="n">
        <f aca="false">E7-F7</f>
        <v>2125</v>
      </c>
      <c r="I7" s="27"/>
      <c r="J7" s="37" t="n">
        <f aca="false">H7/(1-K7)</f>
        <v>2220.2486678508</v>
      </c>
      <c r="K7" s="29" t="n">
        <v>0.0429</v>
      </c>
      <c r="L7" s="30" t="n">
        <f aca="false">0.0874</f>
        <v>0.0874</v>
      </c>
      <c r="M7" s="30" t="n">
        <f aca="false">0.0022</f>
        <v>0.0022</v>
      </c>
      <c r="N7" s="30" t="n">
        <f aca="false">0.007</f>
        <v>0.007</v>
      </c>
      <c r="O7" s="31"/>
      <c r="P7" s="31"/>
      <c r="Q7" s="31"/>
    </row>
    <row r="8" customFormat="false" ht="15.75" hidden="false" customHeight="false" outlineLevel="0" collapsed="false">
      <c r="A8" s="20"/>
      <c r="B8" s="38"/>
      <c r="C8" s="39"/>
      <c r="D8" s="39"/>
      <c r="E8" s="40" t="n">
        <f aca="false">SUM(E6:E7)</f>
        <v>4723</v>
      </c>
      <c r="F8" s="41" t="n">
        <f aca="false">SUM(F6:F7)</f>
        <v>0</v>
      </c>
      <c r="G8" s="25"/>
      <c r="H8" s="42" t="n">
        <f aca="false">E8-F8</f>
        <v>4723</v>
      </c>
      <c r="I8" s="27"/>
      <c r="J8" s="43"/>
      <c r="K8" s="44"/>
      <c r="L8" s="30"/>
      <c r="M8" s="45"/>
      <c r="N8" s="44"/>
      <c r="O8" s="31"/>
      <c r="P8" s="31"/>
      <c r="Q8" s="31"/>
    </row>
    <row r="9" customFormat="false" ht="15.75" hidden="false" customHeight="false" outlineLevel="0" collapsed="false">
      <c r="A9" s="2"/>
      <c r="B9" s="46"/>
      <c r="C9" s="47"/>
      <c r="D9" s="47"/>
      <c r="E9" s="48"/>
      <c r="F9" s="49"/>
      <c r="G9" s="50"/>
      <c r="H9" s="51"/>
      <c r="I9" s="6"/>
      <c r="J9" s="52"/>
      <c r="K9" s="2"/>
      <c r="L9" s="30"/>
      <c r="M9" s="2"/>
      <c r="N9" s="2"/>
      <c r="O9" s="2"/>
      <c r="P9" s="2"/>
      <c r="Q9" s="2"/>
    </row>
    <row r="10" customFormat="false" ht="15.75" hidden="false" customHeight="false" outlineLevel="0" collapsed="false">
      <c r="A10" s="20"/>
      <c r="B10" s="53" t="s">
        <v>23</v>
      </c>
      <c r="C10" s="54" t="s">
        <v>24</v>
      </c>
      <c r="D10" s="54" t="s">
        <v>1</v>
      </c>
      <c r="E10" s="55" t="n">
        <v>22633</v>
      </c>
      <c r="F10" s="56" t="n">
        <v>0</v>
      </c>
      <c r="G10" s="57"/>
      <c r="H10" s="58" t="n">
        <f aca="false">E10-F10</f>
        <v>22633</v>
      </c>
      <c r="I10" s="27"/>
      <c r="J10" s="59" t="n">
        <f aca="false">H10/(1-K10)</f>
        <v>23161.0724519034</v>
      </c>
      <c r="K10" s="29" t="n">
        <v>0.0228</v>
      </c>
      <c r="L10" s="30" t="n">
        <f aca="false">0.0951</f>
        <v>0.0951</v>
      </c>
      <c r="M10" s="30" t="n">
        <f aca="false">0.0022</f>
        <v>0.0022</v>
      </c>
      <c r="N10" s="30" t="n">
        <f aca="false">0</f>
        <v>0</v>
      </c>
      <c r="O10" s="60"/>
      <c r="P10" s="60"/>
      <c r="Q10" s="60"/>
    </row>
    <row r="11" customFormat="false" ht="15.75" hidden="false" customHeight="false" outlineLevel="0" collapsed="false">
      <c r="A11" s="20"/>
      <c r="B11" s="53" t="s">
        <v>23</v>
      </c>
      <c r="C11" s="54" t="s">
        <v>25</v>
      </c>
      <c r="D11" s="54" t="s">
        <v>1</v>
      </c>
      <c r="E11" s="55" t="n">
        <v>4723</v>
      </c>
      <c r="F11" s="56" t="n">
        <v>0</v>
      </c>
      <c r="G11" s="57"/>
      <c r="H11" s="58" t="n">
        <f aca="false">E11-F11</f>
        <v>4723</v>
      </c>
      <c r="I11" s="27"/>
      <c r="J11" s="59" t="n">
        <f aca="false">H11/(1-K11)</f>
        <v>4833.19688907082</v>
      </c>
      <c r="K11" s="29" t="n">
        <v>0.0228</v>
      </c>
      <c r="L11" s="30" t="n">
        <f aca="false">0.0951</f>
        <v>0.0951</v>
      </c>
      <c r="M11" s="30" t="n">
        <f aca="false">0.0022</f>
        <v>0.0022</v>
      </c>
      <c r="N11" s="30" t="n">
        <f aca="false">0</f>
        <v>0</v>
      </c>
      <c r="O11" s="61"/>
      <c r="P11" s="61"/>
      <c r="Q11" s="61"/>
    </row>
    <row r="12" customFormat="false" ht="16.5" hidden="false" customHeight="false" outlineLevel="0" collapsed="false">
      <c r="A12" s="20"/>
      <c r="B12" s="62"/>
      <c r="C12" s="63"/>
      <c r="D12" s="63"/>
      <c r="E12" s="64" t="n">
        <f aca="false">SUM(E10:E11)</f>
        <v>27356</v>
      </c>
      <c r="F12" s="65" t="n">
        <f aca="false">SUM(F10:F11)</f>
        <v>0</v>
      </c>
      <c r="G12" s="57"/>
      <c r="H12" s="66" t="n">
        <f aca="false">E12-F12</f>
        <v>27356</v>
      </c>
      <c r="I12" s="27"/>
      <c r="J12" s="67"/>
      <c r="K12" s="27"/>
      <c r="L12" s="30"/>
      <c r="M12" s="68"/>
      <c r="N12" s="27"/>
      <c r="O12" s="61"/>
      <c r="P12" s="61"/>
      <c r="Q12" s="61"/>
    </row>
    <row r="13" customFormat="false" ht="16.5" hidden="false" customHeight="false" outlineLevel="0" collapsed="false">
      <c r="A13" s="20"/>
      <c r="B13" s="27"/>
      <c r="C13" s="27"/>
      <c r="D13" s="27"/>
      <c r="E13" s="61"/>
      <c r="F13" s="69"/>
      <c r="G13" s="70"/>
      <c r="H13" s="71"/>
      <c r="I13" s="27"/>
      <c r="J13" s="72"/>
      <c r="K13" s="27"/>
      <c r="L13" s="30"/>
      <c r="M13" s="68"/>
      <c r="N13" s="27"/>
      <c r="O13" s="61"/>
      <c r="P13" s="61"/>
      <c r="Q13" s="61"/>
    </row>
    <row r="14" customFormat="false" ht="15.75" hidden="false" customHeight="false" outlineLevel="0" collapsed="false">
      <c r="A14" s="73"/>
      <c r="B14" s="74" t="s">
        <v>26</v>
      </c>
      <c r="C14" s="75" t="s">
        <v>22</v>
      </c>
      <c r="D14" s="76" t="s">
        <v>27</v>
      </c>
      <c r="E14" s="77" t="n">
        <v>3400</v>
      </c>
      <c r="F14" s="78" t="n">
        <v>0</v>
      </c>
      <c r="G14" s="57" t="n">
        <v>0</v>
      </c>
      <c r="H14" s="79" t="n">
        <f aca="false">E14-F14</f>
        <v>3400</v>
      </c>
      <c r="I14" s="6"/>
      <c r="J14" s="59" t="n">
        <f aca="false">H14/(1-K14)</f>
        <v>3563.19429888912</v>
      </c>
      <c r="K14" s="29" t="n">
        <v>0.0458</v>
      </c>
      <c r="L14" s="30" t="n">
        <f aca="false">0.0334</f>
        <v>0.0334</v>
      </c>
      <c r="M14" s="30" t="n">
        <f aca="false">0.0022</f>
        <v>0.0022</v>
      </c>
      <c r="N14" s="30" t="n">
        <f aca="false">0</f>
        <v>0</v>
      </c>
      <c r="O14" s="30" t="n">
        <f aca="false">0.0097</f>
        <v>0.0097</v>
      </c>
      <c r="P14" s="2"/>
      <c r="Q14" s="2"/>
    </row>
    <row r="15" customFormat="false" ht="15.75" hidden="false" customHeight="false" outlineLevel="0" collapsed="false">
      <c r="A15" s="73"/>
      <c r="B15" s="80" t="s">
        <v>26</v>
      </c>
      <c r="C15" s="81" t="s">
        <v>28</v>
      </c>
      <c r="D15" s="82" t="str">
        <f aca="false">D14</f>
        <v>Zn 5 Emporia</v>
      </c>
      <c r="E15" s="83" t="n">
        <v>5000</v>
      </c>
      <c r="F15" s="84" t="n">
        <v>0</v>
      </c>
      <c r="G15" s="57"/>
      <c r="H15" s="58" t="n">
        <f aca="false">E15-F15</f>
        <v>5000</v>
      </c>
      <c r="I15" s="6"/>
      <c r="J15" s="59" t="n">
        <f aca="false">H15/(1-K15)</f>
        <v>5220.84159966587</v>
      </c>
      <c r="K15" s="29" t="n">
        <v>0.0423</v>
      </c>
      <c r="L15" s="30" t="n">
        <f aca="false">0.0309</f>
        <v>0.0309</v>
      </c>
      <c r="M15" s="30" t="n">
        <f aca="false">0.0022</f>
        <v>0.0022</v>
      </c>
      <c r="N15" s="30" t="n">
        <f aca="false">0</f>
        <v>0</v>
      </c>
      <c r="O15" s="30" t="n">
        <f aca="false">0.0097</f>
        <v>0.0097</v>
      </c>
      <c r="P15" s="2"/>
      <c r="Q15" s="2"/>
    </row>
    <row r="16" customFormat="false" ht="15.75" hidden="false" customHeight="false" outlineLevel="0" collapsed="false">
      <c r="A16" s="73"/>
      <c r="B16" s="53" t="s">
        <v>26</v>
      </c>
      <c r="C16" s="85" t="s">
        <v>29</v>
      </c>
      <c r="D16" s="54" t="str">
        <f aca="false">D14</f>
        <v>Zn 5 Emporia</v>
      </c>
      <c r="E16" s="55" t="n">
        <v>11600</v>
      </c>
      <c r="F16" s="56" t="n">
        <v>0</v>
      </c>
      <c r="G16" s="57"/>
      <c r="H16" s="58" t="n">
        <f aca="false">E16-F16</f>
        <v>11600</v>
      </c>
      <c r="I16" s="6"/>
      <c r="J16" s="59" t="n">
        <f aca="false">H16/(1-K16)</f>
        <v>12059.465640919</v>
      </c>
      <c r="K16" s="29" t="n">
        <v>0.0381</v>
      </c>
      <c r="L16" s="30" t="n">
        <f aca="false">0.0278</f>
        <v>0.0278</v>
      </c>
      <c r="M16" s="30" t="n">
        <f aca="false">0.0022</f>
        <v>0.0022</v>
      </c>
      <c r="N16" s="30" t="n">
        <f aca="false">0</f>
        <v>0</v>
      </c>
      <c r="O16" s="30" t="n">
        <f aca="false">0.0097</f>
        <v>0.0097</v>
      </c>
      <c r="P16" s="2"/>
      <c r="Q16" s="2"/>
    </row>
    <row r="17" customFormat="false" ht="16.5" hidden="false" customHeight="false" outlineLevel="0" collapsed="false">
      <c r="A17" s="73"/>
      <c r="B17" s="86"/>
      <c r="C17" s="87"/>
      <c r="D17" s="88"/>
      <c r="E17" s="64" t="n">
        <f aca="false">SUM(E14:E16)</f>
        <v>20000</v>
      </c>
      <c r="F17" s="65" t="n">
        <f aca="false">SUM(F14:F16)</f>
        <v>0</v>
      </c>
      <c r="G17" s="57"/>
      <c r="H17" s="66" t="n">
        <f aca="false">E17-F17</f>
        <v>20000</v>
      </c>
      <c r="I17" s="6"/>
      <c r="J17" s="67"/>
      <c r="K17" s="6"/>
      <c r="L17" s="30"/>
      <c r="M17" s="6"/>
      <c r="N17" s="6"/>
      <c r="O17" s="6"/>
      <c r="P17" s="6"/>
      <c r="Q17" s="6"/>
    </row>
    <row r="18" customFormat="false" ht="16.5" hidden="false" customHeight="false" outlineLevel="0" collapsed="false">
      <c r="A18" s="73"/>
      <c r="B18" s="27"/>
      <c r="C18" s="68"/>
      <c r="D18" s="27"/>
      <c r="E18" s="61"/>
      <c r="F18" s="69"/>
      <c r="G18" s="70"/>
      <c r="H18" s="71"/>
      <c r="I18" s="6"/>
      <c r="J18" s="72"/>
      <c r="K18" s="6"/>
      <c r="L18" s="30"/>
      <c r="M18" s="6"/>
      <c r="N18" s="6"/>
      <c r="O18" s="6"/>
      <c r="P18" s="6"/>
      <c r="Q18" s="6"/>
    </row>
    <row r="19" customFormat="false" ht="15.75" hidden="false" customHeight="false" outlineLevel="0" collapsed="false">
      <c r="A19" s="73"/>
      <c r="B19" s="89" t="s">
        <v>30</v>
      </c>
      <c r="C19" s="90" t="s">
        <v>31</v>
      </c>
      <c r="D19" s="91" t="s">
        <v>32</v>
      </c>
      <c r="E19" s="92" t="n">
        <v>51479</v>
      </c>
      <c r="F19" s="93" t="n">
        <v>0</v>
      </c>
      <c r="G19" s="25"/>
      <c r="H19" s="94" t="n">
        <f aca="false">E19-F19</f>
        <v>51479</v>
      </c>
      <c r="I19" s="6"/>
      <c r="J19" s="28" t="n">
        <f aca="false">H19/(1-K19)</f>
        <v>53017.5698778554</v>
      </c>
      <c r="K19" s="29" t="n">
        <v>0.02902</v>
      </c>
      <c r="L19" s="30" t="n">
        <f aca="false">0.017</f>
        <v>0.017</v>
      </c>
      <c r="M19" s="30" t="n">
        <f aca="false">0.0022</f>
        <v>0.0022</v>
      </c>
      <c r="N19" s="30" t="n">
        <f aca="false">0</f>
        <v>0</v>
      </c>
      <c r="O19" s="6"/>
      <c r="P19" s="6"/>
      <c r="Q19" s="6"/>
    </row>
    <row r="20" customFormat="false" ht="15.75" hidden="false" customHeight="false" outlineLevel="0" collapsed="false">
      <c r="A20" s="73"/>
      <c r="B20" s="95"/>
      <c r="C20" s="96"/>
      <c r="D20" s="97"/>
      <c r="E20" s="98"/>
      <c r="F20" s="99"/>
      <c r="G20" s="25"/>
      <c r="H20" s="100"/>
      <c r="I20" s="6"/>
      <c r="J20" s="101"/>
      <c r="K20" s="2"/>
      <c r="L20" s="30"/>
      <c r="M20" s="2"/>
      <c r="N20" s="2"/>
      <c r="O20" s="2"/>
      <c r="P20" s="2"/>
      <c r="Q20" s="2"/>
    </row>
    <row r="21" customFormat="false" ht="15.75" hidden="false" customHeight="false" outlineLevel="0" collapsed="false">
      <c r="A21" s="73"/>
      <c r="B21" s="32" t="s">
        <v>33</v>
      </c>
      <c r="C21" s="102" t="s">
        <v>34</v>
      </c>
      <c r="D21" s="33" t="s">
        <v>1</v>
      </c>
      <c r="E21" s="34" t="n">
        <v>5000</v>
      </c>
      <c r="F21" s="35" t="n">
        <v>0</v>
      </c>
      <c r="G21" s="25"/>
      <c r="H21" s="36" t="n">
        <f aca="false">E21-F21</f>
        <v>5000</v>
      </c>
      <c r="I21" s="6"/>
      <c r="J21" s="37" t="n">
        <f aca="false">H21/(1-K21)</f>
        <v>5142.76310376039</v>
      </c>
      <c r="K21" s="29" t="n">
        <v>0.02776</v>
      </c>
      <c r="L21" s="30" t="n">
        <f aca="false">0.0134</f>
        <v>0.0134</v>
      </c>
      <c r="M21" s="30" t="n">
        <f aca="false">0.0022</f>
        <v>0.0022</v>
      </c>
      <c r="N21" s="30" t="n">
        <f aca="false">0.007</f>
        <v>0.007</v>
      </c>
      <c r="O21" s="2"/>
      <c r="P21" s="2"/>
      <c r="Q21" s="2"/>
    </row>
    <row r="22" customFormat="false" ht="15.75" hidden="false" customHeight="false" outlineLevel="0" collapsed="false">
      <c r="A22" s="73"/>
      <c r="B22" s="32" t="s">
        <v>33</v>
      </c>
      <c r="C22" s="102" t="s">
        <v>35</v>
      </c>
      <c r="D22" s="33" t="s">
        <v>1</v>
      </c>
      <c r="E22" s="34" t="n">
        <v>2631</v>
      </c>
      <c r="F22" s="35" t="n">
        <v>0</v>
      </c>
      <c r="G22" s="25"/>
      <c r="H22" s="36" t="n">
        <f aca="false">E22-F22</f>
        <v>2631</v>
      </c>
      <c r="I22" s="6"/>
      <c r="J22" s="37" t="n">
        <f aca="false">H22/(1-K22)</f>
        <v>2706.12194519872</v>
      </c>
      <c r="K22" s="29" t="n">
        <f aca="false">K21</f>
        <v>0.02776</v>
      </c>
      <c r="L22" s="30" t="n">
        <f aca="false">0.0134</f>
        <v>0.0134</v>
      </c>
      <c r="M22" s="30" t="n">
        <f aca="false">0.0022</f>
        <v>0.0022</v>
      </c>
      <c r="N22" s="30" t="n">
        <f aca="false">0.007</f>
        <v>0.007</v>
      </c>
      <c r="O22" s="2"/>
      <c r="P22" s="2"/>
      <c r="Q22" s="2"/>
    </row>
    <row r="23" customFormat="false" ht="15.75" hidden="false" customHeight="false" outlineLevel="0" collapsed="false">
      <c r="A23" s="73"/>
      <c r="B23" s="32" t="s">
        <v>33</v>
      </c>
      <c r="C23" s="102" t="s">
        <v>36</v>
      </c>
      <c r="D23" s="33" t="s">
        <v>1</v>
      </c>
      <c r="E23" s="34" t="n">
        <v>50270</v>
      </c>
      <c r="F23" s="35" t="n">
        <v>0</v>
      </c>
      <c r="G23" s="25"/>
      <c r="H23" s="36" t="n">
        <f aca="false">E23-F23</f>
        <v>50270</v>
      </c>
      <c r="I23" s="6"/>
      <c r="J23" s="37" t="n">
        <f aca="false">H23/(1-K23)</f>
        <v>51705.3402452069</v>
      </c>
      <c r="K23" s="29" t="n">
        <f aca="false">K22</f>
        <v>0.02776</v>
      </c>
      <c r="L23" s="30" t="n">
        <f aca="false">0.0134</f>
        <v>0.0134</v>
      </c>
      <c r="M23" s="30" t="n">
        <f aca="false">0.0022</f>
        <v>0.0022</v>
      </c>
      <c r="N23" s="30" t="n">
        <f aca="false">0.007</f>
        <v>0.007</v>
      </c>
      <c r="O23" s="2"/>
      <c r="P23" s="2"/>
      <c r="Q23" s="2"/>
    </row>
    <row r="24" customFormat="false" ht="15.75" hidden="false" customHeight="false" outlineLevel="0" collapsed="false">
      <c r="A24" s="73"/>
      <c r="B24" s="32" t="s">
        <v>33</v>
      </c>
      <c r="C24" s="102" t="s">
        <v>37</v>
      </c>
      <c r="D24" s="33" t="s">
        <v>1</v>
      </c>
      <c r="E24" s="34" t="n">
        <v>38000</v>
      </c>
      <c r="F24" s="35" t="n">
        <v>0</v>
      </c>
      <c r="G24" s="25"/>
      <c r="H24" s="36" t="n">
        <f aca="false">E24-F24</f>
        <v>38000</v>
      </c>
      <c r="I24" s="6"/>
      <c r="J24" s="37" t="n">
        <f aca="false">H24/(1-K24)</f>
        <v>39084.999588579</v>
      </c>
      <c r="K24" s="29" t="n">
        <f aca="false">K23</f>
        <v>0.02776</v>
      </c>
      <c r="L24" s="30" t="n">
        <f aca="false">0.0134</f>
        <v>0.0134</v>
      </c>
      <c r="M24" s="30" t="n">
        <f aca="false">0.0022</f>
        <v>0.0022</v>
      </c>
      <c r="N24" s="30" t="n">
        <f aca="false">0.007</f>
        <v>0.007</v>
      </c>
      <c r="O24" s="2"/>
      <c r="P24" s="2"/>
      <c r="Q24" s="2"/>
    </row>
    <row r="25" customFormat="false" ht="16.5" hidden="false" customHeight="false" outlineLevel="0" collapsed="false">
      <c r="A25" s="73"/>
      <c r="B25" s="103"/>
      <c r="C25" s="104"/>
      <c r="D25" s="104"/>
      <c r="E25" s="105" t="n">
        <f aca="false">SUM(E21:E24)</f>
        <v>95901</v>
      </c>
      <c r="F25" s="106" t="n">
        <f aca="false">SUM(F21:F24)</f>
        <v>0</v>
      </c>
      <c r="G25" s="25"/>
      <c r="H25" s="107" t="n">
        <f aca="false">E25-F25</f>
        <v>95901</v>
      </c>
      <c r="I25" s="108"/>
      <c r="J25" s="109"/>
      <c r="K25" s="2"/>
      <c r="L25" s="2"/>
      <c r="M25" s="2"/>
      <c r="N25" s="2"/>
      <c r="O25" s="2"/>
      <c r="P25" s="2"/>
      <c r="Q25" s="2"/>
    </row>
    <row r="26" customFormat="false" ht="15.75" hidden="false" customHeight="false" outlineLevel="0" collapsed="false">
      <c r="A26" s="73"/>
      <c r="B26" s="2"/>
      <c r="C26" s="70"/>
      <c r="D26" s="70"/>
      <c r="E26" s="70"/>
      <c r="F26" s="50"/>
      <c r="G26" s="50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5.75" hidden="false" customHeight="false" outlineLevel="0" collapsed="false">
      <c r="A27" s="73"/>
      <c r="B27" s="2" t="s">
        <v>38</v>
      </c>
      <c r="C27" s="70"/>
      <c r="D27" s="70"/>
      <c r="E27" s="70" t="n">
        <f aca="false">SUM(E25,E12)</f>
        <v>123257</v>
      </c>
      <c r="F27" s="70" t="n">
        <f aca="false">SUM(F25,F12)</f>
        <v>0</v>
      </c>
      <c r="G27" s="70"/>
      <c r="H27" s="70" t="n">
        <f aca="false">SUM(H25,H12)</f>
        <v>123257</v>
      </c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5.75" hidden="false" customHeight="false" outlineLevel="0" collapsed="false">
      <c r="A28" s="73"/>
      <c r="B28" s="2"/>
      <c r="C28" s="70"/>
      <c r="D28" s="70"/>
      <c r="E28" s="70"/>
      <c r="F28" s="70"/>
      <c r="G28" s="70"/>
      <c r="H28" s="70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6.5" hidden="false" customHeight="false" outlineLevel="0" collapsed="false">
      <c r="A29" s="7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6.5" hidden="false" customHeight="false" outlineLevel="0" collapsed="false">
      <c r="A30" s="2"/>
      <c r="B30" s="110"/>
      <c r="C30" s="111" t="s">
        <v>39</v>
      </c>
      <c r="D30" s="112" t="n">
        <f aca="false">D2</f>
        <v>45935</v>
      </c>
      <c r="E30" s="112"/>
      <c r="F30" s="13"/>
      <c r="G30" s="13"/>
      <c r="H30" s="13"/>
      <c r="I30" s="113"/>
      <c r="J30" s="114"/>
      <c r="K30" s="73"/>
      <c r="L30" s="73"/>
      <c r="M30" s="73"/>
      <c r="N30" s="73"/>
      <c r="O30" s="73"/>
      <c r="P30" s="73"/>
      <c r="Q30" s="73"/>
    </row>
    <row r="31" customFormat="false" ht="15.75" hidden="false" customHeight="false" outlineLevel="0" collapsed="false">
      <c r="A31" s="115"/>
      <c r="B31" s="116"/>
      <c r="C31" s="117"/>
      <c r="D31" s="117"/>
      <c r="E31" s="117"/>
      <c r="F31" s="117"/>
      <c r="G31" s="117"/>
      <c r="H31" s="117"/>
      <c r="I31" s="115"/>
      <c r="J31" s="116"/>
      <c r="K31" s="73"/>
      <c r="L31" s="73"/>
      <c r="M31" s="73"/>
      <c r="N31" s="73"/>
      <c r="O31" s="73"/>
      <c r="P31" s="73"/>
      <c r="Q31" s="73"/>
    </row>
    <row r="32" customFormat="false" ht="15.75" hidden="false" customHeight="false" outlineLevel="0" collapsed="false">
      <c r="A32" s="2"/>
      <c r="B32" s="118"/>
      <c r="C32" s="2"/>
      <c r="D32" s="6"/>
      <c r="E32" s="119" t="s">
        <v>40</v>
      </c>
      <c r="F32" s="120" t="n">
        <v>27493</v>
      </c>
      <c r="G32" s="120"/>
      <c r="H32" s="6"/>
      <c r="I32" s="2"/>
      <c r="J32" s="114"/>
      <c r="K32" s="73"/>
      <c r="L32" s="73"/>
      <c r="M32" s="73"/>
      <c r="N32" s="73"/>
      <c r="O32" s="73"/>
      <c r="P32" s="73"/>
      <c r="Q32" s="73"/>
    </row>
    <row r="33" customFormat="false" ht="16.5" hidden="false" customHeight="false" outlineLevel="0" collapsed="false">
      <c r="A33" s="2"/>
      <c r="B33" s="114"/>
      <c r="C33" s="121"/>
      <c r="D33" s="122" t="s">
        <v>41</v>
      </c>
      <c r="E33" s="123" t="s">
        <v>42</v>
      </c>
      <c r="F33" s="124" t="s">
        <v>43</v>
      </c>
      <c r="G33" s="123"/>
      <c r="H33" s="125" t="s">
        <v>44</v>
      </c>
      <c r="I33" s="2"/>
      <c r="J33" s="114"/>
      <c r="K33" s="73"/>
      <c r="L33" s="73"/>
      <c r="M33" s="73"/>
      <c r="N33" s="73"/>
      <c r="O33" s="73"/>
      <c r="P33" s="73"/>
      <c r="Q33" s="73"/>
    </row>
    <row r="34" customFormat="false" ht="16.5" hidden="false" customHeight="false" outlineLevel="0" collapsed="false">
      <c r="A34" s="2"/>
      <c r="B34" s="126" t="s">
        <v>45</v>
      </c>
      <c r="C34" s="127" t="n">
        <v>0</v>
      </c>
      <c r="D34" s="128"/>
      <c r="E34" s="129"/>
      <c r="F34" s="130"/>
      <c r="G34" s="128"/>
      <c r="H34" s="131"/>
      <c r="I34" s="2"/>
      <c r="J34" s="114"/>
      <c r="K34" s="73"/>
      <c r="L34" s="73"/>
      <c r="M34" s="73"/>
      <c r="N34" s="73"/>
      <c r="O34" s="73"/>
      <c r="P34" s="73"/>
      <c r="Q34" s="73"/>
    </row>
    <row r="35" customFormat="false" ht="15.75" hidden="false" customHeight="false" outlineLevel="0" collapsed="false">
      <c r="A35" s="2"/>
      <c r="B35" s="132" t="s">
        <v>46</v>
      </c>
      <c r="C35" s="133" t="n">
        <v>0</v>
      </c>
      <c r="D35" s="134"/>
      <c r="E35" s="128"/>
      <c r="F35" s="135"/>
      <c r="G35" s="128"/>
      <c r="H35" s="136"/>
      <c r="I35" s="2"/>
      <c r="J35" s="114"/>
      <c r="K35" s="73"/>
      <c r="L35" s="73"/>
      <c r="M35" s="73"/>
      <c r="N35" s="73"/>
      <c r="O35" s="73"/>
      <c r="P35" s="73"/>
      <c r="Q35" s="73"/>
    </row>
    <row r="36" customFormat="false" ht="16.5" hidden="false" customHeight="false" outlineLevel="0" collapsed="false">
      <c r="A36" s="2"/>
      <c r="B36" s="137" t="s">
        <v>47</v>
      </c>
      <c r="C36" s="138" t="n">
        <v>0</v>
      </c>
      <c r="D36" s="134"/>
      <c r="E36" s="128"/>
      <c r="F36" s="130"/>
      <c r="G36" s="128"/>
      <c r="H36" s="136"/>
      <c r="I36" s="2"/>
      <c r="J36" s="114"/>
      <c r="K36" s="73"/>
      <c r="L36" s="73"/>
      <c r="M36" s="73"/>
      <c r="N36" s="73"/>
      <c r="O36" s="73"/>
      <c r="P36" s="73"/>
      <c r="Q36" s="73"/>
    </row>
    <row r="37" customFormat="false" ht="16.5" hidden="false" customHeight="false" outlineLevel="0" collapsed="false">
      <c r="A37" s="2"/>
      <c r="B37" s="132" t="s">
        <v>48</v>
      </c>
      <c r="C37" s="139" t="n">
        <v>0</v>
      </c>
      <c r="D37" s="140" t="n">
        <f aca="false">C37</f>
        <v>0</v>
      </c>
      <c r="E37" s="141"/>
      <c r="F37" s="142" t="n">
        <f aca="false">C37</f>
        <v>0</v>
      </c>
      <c r="G37" s="143"/>
      <c r="H37" s="144"/>
      <c r="I37" s="2"/>
      <c r="J37" s="114"/>
      <c r="K37" s="73"/>
      <c r="L37" s="73"/>
      <c r="M37" s="73"/>
      <c r="N37" s="73"/>
      <c r="O37" s="73"/>
      <c r="P37" s="73"/>
      <c r="Q37" s="73"/>
    </row>
    <row r="38" customFormat="false" ht="15.75" hidden="false" customHeight="false" outlineLevel="0" collapsed="false">
      <c r="A38" s="2"/>
      <c r="B38" s="132" t="s">
        <v>49</v>
      </c>
      <c r="C38" s="139" t="n">
        <v>0</v>
      </c>
      <c r="D38" s="144"/>
      <c r="E38" s="145" t="n">
        <f aca="false">C38</f>
        <v>0</v>
      </c>
      <c r="F38" s="146"/>
      <c r="G38" s="143"/>
      <c r="H38" s="140" t="n">
        <f aca="false">C38</f>
        <v>0</v>
      </c>
      <c r="I38" s="2"/>
      <c r="J38" s="114"/>
      <c r="K38" s="73"/>
      <c r="L38" s="73"/>
      <c r="M38" s="73"/>
      <c r="N38" s="73"/>
      <c r="O38" s="73"/>
      <c r="P38" s="73"/>
      <c r="Q38" s="73"/>
    </row>
    <row r="39" customFormat="false" ht="15.75" hidden="false" customHeight="false" outlineLevel="0" collapsed="false">
      <c r="A39" s="2"/>
      <c r="B39" s="116" t="s">
        <v>50</v>
      </c>
      <c r="C39" s="147" t="n">
        <v>0</v>
      </c>
      <c r="D39" s="148" t="n">
        <f aca="false">C39</f>
        <v>0</v>
      </c>
      <c r="E39" s="149" t="n">
        <v>0</v>
      </c>
      <c r="F39" s="150" t="n">
        <f aca="false">C39</f>
        <v>0</v>
      </c>
      <c r="G39" s="151"/>
      <c r="H39" s="148" t="n">
        <v>0</v>
      </c>
      <c r="I39" s="2"/>
      <c r="J39" s="114"/>
      <c r="K39" s="73"/>
      <c r="L39" s="73"/>
      <c r="M39" s="73"/>
      <c r="N39" s="73"/>
      <c r="O39" s="73"/>
      <c r="P39" s="73"/>
      <c r="Q39" s="73"/>
    </row>
    <row r="40" customFormat="false" ht="15.75" hidden="false" customHeight="false" outlineLevel="0" collapsed="false">
      <c r="A40" s="2"/>
      <c r="B40" s="116" t="s">
        <v>51</v>
      </c>
      <c r="C40" s="147" t="n">
        <v>0</v>
      </c>
      <c r="D40" s="152" t="n">
        <f aca="false">(C40*0.8)</f>
        <v>0</v>
      </c>
      <c r="E40" s="153" t="n">
        <f aca="false">(C40*0.2)</f>
        <v>0</v>
      </c>
      <c r="F40" s="154" t="n">
        <f aca="false">(C40*0.6)</f>
        <v>0</v>
      </c>
      <c r="G40" s="155"/>
      <c r="H40" s="152" t="n">
        <f aca="false">(C40*0.4)</f>
        <v>0</v>
      </c>
      <c r="I40" s="2"/>
      <c r="J40" s="114"/>
      <c r="K40" s="73"/>
      <c r="L40" s="73"/>
      <c r="M40" s="73"/>
      <c r="N40" s="73"/>
      <c r="O40" s="73"/>
      <c r="P40" s="73"/>
      <c r="Q40" s="73"/>
    </row>
    <row r="41" customFormat="false" ht="16.5" hidden="false" customHeight="false" outlineLevel="0" collapsed="false">
      <c r="A41" s="2"/>
      <c r="B41" s="116" t="s">
        <v>52</v>
      </c>
      <c r="C41" s="147" t="n">
        <v>0</v>
      </c>
      <c r="D41" s="156"/>
      <c r="E41" s="121"/>
      <c r="F41" s="157"/>
      <c r="G41" s="121"/>
      <c r="H41" s="158"/>
      <c r="I41" s="2"/>
      <c r="J41" s="114"/>
      <c r="K41" s="73"/>
      <c r="L41" s="73"/>
      <c r="M41" s="73"/>
      <c r="N41" s="73"/>
      <c r="O41" s="73"/>
      <c r="P41" s="73"/>
      <c r="Q41" s="73"/>
    </row>
    <row r="42" customFormat="false" ht="16.5" hidden="false" customHeight="false" outlineLevel="0" collapsed="false">
      <c r="A42" s="2"/>
      <c r="B42" s="118"/>
      <c r="C42" s="159" t="n">
        <f aca="false">SUM(C37:C41)</f>
        <v>0</v>
      </c>
      <c r="D42" s="160" t="n">
        <f aca="false">SUM(D34:D41)</f>
        <v>0</v>
      </c>
      <c r="E42" s="160" t="n">
        <f aca="false">SUM(E34:E41)</f>
        <v>0</v>
      </c>
      <c r="F42" s="160" t="n">
        <f aca="false">SUM(F34:F41)</f>
        <v>0</v>
      </c>
      <c r="G42" s="161"/>
      <c r="H42" s="162" t="n">
        <f aca="false">SUM(H34:H41)</f>
        <v>0</v>
      </c>
      <c r="I42" s="2"/>
      <c r="J42" s="114"/>
      <c r="K42" s="73"/>
      <c r="L42" s="73"/>
      <c r="M42" s="73"/>
      <c r="N42" s="73"/>
      <c r="O42" s="73"/>
      <c r="P42" s="73"/>
      <c r="Q42" s="73"/>
    </row>
    <row r="43" customFormat="false" ht="18" hidden="false" customHeight="false" outlineLevel="0" collapsed="false">
      <c r="A43" s="2"/>
      <c r="B43" s="114"/>
      <c r="C43" s="163"/>
      <c r="D43" s="6"/>
      <c r="E43" s="6"/>
      <c r="F43" s="6"/>
      <c r="G43" s="6"/>
      <c r="H43" s="6"/>
      <c r="I43" s="2"/>
      <c r="J43" s="114"/>
      <c r="K43" s="73"/>
      <c r="L43" s="73"/>
      <c r="M43" s="73"/>
      <c r="N43" s="73"/>
      <c r="O43" s="73"/>
      <c r="P43" s="73"/>
      <c r="Q43" s="73"/>
    </row>
    <row r="44" customFormat="false" ht="16.5" hidden="false" customHeight="false" outlineLevel="0" collapsed="false">
      <c r="A44" s="2"/>
      <c r="B44" s="164"/>
      <c r="C44" s="108"/>
      <c r="D44" s="108"/>
      <c r="E44" s="108"/>
      <c r="F44" s="108"/>
      <c r="G44" s="108"/>
      <c r="H44" s="108"/>
      <c r="I44" s="165"/>
      <c r="J44" s="114"/>
      <c r="K44" s="73"/>
      <c r="L44" s="73"/>
      <c r="M44" s="73"/>
      <c r="N44" s="73"/>
      <c r="O44" s="73"/>
      <c r="P44" s="73"/>
      <c r="Q44" s="73"/>
    </row>
    <row r="45" customFormat="false" ht="16.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73"/>
      <c r="L45" s="73"/>
      <c r="M45" s="73"/>
      <c r="N45" s="73"/>
      <c r="O45" s="73"/>
      <c r="P45" s="73"/>
      <c r="Q45" s="73"/>
    </row>
    <row r="46" customFormat="false" ht="15.75" hidden="false" customHeight="false" outlineLevel="0" collapsed="false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</row>
    <row r="47" customFormat="false" ht="15.75" hidden="false" customHeight="false" outlineLevel="0" collapsed="false">
      <c r="A47" s="166"/>
      <c r="B47" s="2"/>
      <c r="C47" s="2"/>
      <c r="D47" s="2"/>
      <c r="E47" s="2"/>
      <c r="F47" s="2"/>
      <c r="G47" s="2"/>
      <c r="H47" s="2"/>
      <c r="I47" s="2"/>
      <c r="J47" s="2"/>
      <c r="K47" s="73"/>
      <c r="L47" s="73"/>
      <c r="M47" s="73"/>
      <c r="N47" s="73"/>
      <c r="O47" s="73"/>
      <c r="P47" s="73"/>
      <c r="Q47" s="73"/>
    </row>
    <row r="48" customFormat="false" ht="15.75" hidden="false" customHeight="false" outlineLevel="0" collapsed="false">
      <c r="A48" s="2"/>
      <c r="B48" s="167" t="s">
        <v>53</v>
      </c>
      <c r="C48" s="2"/>
      <c r="D48" s="2"/>
      <c r="E48" s="2"/>
      <c r="F48" s="2"/>
      <c r="G48" s="2"/>
      <c r="H48" s="2"/>
      <c r="I48" s="2"/>
      <c r="J48" s="2"/>
      <c r="K48" s="73"/>
      <c r="L48" s="73"/>
      <c r="M48" s="73"/>
      <c r="N48" s="73"/>
      <c r="O48" s="73"/>
      <c r="P48" s="73"/>
      <c r="Q48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45926.8985795976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37033</v>
      </c>
      <c r="F4" s="320"/>
      <c r="G4" s="314"/>
      <c r="H4" s="321" t="n">
        <v>37034</v>
      </c>
      <c r="I4" s="322"/>
      <c r="J4" s="321" t="n">
        <v>37035</v>
      </c>
      <c r="K4" s="322"/>
      <c r="L4" s="321" t="n">
        <v>37036</v>
      </c>
      <c r="M4" s="322"/>
      <c r="N4" s="321" t="n">
        <v>37037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129</v>
      </c>
      <c r="F5" s="325"/>
      <c r="G5" s="326"/>
      <c r="H5" s="327" t="s">
        <v>130</v>
      </c>
      <c r="I5" s="326"/>
      <c r="J5" s="327" t="s">
        <v>131</v>
      </c>
      <c r="K5" s="326"/>
      <c r="L5" s="327" t="s">
        <v>132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89</v>
      </c>
      <c r="F8" s="341" t="n">
        <v>70</v>
      </c>
      <c r="G8" s="342"/>
      <c r="H8" s="335" t="n">
        <v>78</v>
      </c>
      <c r="I8" s="342" t="n">
        <v>67</v>
      </c>
      <c r="J8" s="335" t="n">
        <v>81</v>
      </c>
      <c r="K8" s="342" t="n">
        <v>58</v>
      </c>
      <c r="L8" s="335" t="n">
        <v>74</v>
      </c>
      <c r="M8" s="342" t="n">
        <v>56</v>
      </c>
      <c r="N8" s="335" t="n">
        <v>70</v>
      </c>
      <c r="O8" s="342" t="n">
        <v>57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14.5</v>
      </c>
      <c r="F9" s="347"/>
      <c r="G9" s="348"/>
      <c r="H9" s="349" t="n">
        <f aca="false">(H8+I8)/2-65</f>
        <v>7.5</v>
      </c>
      <c r="I9" s="344"/>
      <c r="J9" s="349" t="n">
        <f aca="false">(J8+K8)/2-65</f>
        <v>4.5</v>
      </c>
      <c r="K9" s="344"/>
      <c r="L9" s="349" t="n">
        <f aca="false">(L8+M8)/2-65</f>
        <v>0</v>
      </c>
      <c r="M9" s="344"/>
      <c r="N9" s="349" t="n">
        <f aca="false">(N8+O8)/2-65</f>
        <v>-1.5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5" t="n">
        <v>42699</v>
      </c>
      <c r="I11" s="316"/>
      <c r="J11" s="355" t="n">
        <v>42699</v>
      </c>
      <c r="K11" s="316"/>
      <c r="L11" s="355" t="n">
        <v>42699</v>
      </c>
      <c r="M11" s="316"/>
      <c r="N11" s="355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44256.26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-1557.26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30699</v>
      </c>
      <c r="F16" s="357"/>
      <c r="G16" s="314"/>
      <c r="H16" s="361" t="n">
        <f aca="false">H11-H17</f>
        <v>30699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9968+2571</f>
        <v>12539</v>
      </c>
      <c r="F35" s="391"/>
      <c r="G35" s="392"/>
      <c r="H35" s="393" t="n">
        <v>12539</v>
      </c>
      <c r="I35" s="394" t="n">
        <f aca="false">H35+H43</f>
        <v>9968</v>
      </c>
      <c r="J35" s="393" t="n">
        <v>3750</v>
      </c>
      <c r="K35" s="394" t="n">
        <f aca="false">J35+J43</f>
        <v>1179</v>
      </c>
      <c r="L35" s="393" t="n">
        <v>3750</v>
      </c>
      <c r="M35" s="394" t="n">
        <f aca="false">L35+L43</f>
        <v>1179</v>
      </c>
      <c r="N35" s="393" t="n">
        <v>3750</v>
      </c>
      <c r="O35" s="394" t="n">
        <f aca="false">N35+N43</f>
        <v>1179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12539</v>
      </c>
      <c r="F37" s="400" t="s">
        <v>161</v>
      </c>
      <c r="G37" s="388"/>
      <c r="H37" s="401" t="n">
        <f aca="false">SUM(H34:H36)</f>
        <v>12539</v>
      </c>
      <c r="I37" s="402" t="s">
        <v>161</v>
      </c>
      <c r="J37" s="401" t="n">
        <f aca="false">SUM(J34:J36)</f>
        <v>3750</v>
      </c>
      <c r="K37" s="402" t="s">
        <v>161</v>
      </c>
      <c r="L37" s="401" t="n">
        <f aca="false">SUM(L34:L36)</f>
        <v>3750</v>
      </c>
      <c r="M37" s="402" t="s">
        <v>161</v>
      </c>
      <c r="N37" s="401" t="n">
        <f aca="false">SUM(N34:N36)</f>
        <v>3750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-18564</v>
      </c>
      <c r="F38" s="386"/>
      <c r="G38" s="387"/>
      <c r="H38" s="393" t="n">
        <v>-19509</v>
      </c>
      <c r="I38" s="316"/>
      <c r="J38" s="393" t="n">
        <v>-10720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10399</v>
      </c>
      <c r="F39" s="386"/>
      <c r="G39" s="387"/>
      <c r="H39" s="393" t="n">
        <v>10399</v>
      </c>
      <c r="I39" s="316"/>
      <c r="J39" s="393" t="n">
        <v>10399</v>
      </c>
      <c r="K39" s="316"/>
      <c r="L39" s="393" t="n">
        <v>10399</v>
      </c>
      <c r="M39" s="316"/>
      <c r="N39" s="393" t="n">
        <v>10399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1803</v>
      </c>
      <c r="F44" s="407"/>
      <c r="G44" s="408"/>
      <c r="H44" s="378" t="n">
        <f aca="false">SUM(H37:H43)</f>
        <v>858</v>
      </c>
      <c r="I44" s="409"/>
      <c r="J44" s="378" t="n">
        <f aca="false">SUM(J37:J43)</f>
        <v>858</v>
      </c>
      <c r="K44" s="409"/>
      <c r="L44" s="378" t="n">
        <f aca="false">SUM(L37:L43)</f>
        <v>11578</v>
      </c>
      <c r="M44" s="409"/>
      <c r="N44" s="378" t="n">
        <f aca="false">SUM(N37:N43)</f>
        <v>11578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11135</v>
      </c>
      <c r="F49" s="391"/>
      <c r="G49" s="392"/>
      <c r="H49" s="410" t="n">
        <v>10974</v>
      </c>
      <c r="I49" s="411"/>
      <c r="J49" s="410" t="n">
        <v>11135</v>
      </c>
      <c r="K49" s="411"/>
      <c r="L49" s="410" t="n">
        <v>11135</v>
      </c>
      <c r="M49" s="411"/>
      <c r="N49" s="410" t="n">
        <v>11135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-10523</v>
      </c>
      <c r="F50" s="386"/>
      <c r="G50" s="387"/>
      <c r="H50" s="415" t="n">
        <v>-10974</v>
      </c>
      <c r="I50" s="316"/>
      <c r="J50" s="415" t="n">
        <v>-11135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612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11135</v>
      </c>
      <c r="M51" s="398"/>
      <c r="N51" s="355" t="n">
        <f aca="false">SUM(N49:N50)</f>
        <v>11135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39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6938</v>
      </c>
      <c r="F56" s="419"/>
      <c r="G56" s="420"/>
      <c r="H56" s="378" t="n">
        <f aca="false">SUM(H51:H55)</f>
        <v>6326</v>
      </c>
      <c r="I56" s="421"/>
      <c r="J56" s="378" t="n">
        <f aca="false">SUM(J51:J55)</f>
        <v>6326</v>
      </c>
      <c r="K56" s="421"/>
      <c r="L56" s="378" t="n">
        <f aca="false">SUM(L51:L55)</f>
        <v>17461</v>
      </c>
      <c r="M56" s="421"/>
      <c r="N56" s="378" t="n">
        <f aca="false">SUM(N51:N55)</f>
        <v>17461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6920.655</v>
      </c>
      <c r="F57" s="386"/>
      <c r="G57" s="314"/>
      <c r="H57" s="374" t="n">
        <f aca="false">H56*0.9975</f>
        <v>6310.185</v>
      </c>
      <c r="I57" s="316"/>
      <c r="J57" s="374" t="n">
        <f aca="false">J56*0.9975</f>
        <v>6310.185</v>
      </c>
      <c r="K57" s="316"/>
      <c r="L57" s="374" t="n">
        <f aca="false">L56*0.9975</f>
        <v>17417.3475</v>
      </c>
      <c r="M57" s="316"/>
      <c r="N57" s="374" t="n">
        <f aca="false">N56*0.9975</f>
        <v>17417.3475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0.156376860584243</v>
      </c>
      <c r="F58" s="386"/>
      <c r="G58" s="314"/>
      <c r="H58" s="423" t="n">
        <f aca="false">H57/H66</f>
        <v>0.147782069291131</v>
      </c>
      <c r="I58" s="316"/>
      <c r="J58" s="423" t="n">
        <f aca="false">J57/J66</f>
        <v>0.147782069291131</v>
      </c>
      <c r="K58" s="316"/>
      <c r="L58" s="423" t="n">
        <f aca="false">L57/L66</f>
        <v>0.269809420788032</v>
      </c>
      <c r="M58" s="316"/>
      <c r="N58" s="423" t="n">
        <f aca="false">N57/N66</f>
        <v>0.269809420788032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44256.26</v>
      </c>
      <c r="F66" s="434"/>
      <c r="G66" s="314"/>
      <c r="H66" s="427" t="n">
        <f aca="false">H29+H44+H56+H61+H62</f>
        <v>42699.26</v>
      </c>
      <c r="I66" s="316"/>
      <c r="J66" s="427" t="n">
        <f aca="false">J29+J44+J56+J61+J62</f>
        <v>42699.26</v>
      </c>
      <c r="K66" s="316"/>
      <c r="L66" s="427" t="n">
        <f aca="false">L29+L44+L56+L61+L62</f>
        <v>64554.26</v>
      </c>
      <c r="M66" s="316"/>
      <c r="N66" s="427" t="n">
        <f aca="false">N29+N44+N56+N61+N62</f>
        <v>64554.26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21855.26</v>
      </c>
      <c r="M68" s="316"/>
      <c r="N68" s="437" t="n">
        <f aca="false">N66-N11</f>
        <v>21855.26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45926.8985796201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37032</v>
      </c>
      <c r="F4" s="320"/>
      <c r="G4" s="314"/>
      <c r="H4" s="321" t="n">
        <v>37033</v>
      </c>
      <c r="I4" s="322"/>
      <c r="J4" s="321" t="n">
        <v>37034</v>
      </c>
      <c r="K4" s="322"/>
      <c r="L4" s="321" t="n">
        <v>37035</v>
      </c>
      <c r="M4" s="322"/>
      <c r="N4" s="321" t="n">
        <v>37036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193</v>
      </c>
      <c r="F5" s="325"/>
      <c r="G5" s="326"/>
      <c r="H5" s="327" t="s">
        <v>129</v>
      </c>
      <c r="I5" s="326"/>
      <c r="J5" s="327" t="s">
        <v>130</v>
      </c>
      <c r="K5" s="326"/>
      <c r="L5" s="327" t="s">
        <v>131</v>
      </c>
      <c r="M5" s="326"/>
      <c r="N5" s="327" t="s">
        <v>132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80</v>
      </c>
      <c r="F8" s="341" t="n">
        <v>62</v>
      </c>
      <c r="G8" s="342"/>
      <c r="H8" s="335" t="n">
        <v>91</v>
      </c>
      <c r="I8" s="342" t="n">
        <v>68</v>
      </c>
      <c r="J8" s="335" t="n">
        <v>77</v>
      </c>
      <c r="K8" s="342" t="n">
        <v>67</v>
      </c>
      <c r="L8" s="335" t="n">
        <v>74</v>
      </c>
      <c r="M8" s="342" t="n">
        <v>56</v>
      </c>
      <c r="N8" s="335" t="n">
        <v>70</v>
      </c>
      <c r="O8" s="342" t="n">
        <v>57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6</v>
      </c>
      <c r="F9" s="347"/>
      <c r="G9" s="348"/>
      <c r="H9" s="349" t="n">
        <f aca="false">(H8+I8)/2-65</f>
        <v>14.5</v>
      </c>
      <c r="I9" s="344"/>
      <c r="J9" s="349" t="n">
        <f aca="false">(J8+K8)/2-65</f>
        <v>7</v>
      </c>
      <c r="K9" s="344"/>
      <c r="L9" s="349" t="n">
        <f aca="false">(L8+M8)/2-65</f>
        <v>0</v>
      </c>
      <c r="M9" s="344"/>
      <c r="N9" s="349" t="n">
        <f aca="false">(N8+O8)/2-65</f>
        <v>-1.5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5" t="n">
        <v>42699</v>
      </c>
      <c r="I11" s="316"/>
      <c r="J11" s="355" t="n">
        <v>42699</v>
      </c>
      <c r="K11" s="316"/>
      <c r="L11" s="355" t="n">
        <v>42699</v>
      </c>
      <c r="M11" s="316"/>
      <c r="N11" s="355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44788.26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-2089.26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30699</v>
      </c>
      <c r="F16" s="357"/>
      <c r="G16" s="314"/>
      <c r="H16" s="361" t="n">
        <f aca="false">H11-H17</f>
        <v>30699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9968+2571</f>
        <v>12539</v>
      </c>
      <c r="F35" s="391"/>
      <c r="G35" s="392"/>
      <c r="H35" s="393" t="n">
        <v>12539</v>
      </c>
      <c r="I35" s="394" t="n">
        <f aca="false">H35+H43</f>
        <v>9968</v>
      </c>
      <c r="J35" s="393" t="n">
        <v>12539</v>
      </c>
      <c r="K35" s="394" t="n">
        <f aca="false">J35+J43</f>
        <v>9968</v>
      </c>
      <c r="L35" s="393" t="n">
        <v>12539</v>
      </c>
      <c r="M35" s="394" t="n">
        <f aca="false">L35+L43</f>
        <v>9968</v>
      </c>
      <c r="N35" s="393" t="n">
        <v>12539</v>
      </c>
      <c r="O35" s="394" t="n">
        <f aca="false">N35+N43</f>
        <v>9968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12539</v>
      </c>
      <c r="F37" s="400" t="s">
        <v>161</v>
      </c>
      <c r="G37" s="388"/>
      <c r="H37" s="401" t="n">
        <f aca="false">SUM(H34:H36)</f>
        <v>12539</v>
      </c>
      <c r="I37" s="402" t="s">
        <v>161</v>
      </c>
      <c r="J37" s="401" t="n">
        <f aca="false">SUM(J34:J36)</f>
        <v>12539</v>
      </c>
      <c r="K37" s="402" t="s">
        <v>161</v>
      </c>
      <c r="L37" s="401" t="n">
        <f aca="false">SUM(L34:L36)</f>
        <v>12539</v>
      </c>
      <c r="M37" s="402" t="s">
        <v>161</v>
      </c>
      <c r="N37" s="401" t="n">
        <f aca="false">SUM(N34:N36)</f>
        <v>12539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-16679</v>
      </c>
      <c r="F38" s="386"/>
      <c r="G38" s="387"/>
      <c r="H38" s="403" t="n">
        <v>-19509</v>
      </c>
      <c r="I38" s="316"/>
      <c r="J38" s="393" t="n">
        <v>-19509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9692</v>
      </c>
      <c r="F39" s="386"/>
      <c r="G39" s="387"/>
      <c r="H39" s="393" t="n">
        <v>10399</v>
      </c>
      <c r="I39" s="316"/>
      <c r="J39" s="393" t="n">
        <v>10399</v>
      </c>
      <c r="K39" s="316"/>
      <c r="L39" s="393" t="n">
        <v>10399</v>
      </c>
      <c r="M39" s="316"/>
      <c r="N39" s="393" t="n">
        <v>10399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2981</v>
      </c>
      <c r="F44" s="407"/>
      <c r="G44" s="408"/>
      <c r="H44" s="378" t="n">
        <f aca="false">SUM(H37:H43)</f>
        <v>858</v>
      </c>
      <c r="I44" s="409"/>
      <c r="J44" s="378" t="n">
        <f aca="false">SUM(J37:J43)</f>
        <v>858</v>
      </c>
      <c r="K44" s="409"/>
      <c r="L44" s="378" t="n">
        <f aca="false">SUM(L37:L43)</f>
        <v>20367</v>
      </c>
      <c r="M44" s="409"/>
      <c r="N44" s="378" t="n">
        <f aca="false">SUM(N37:N43)</f>
        <v>20367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11135</v>
      </c>
      <c r="F49" s="391"/>
      <c r="G49" s="392"/>
      <c r="H49" s="410" t="n">
        <v>11135</v>
      </c>
      <c r="I49" s="411"/>
      <c r="J49" s="410" t="n">
        <v>10974</v>
      </c>
      <c r="K49" s="411"/>
      <c r="L49" s="410" t="n">
        <v>10974</v>
      </c>
      <c r="M49" s="411"/>
      <c r="N49" s="410" t="n">
        <v>10974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-11169</v>
      </c>
      <c r="F50" s="386"/>
      <c r="G50" s="387"/>
      <c r="H50" s="415" t="n">
        <v>-11135</v>
      </c>
      <c r="I50" s="316"/>
      <c r="J50" s="415" t="n">
        <v>-10974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-34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10974</v>
      </c>
      <c r="M51" s="398"/>
      <c r="N51" s="355" t="n">
        <f aca="false">SUM(N49:N50)</f>
        <v>10974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39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6292</v>
      </c>
      <c r="F56" s="419"/>
      <c r="G56" s="420"/>
      <c r="H56" s="378" t="n">
        <f aca="false">SUM(H51:H55)</f>
        <v>6326</v>
      </c>
      <c r="I56" s="421"/>
      <c r="J56" s="378" t="n">
        <f aca="false">SUM(J51:J55)</f>
        <v>6326</v>
      </c>
      <c r="K56" s="421"/>
      <c r="L56" s="378" t="n">
        <f aca="false">SUM(L51:L55)</f>
        <v>17300</v>
      </c>
      <c r="M56" s="421"/>
      <c r="N56" s="378" t="n">
        <f aca="false">SUM(N51:N55)</f>
        <v>17300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6276.27</v>
      </c>
      <c r="F57" s="386"/>
      <c r="G57" s="314"/>
      <c r="H57" s="374" t="n">
        <f aca="false">H56*0.9975</f>
        <v>6310.185</v>
      </c>
      <c r="I57" s="316"/>
      <c r="J57" s="374" t="n">
        <f aca="false">J56*0.9975</f>
        <v>6310.185</v>
      </c>
      <c r="K57" s="316"/>
      <c r="L57" s="374" t="n">
        <f aca="false">L56*0.9975</f>
        <v>17256.75</v>
      </c>
      <c r="M57" s="316"/>
      <c r="N57" s="374" t="n">
        <f aca="false">N56*0.9975</f>
        <v>17256.75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0.140132034600139</v>
      </c>
      <c r="F58" s="386"/>
      <c r="G58" s="314"/>
      <c r="H58" s="423" t="n">
        <f aca="false">H57/H66</f>
        <v>0.147782069291131</v>
      </c>
      <c r="I58" s="316"/>
      <c r="J58" s="423" t="n">
        <f aca="false">J57/J66</f>
        <v>0.147782069291131</v>
      </c>
      <c r="K58" s="316"/>
      <c r="L58" s="423" t="n">
        <f aca="false">L57/L66</f>
        <v>0.235805098120774</v>
      </c>
      <c r="M58" s="316"/>
      <c r="N58" s="423" t="n">
        <f aca="false">N57/N66</f>
        <v>0.235805098120774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44788.26</v>
      </c>
      <c r="F66" s="434"/>
      <c r="G66" s="314"/>
      <c r="H66" s="427" t="n">
        <f aca="false">H29+H44+H56+H61+H62</f>
        <v>42699.26</v>
      </c>
      <c r="I66" s="316"/>
      <c r="J66" s="427" t="n">
        <f aca="false">J29+J44+J56+J61+J62</f>
        <v>42699.26</v>
      </c>
      <c r="K66" s="316"/>
      <c r="L66" s="427" t="n">
        <f aca="false">L29+L44+L56+L61+L62</f>
        <v>73182.26</v>
      </c>
      <c r="M66" s="316"/>
      <c r="N66" s="427" t="n">
        <f aca="false">N29+N44+N56+N61+N62</f>
        <v>73182.26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30483.26</v>
      </c>
      <c r="M68" s="316"/>
      <c r="N68" s="437" t="n">
        <f aca="false">N66-N11</f>
        <v>30483.26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E35" activeCellId="0" sqref="E3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45926.8985796428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37031</v>
      </c>
      <c r="F4" s="320"/>
      <c r="G4" s="314"/>
      <c r="H4" s="321" t="n">
        <v>37032</v>
      </c>
      <c r="I4" s="322"/>
      <c r="J4" s="321" t="n">
        <v>37033</v>
      </c>
      <c r="K4" s="322"/>
      <c r="L4" s="321" t="n">
        <v>37034</v>
      </c>
      <c r="M4" s="322"/>
      <c r="N4" s="321" t="n">
        <v>37035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194</v>
      </c>
      <c r="F5" s="325"/>
      <c r="G5" s="326"/>
      <c r="H5" s="327" t="s">
        <v>193</v>
      </c>
      <c r="I5" s="326"/>
      <c r="J5" s="327" t="s">
        <v>129</v>
      </c>
      <c r="K5" s="326"/>
      <c r="L5" s="327" t="s">
        <v>130</v>
      </c>
      <c r="M5" s="326"/>
      <c r="N5" s="327" t="s">
        <v>131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64</v>
      </c>
      <c r="F8" s="341" t="n">
        <v>50</v>
      </c>
      <c r="G8" s="342"/>
      <c r="H8" s="335" t="n">
        <v>76</v>
      </c>
      <c r="I8" s="342" t="n">
        <v>60</v>
      </c>
      <c r="J8" s="335" t="n">
        <v>79</v>
      </c>
      <c r="K8" s="342" t="n">
        <v>56</v>
      </c>
      <c r="L8" s="335" t="n">
        <v>80</v>
      </c>
      <c r="M8" s="342" t="n">
        <v>63</v>
      </c>
      <c r="N8" s="335" t="n">
        <v>76</v>
      </c>
      <c r="O8" s="342" t="n">
        <v>60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-8</v>
      </c>
      <c r="F9" s="347"/>
      <c r="G9" s="348"/>
      <c r="H9" s="349" t="n">
        <f aca="false">(H8+I8)/2-65</f>
        <v>3</v>
      </c>
      <c r="I9" s="344"/>
      <c r="J9" s="349" t="n">
        <f aca="false">(J8+K8)/2-65</f>
        <v>2.5</v>
      </c>
      <c r="K9" s="344"/>
      <c r="L9" s="349" t="n">
        <f aca="false">(L8+M8)/2-65</f>
        <v>6.5</v>
      </c>
      <c r="M9" s="344"/>
      <c r="N9" s="349" t="n">
        <f aca="false">(N8+O8)/2-65</f>
        <v>3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5" t="n">
        <v>42699</v>
      </c>
      <c r="I11" s="316"/>
      <c r="J11" s="355" t="n">
        <v>42699</v>
      </c>
      <c r="K11" s="316"/>
      <c r="L11" s="355" t="n">
        <v>42699</v>
      </c>
      <c r="M11" s="316"/>
      <c r="N11" s="355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44047.26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-1348.26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30699</v>
      </c>
      <c r="F16" s="357"/>
      <c r="G16" s="314"/>
      <c r="H16" s="361" t="n">
        <f aca="false">H11-H17</f>
        <v>30699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9968+2571</f>
        <v>12539</v>
      </c>
      <c r="F35" s="391"/>
      <c r="G35" s="392"/>
      <c r="H35" s="393" t="n">
        <v>12539</v>
      </c>
      <c r="I35" s="394" t="n">
        <f aca="false">H35+H43</f>
        <v>9968</v>
      </c>
      <c r="J35" s="393" t="n">
        <v>12539</v>
      </c>
      <c r="K35" s="394" t="n">
        <f aca="false">J35+J43</f>
        <v>9968</v>
      </c>
      <c r="L35" s="393" t="n">
        <v>12539</v>
      </c>
      <c r="M35" s="394" t="n">
        <f aca="false">L35+L43</f>
        <v>9968</v>
      </c>
      <c r="N35" s="393" t="n">
        <v>12539</v>
      </c>
      <c r="O35" s="394" t="n">
        <f aca="false">N35+N43</f>
        <v>9968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12539</v>
      </c>
      <c r="F37" s="400" t="s">
        <v>161</v>
      </c>
      <c r="G37" s="388"/>
      <c r="H37" s="401" t="n">
        <f aca="false">SUM(H34:H36)</f>
        <v>12539</v>
      </c>
      <c r="I37" s="402" t="s">
        <v>161</v>
      </c>
      <c r="J37" s="401" t="n">
        <f aca="false">SUM(J34:J36)</f>
        <v>12539</v>
      </c>
      <c r="K37" s="402" t="s">
        <v>161</v>
      </c>
      <c r="L37" s="401" t="n">
        <f aca="false">SUM(L34:L36)</f>
        <v>12539</v>
      </c>
      <c r="M37" s="402" t="s">
        <v>161</v>
      </c>
      <c r="N37" s="401" t="n">
        <f aca="false">SUM(N34:N36)</f>
        <v>12539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-15733</v>
      </c>
      <c r="F38" s="386"/>
      <c r="G38" s="387"/>
      <c r="H38" s="403" t="n">
        <v>-18802</v>
      </c>
      <c r="I38" s="316"/>
      <c r="J38" s="393" t="n">
        <v>-18802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7892</v>
      </c>
      <c r="F39" s="386"/>
      <c r="G39" s="387"/>
      <c r="H39" s="403" t="n">
        <v>9692</v>
      </c>
      <c r="I39" s="316"/>
      <c r="J39" s="393" t="n">
        <v>9692</v>
      </c>
      <c r="K39" s="316"/>
      <c r="L39" s="393" t="n">
        <v>9692</v>
      </c>
      <c r="M39" s="316"/>
      <c r="N39" s="393" t="n">
        <v>9692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2127</v>
      </c>
      <c r="F44" s="407"/>
      <c r="G44" s="408"/>
      <c r="H44" s="378" t="n">
        <f aca="false">SUM(H37:H43)</f>
        <v>858</v>
      </c>
      <c r="I44" s="409"/>
      <c r="J44" s="378" t="n">
        <f aca="false">SUM(J37:J43)</f>
        <v>858</v>
      </c>
      <c r="K44" s="409"/>
      <c r="L44" s="378" t="n">
        <f aca="false">SUM(L37:L43)</f>
        <v>19660</v>
      </c>
      <c r="M44" s="409"/>
      <c r="N44" s="378" t="n">
        <f aca="false">SUM(N37:N43)</f>
        <v>19660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11135</v>
      </c>
      <c r="F49" s="391"/>
      <c r="G49" s="392"/>
      <c r="H49" s="410" t="n">
        <v>11135</v>
      </c>
      <c r="I49" s="411"/>
      <c r="J49" s="410" t="n">
        <v>11135</v>
      </c>
      <c r="K49" s="411"/>
      <c r="L49" s="410" t="n">
        <v>11135</v>
      </c>
      <c r="M49" s="411"/>
      <c r="N49" s="410" t="n">
        <v>11135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-11056</v>
      </c>
      <c r="F50" s="386"/>
      <c r="G50" s="387"/>
      <c r="H50" s="415" t="n">
        <v>-11135</v>
      </c>
      <c r="I50" s="316"/>
      <c r="J50" s="415" t="n">
        <v>-11135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79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11135</v>
      </c>
      <c r="M51" s="398"/>
      <c r="N51" s="355" t="n">
        <f aca="false">SUM(N49:N50)</f>
        <v>11135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39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6405</v>
      </c>
      <c r="F56" s="419"/>
      <c r="G56" s="420"/>
      <c r="H56" s="378" t="n">
        <f aca="false">SUM(H51:H55)</f>
        <v>6326</v>
      </c>
      <c r="I56" s="421"/>
      <c r="J56" s="378" t="n">
        <f aca="false">SUM(J51:J55)</f>
        <v>6326</v>
      </c>
      <c r="K56" s="421"/>
      <c r="L56" s="378" t="n">
        <f aca="false">SUM(L51:L55)</f>
        <v>17461</v>
      </c>
      <c r="M56" s="421"/>
      <c r="N56" s="378" t="n">
        <f aca="false">SUM(N51:N55)</f>
        <v>17461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6388.9875</v>
      </c>
      <c r="F57" s="386"/>
      <c r="G57" s="314"/>
      <c r="H57" s="374" t="n">
        <f aca="false">H56*0.9975</f>
        <v>6310.185</v>
      </c>
      <c r="I57" s="316"/>
      <c r="J57" s="374" t="n">
        <f aca="false">J56*0.9975</f>
        <v>6310.185</v>
      </c>
      <c r="K57" s="316"/>
      <c r="L57" s="374" t="n">
        <f aca="false">L56*0.9975</f>
        <v>17417.3475</v>
      </c>
      <c r="M57" s="316"/>
      <c r="N57" s="374" t="n">
        <f aca="false">N56*0.9975</f>
        <v>17417.3475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0.145048466124794</v>
      </c>
      <c r="F58" s="386"/>
      <c r="G58" s="314"/>
      <c r="H58" s="423" t="n">
        <f aca="false">H57/H66</f>
        <v>0.147782069291131</v>
      </c>
      <c r="I58" s="316"/>
      <c r="J58" s="423" t="n">
        <f aca="false">J57/J66</f>
        <v>0.147782069291131</v>
      </c>
      <c r="K58" s="316"/>
      <c r="L58" s="423" t="n">
        <f aca="false">L57/L66</f>
        <v>0.239788605580739</v>
      </c>
      <c r="M58" s="316"/>
      <c r="N58" s="423" t="n">
        <f aca="false">N57/N66</f>
        <v>0.239788605580739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44047.26</v>
      </c>
      <c r="F66" s="434"/>
      <c r="G66" s="314"/>
      <c r="H66" s="427" t="n">
        <f aca="false">H29+H44+H56+H61+H62</f>
        <v>42699.26</v>
      </c>
      <c r="I66" s="316"/>
      <c r="J66" s="427" t="n">
        <f aca="false">J29+J44+J56+J61+J62</f>
        <v>42699.26</v>
      </c>
      <c r="K66" s="316"/>
      <c r="L66" s="427" t="n">
        <f aca="false">L29+L44+L56+L61+L62</f>
        <v>72636.26</v>
      </c>
      <c r="M66" s="316"/>
      <c r="N66" s="427" t="n">
        <f aca="false">N29+N44+N56+N61+N62</f>
        <v>72636.26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29937.26</v>
      </c>
      <c r="M68" s="316"/>
      <c r="N68" s="437" t="n">
        <f aca="false">N66-N11</f>
        <v>29937.26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45926.8985796632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37028</v>
      </c>
      <c r="F4" s="320"/>
      <c r="G4" s="314"/>
      <c r="H4" s="321" t="n">
        <v>37029</v>
      </c>
      <c r="I4" s="322"/>
      <c r="J4" s="321" t="n">
        <v>37030</v>
      </c>
      <c r="K4" s="322"/>
      <c r="L4" s="321" t="n">
        <v>37031</v>
      </c>
      <c r="M4" s="322"/>
      <c r="N4" s="321" t="n">
        <v>37032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131</v>
      </c>
      <c r="F5" s="325"/>
      <c r="G5" s="326"/>
      <c r="H5" s="327" t="s">
        <v>132</v>
      </c>
      <c r="I5" s="326"/>
      <c r="J5" s="327" t="s">
        <v>133</v>
      </c>
      <c r="K5" s="326"/>
      <c r="L5" s="327" t="s">
        <v>194</v>
      </c>
      <c r="M5" s="326"/>
      <c r="N5" s="327" t="s">
        <v>193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64</v>
      </c>
      <c r="F8" s="341" t="n">
        <v>50</v>
      </c>
      <c r="G8" s="342"/>
      <c r="H8" s="335" t="n">
        <v>64</v>
      </c>
      <c r="I8" s="342" t="n">
        <v>49</v>
      </c>
      <c r="J8" s="335" t="n">
        <v>79</v>
      </c>
      <c r="K8" s="342" t="n">
        <v>56</v>
      </c>
      <c r="L8" s="335" t="n">
        <v>80</v>
      </c>
      <c r="M8" s="342" t="n">
        <v>63</v>
      </c>
      <c r="N8" s="335" t="n">
        <v>76</v>
      </c>
      <c r="O8" s="342" t="n">
        <v>60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-8</v>
      </c>
      <c r="F9" s="347"/>
      <c r="G9" s="348"/>
      <c r="H9" s="349" t="n">
        <f aca="false">(H8+I8)/2-65</f>
        <v>-8.5</v>
      </c>
      <c r="I9" s="344"/>
      <c r="J9" s="349" t="n">
        <f aca="false">(J8+K8)/2-65</f>
        <v>2.5</v>
      </c>
      <c r="K9" s="344"/>
      <c r="L9" s="349" t="n">
        <f aca="false">(L8+M8)/2-65</f>
        <v>6.5</v>
      </c>
      <c r="M9" s="344"/>
      <c r="N9" s="349" t="n">
        <f aca="false">(N8+O8)/2-65</f>
        <v>3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52000</v>
      </c>
      <c r="F11" s="353"/>
      <c r="G11" s="314"/>
      <c r="H11" s="355" t="n">
        <v>42699</v>
      </c>
      <c r="I11" s="316"/>
      <c r="J11" s="355" t="n">
        <v>42699</v>
      </c>
      <c r="K11" s="316"/>
      <c r="L11" s="355" t="n">
        <v>42699</v>
      </c>
      <c r="M11" s="316"/>
      <c r="N11" s="355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0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52000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40000</v>
      </c>
      <c r="F16" s="357"/>
      <c r="G16" s="314"/>
      <c r="H16" s="361" t="n">
        <f aca="false">H11-H17</f>
        <v>30699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 t="n">
        <v>0</v>
      </c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0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0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0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0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0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0</v>
      </c>
      <c r="F35" s="391"/>
      <c r="G35" s="392"/>
      <c r="H35" s="393" t="n">
        <v>8357</v>
      </c>
      <c r="I35" s="394" t="n">
        <f aca="false">H36+H44</f>
        <v>858</v>
      </c>
      <c r="J35" s="393" t="n">
        <v>12539</v>
      </c>
      <c r="K35" s="394" t="n">
        <f aca="false">J35+J43</f>
        <v>9968</v>
      </c>
      <c r="L35" s="393" t="n">
        <v>12539</v>
      </c>
      <c r="M35" s="394" t="n">
        <f aca="false">L35+L43</f>
        <v>9968</v>
      </c>
      <c r="N35" s="393" t="n">
        <v>12539</v>
      </c>
      <c r="O35" s="394" t="n">
        <f aca="false">N35+N43</f>
        <v>9968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0</v>
      </c>
      <c r="F37" s="400" t="s">
        <v>161</v>
      </c>
      <c r="G37" s="388"/>
      <c r="H37" s="401" t="n">
        <f aca="false">SUM(H34:H36)</f>
        <v>8357</v>
      </c>
      <c r="I37" s="402" t="s">
        <v>161</v>
      </c>
      <c r="J37" s="401" t="n">
        <f aca="false">SUM(J34:J36)</f>
        <v>12539</v>
      </c>
      <c r="K37" s="402" t="s">
        <v>161</v>
      </c>
      <c r="L37" s="401" t="n">
        <f aca="false">SUM(L34:L36)</f>
        <v>12539</v>
      </c>
      <c r="M37" s="402" t="s">
        <v>161</v>
      </c>
      <c r="N37" s="401" t="n">
        <f aca="false">SUM(N34:N36)</f>
        <v>12539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0</v>
      </c>
      <c r="F38" s="386"/>
      <c r="G38" s="387"/>
      <c r="H38" s="393" t="n">
        <v>-12820</v>
      </c>
      <c r="I38" s="316"/>
      <c r="J38" s="393" t="n">
        <v>-17002</v>
      </c>
      <c r="K38" s="316"/>
      <c r="L38" s="393" t="n">
        <v>-17002</v>
      </c>
      <c r="M38" s="316"/>
      <c r="N38" s="393" t="n">
        <v>-17002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0</v>
      </c>
      <c r="F39" s="386"/>
      <c r="G39" s="387"/>
      <c r="H39" s="393" t="n">
        <v>7892</v>
      </c>
      <c r="I39" s="316"/>
      <c r="J39" s="393" t="n">
        <v>7892</v>
      </c>
      <c r="K39" s="316"/>
      <c r="L39" s="393" t="n">
        <v>7892</v>
      </c>
      <c r="M39" s="316"/>
      <c r="N39" s="393" t="n">
        <v>7892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0</v>
      </c>
      <c r="F44" s="407"/>
      <c r="G44" s="408"/>
      <c r="H44" s="378" t="n">
        <f aca="false">SUM(H37:H43)</f>
        <v>858</v>
      </c>
      <c r="I44" s="409"/>
      <c r="J44" s="378" t="n">
        <f aca="false">SUM(J37:J43)</f>
        <v>858</v>
      </c>
      <c r="K44" s="409"/>
      <c r="L44" s="378" t="n">
        <f aca="false">SUM(L37:L43)</f>
        <v>858</v>
      </c>
      <c r="M44" s="409"/>
      <c r="N44" s="378" t="n">
        <f aca="false">SUM(N37:N43)</f>
        <v>858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0</v>
      </c>
      <c r="F49" s="391"/>
      <c r="G49" s="392"/>
      <c r="H49" s="410" t="n">
        <v>11135</v>
      </c>
      <c r="I49" s="411"/>
      <c r="J49" s="410" t="n">
        <v>11135</v>
      </c>
      <c r="K49" s="411"/>
      <c r="L49" s="410" t="n">
        <v>11135</v>
      </c>
      <c r="M49" s="411"/>
      <c r="N49" s="410" t="n">
        <v>11135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0</v>
      </c>
      <c r="F50" s="386"/>
      <c r="G50" s="387"/>
      <c r="H50" s="415" t="n">
        <v>-11135</v>
      </c>
      <c r="I50" s="316"/>
      <c r="J50" s="415" t="n">
        <v>-11135</v>
      </c>
      <c r="K50" s="316"/>
      <c r="L50" s="415" t="n">
        <v>-11135</v>
      </c>
      <c r="M50" s="316"/>
      <c r="N50" s="415" t="n">
        <v>-11135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0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0</v>
      </c>
      <c r="F52" s="386"/>
      <c r="G52" s="387"/>
      <c r="H52" s="39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0</v>
      </c>
      <c r="F56" s="419"/>
      <c r="G56" s="420"/>
      <c r="H56" s="378" t="n">
        <f aca="false">SUM(H51:H55)</f>
        <v>6326</v>
      </c>
      <c r="I56" s="421"/>
      <c r="J56" s="378" t="n">
        <f aca="false">SUM(J51:J55)</f>
        <v>6326</v>
      </c>
      <c r="K56" s="421"/>
      <c r="L56" s="378" t="n">
        <f aca="false">SUM(L51:L55)</f>
        <v>6326</v>
      </c>
      <c r="M56" s="421"/>
      <c r="N56" s="378" t="n">
        <f aca="false">SUM(N51:N55)</f>
        <v>6326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0</v>
      </c>
      <c r="F57" s="386"/>
      <c r="G57" s="314"/>
      <c r="H57" s="374" t="n">
        <f aca="false">H56*0.9975</f>
        <v>6310.185</v>
      </c>
      <c r="I57" s="316"/>
      <c r="J57" s="374" t="n">
        <f aca="false">J56*0.9975</f>
        <v>6310.185</v>
      </c>
      <c r="K57" s="316"/>
      <c r="L57" s="374" t="n">
        <f aca="false">L56*0.9975</f>
        <v>6310.185</v>
      </c>
      <c r="M57" s="316"/>
      <c r="N57" s="374" t="n">
        <f aca="false">N56*0.9975</f>
        <v>6310.185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e">
        <f aca="false">E57/E66</f>
        <v>#DIV/0!</v>
      </c>
      <c r="F58" s="386"/>
      <c r="G58" s="314"/>
      <c r="H58" s="423" t="n">
        <f aca="false">H57/H66</f>
        <v>0.147782069291131</v>
      </c>
      <c r="I58" s="316"/>
      <c r="J58" s="423" t="n">
        <f aca="false">J57/J66</f>
        <v>0.147782069291131</v>
      </c>
      <c r="K58" s="316"/>
      <c r="L58" s="423" t="n">
        <f aca="false">L57/L66</f>
        <v>0.147782069291131</v>
      </c>
      <c r="M58" s="316"/>
      <c r="N58" s="423" t="n">
        <f aca="false">N57/N66</f>
        <v>0.147782069291131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0</v>
      </c>
      <c r="F66" s="434"/>
      <c r="G66" s="314"/>
      <c r="H66" s="427" t="n">
        <f aca="false">H29+H44+H56+H61+H62</f>
        <v>42699.26</v>
      </c>
      <c r="I66" s="316"/>
      <c r="J66" s="427" t="n">
        <f aca="false">J29+J44+J56+J61+J62</f>
        <v>42699.26</v>
      </c>
      <c r="K66" s="316"/>
      <c r="L66" s="427" t="n">
        <f aca="false">L29+L44+L56+L61+L62</f>
        <v>42699.26</v>
      </c>
      <c r="M66" s="316"/>
      <c r="N66" s="427" t="n">
        <f aca="false">N29+N44+N56+N61+N62</f>
        <v>42699.26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0.260000000002037</v>
      </c>
      <c r="M68" s="316"/>
      <c r="N68" s="437" t="n">
        <f aca="false">N66-N11</f>
        <v>0.260000000002037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34" activePane="bottomRight" state="frozen"/>
      <selection pane="topLeft" activeCell="A1" activeCellId="0" sqref="A1"/>
      <selection pane="topRight" activeCell="E1" activeCellId="0" sqref="E1"/>
      <selection pane="bottomLeft" activeCell="A34" activeCellId="0" sqref="A34"/>
      <selection pane="bottomRight" activeCell="L35" activeCellId="0" sqref="L35:M3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45926.8985796856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37027</v>
      </c>
      <c r="F4" s="320"/>
      <c r="G4" s="314"/>
      <c r="H4" s="321" t="n">
        <v>37028</v>
      </c>
      <c r="I4" s="322"/>
      <c r="J4" s="321" t="n">
        <v>37029</v>
      </c>
      <c r="K4" s="322"/>
      <c r="L4" s="321" t="n">
        <v>37030</v>
      </c>
      <c r="M4" s="322"/>
      <c r="N4" s="321" t="n">
        <v>37031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7" t="s">
        <v>130</v>
      </c>
      <c r="F5" s="325"/>
      <c r="G5" s="326"/>
      <c r="H5" s="327" t="s">
        <v>131</v>
      </c>
      <c r="I5" s="326"/>
      <c r="J5" s="327" t="s">
        <v>132</v>
      </c>
      <c r="K5" s="326"/>
      <c r="L5" s="327" t="s">
        <v>133</v>
      </c>
      <c r="M5" s="326"/>
      <c r="N5" s="327" t="s">
        <v>194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64</v>
      </c>
      <c r="F8" s="341" t="n">
        <v>50</v>
      </c>
      <c r="G8" s="342"/>
      <c r="H8" s="335" t="n">
        <v>64</v>
      </c>
      <c r="I8" s="342" t="n">
        <v>49</v>
      </c>
      <c r="J8" s="335" t="n">
        <v>79</v>
      </c>
      <c r="K8" s="342" t="n">
        <v>56</v>
      </c>
      <c r="L8" s="335" t="n">
        <v>80</v>
      </c>
      <c r="M8" s="342" t="n">
        <v>63</v>
      </c>
      <c r="N8" s="335" t="n">
        <v>76</v>
      </c>
      <c r="O8" s="342" t="n">
        <v>60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-8</v>
      </c>
      <c r="F9" s="347"/>
      <c r="G9" s="348"/>
      <c r="H9" s="349" t="n">
        <f aca="false">(H8+I8)/2-65</f>
        <v>-8.5</v>
      </c>
      <c r="I9" s="344"/>
      <c r="J9" s="349" t="n">
        <f aca="false">(J8+K8)/2-65</f>
        <v>2.5</v>
      </c>
      <c r="K9" s="344"/>
      <c r="L9" s="349" t="n">
        <f aca="false">(L8+M8)/2-65</f>
        <v>6.5</v>
      </c>
      <c r="M9" s="344"/>
      <c r="N9" s="349" t="n">
        <f aca="false">(N8+O8)/2-65</f>
        <v>3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52000</v>
      </c>
      <c r="F11" s="353"/>
      <c r="G11" s="314"/>
      <c r="H11" s="354" t="n">
        <v>42699</v>
      </c>
      <c r="I11" s="316"/>
      <c r="J11" s="355" t="n">
        <v>42699</v>
      </c>
      <c r="K11" s="316"/>
      <c r="L11" s="355" t="n">
        <v>42699</v>
      </c>
      <c r="M11" s="316"/>
      <c r="N11" s="355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54216.26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-2216.26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40000</v>
      </c>
      <c r="F16" s="357"/>
      <c r="G16" s="314"/>
      <c r="H16" s="361" t="n">
        <f aca="false">H11-H17</f>
        <v>30699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16"/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64" t="s">
        <v>144</v>
      </c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16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55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73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16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55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79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84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16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55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9968+2571</f>
        <v>12539</v>
      </c>
      <c r="F35" s="391"/>
      <c r="G35" s="392"/>
      <c r="H35" s="393" t="n">
        <v>12539</v>
      </c>
      <c r="I35" s="394" t="n">
        <f aca="false">H35+H43</f>
        <v>9968</v>
      </c>
      <c r="J35" s="393" t="n">
        <v>8357</v>
      </c>
      <c r="K35" s="316"/>
      <c r="L35" s="393" t="n">
        <v>12539</v>
      </c>
      <c r="M35" s="394" t="n">
        <f aca="false">L35+L43</f>
        <v>9968</v>
      </c>
      <c r="N35" s="393" t="n">
        <v>12539</v>
      </c>
      <c r="O35" s="394" t="n">
        <f aca="false">N35+N43</f>
        <v>9968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94" t="n">
        <f aca="false">J36+J44</f>
        <v>858</v>
      </c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12539</v>
      </c>
      <c r="F37" s="400" t="s">
        <v>161</v>
      </c>
      <c r="G37" s="388"/>
      <c r="H37" s="401" t="n">
        <f aca="false">SUM(H34:H36)</f>
        <v>12539</v>
      </c>
      <c r="I37" s="402" t="s">
        <v>161</v>
      </c>
      <c r="J37" s="401" t="n">
        <f aca="false">SUM(J34:J36)</f>
        <v>8357</v>
      </c>
      <c r="K37" s="316"/>
      <c r="L37" s="401" t="n">
        <f aca="false">SUM(L34:L36)</f>
        <v>12539</v>
      </c>
      <c r="M37" s="402" t="s">
        <v>161</v>
      </c>
      <c r="N37" s="401" t="n">
        <f aca="false">SUM(N34:N36)</f>
        <v>12539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-7285</v>
      </c>
      <c r="F38" s="386"/>
      <c r="G38" s="387"/>
      <c r="H38" s="393" t="n">
        <v>-17002</v>
      </c>
      <c r="I38" s="316"/>
      <c r="J38" s="393" t="n">
        <v>-12820</v>
      </c>
      <c r="K38" s="402" t="s">
        <v>161</v>
      </c>
      <c r="L38" s="393" t="n">
        <v>-17002</v>
      </c>
      <c r="M38" s="316"/>
      <c r="N38" s="393" t="n">
        <v>-17002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7892</v>
      </c>
      <c r="F39" s="386"/>
      <c r="G39" s="387"/>
      <c r="H39" s="393" t="n">
        <v>7892</v>
      </c>
      <c r="I39" s="316"/>
      <c r="J39" s="393" t="n">
        <v>7892</v>
      </c>
      <c r="K39" s="316"/>
      <c r="L39" s="393" t="n">
        <v>7892</v>
      </c>
      <c r="M39" s="316"/>
      <c r="N39" s="393" t="n">
        <v>7892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316"/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10575</v>
      </c>
      <c r="F44" s="407"/>
      <c r="G44" s="408"/>
      <c r="H44" s="378" t="n">
        <f aca="false">SUM(H37:H43)</f>
        <v>858</v>
      </c>
      <c r="I44" s="409"/>
      <c r="J44" s="378" t="n">
        <f aca="false">SUM(J37:J43)</f>
        <v>858</v>
      </c>
      <c r="K44" s="401" t="s">
        <v>161</v>
      </c>
      <c r="L44" s="378" t="n">
        <f aca="false">SUM(L37:L43)</f>
        <v>858</v>
      </c>
      <c r="M44" s="409"/>
      <c r="N44" s="378" t="n">
        <f aca="false">SUM(N37:N43)</f>
        <v>858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409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55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11010</v>
      </c>
      <c r="F49" s="391"/>
      <c r="G49" s="392"/>
      <c r="H49" s="410" t="n">
        <v>8308</v>
      </c>
      <c r="I49" s="411"/>
      <c r="J49" s="410" t="n">
        <v>11135</v>
      </c>
      <c r="K49" s="316"/>
      <c r="L49" s="410" t="n">
        <v>9933</v>
      </c>
      <c r="M49" s="411"/>
      <c r="N49" s="410" t="n">
        <v>9933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-9210</v>
      </c>
      <c r="F50" s="386"/>
      <c r="G50" s="387"/>
      <c r="H50" s="415" t="n">
        <v>-8308</v>
      </c>
      <c r="I50" s="316"/>
      <c r="J50" s="415" t="n">
        <v>-11135</v>
      </c>
      <c r="K50" s="411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1800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16"/>
      <c r="L51" s="355" t="n">
        <f aca="false">SUM(L49:L50)</f>
        <v>9933</v>
      </c>
      <c r="M51" s="398"/>
      <c r="N51" s="355" t="n">
        <f aca="false">SUM(N49:N50)</f>
        <v>9933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393" t="n">
        <v>6326</v>
      </c>
      <c r="I52" s="316"/>
      <c r="J52" s="393" t="n">
        <v>6326</v>
      </c>
      <c r="K52" s="398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8126</v>
      </c>
      <c r="F56" s="419"/>
      <c r="G56" s="420"/>
      <c r="H56" s="378" t="n">
        <f aca="false">SUM(H51:H55)</f>
        <v>6326</v>
      </c>
      <c r="I56" s="421"/>
      <c r="J56" s="378" t="n">
        <f aca="false">SUM(J51:J55)</f>
        <v>6326</v>
      </c>
      <c r="K56" s="316"/>
      <c r="L56" s="378" t="n">
        <f aca="false">SUM(L51:L55)</f>
        <v>16259</v>
      </c>
      <c r="M56" s="421"/>
      <c r="N56" s="378" t="n">
        <f aca="false">SUM(N51:N55)</f>
        <v>16259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8105.685</v>
      </c>
      <c r="F57" s="386"/>
      <c r="G57" s="314"/>
      <c r="H57" s="374" t="n">
        <f aca="false">H56*0.9975</f>
        <v>6310.185</v>
      </c>
      <c r="I57" s="316"/>
      <c r="J57" s="374" t="n">
        <f aca="false">J56*0.9975</f>
        <v>6310.185</v>
      </c>
      <c r="K57" s="421"/>
      <c r="L57" s="374" t="n">
        <f aca="false">L56*0.9975</f>
        <v>16218.3525</v>
      </c>
      <c r="M57" s="316"/>
      <c r="N57" s="374" t="n">
        <f aca="false">N56*0.9975</f>
        <v>16218.3525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0.149506531804296</v>
      </c>
      <c r="F58" s="386"/>
      <c r="G58" s="314"/>
      <c r="H58" s="423" t="n">
        <f aca="false">H57/H66</f>
        <v>0.147782069291131</v>
      </c>
      <c r="I58" s="316"/>
      <c r="J58" s="423" t="n">
        <f aca="false">J57/J66</f>
        <v>0.147782069291131</v>
      </c>
      <c r="K58" s="316"/>
      <c r="L58" s="423" t="n">
        <f aca="false">L57/L66</f>
        <v>0.308144710107451</v>
      </c>
      <c r="M58" s="316"/>
      <c r="N58" s="423" t="n">
        <f aca="false">N57/N66</f>
        <v>0.308144710107451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16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55"/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16" t="s">
        <v>177</v>
      </c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7.2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355"/>
      <c r="L65" s="431"/>
      <c r="M65" s="432"/>
      <c r="N65" s="431"/>
      <c r="O65" s="432"/>
    </row>
    <row r="66" customFormat="false" ht="16.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54216.26</v>
      </c>
      <c r="F66" s="434"/>
      <c r="G66" s="314"/>
      <c r="H66" s="427" t="n">
        <f aca="false">H29+H44+H56+H61+H62</f>
        <v>42699.26</v>
      </c>
      <c r="I66" s="316"/>
      <c r="J66" s="427" t="n">
        <f aca="false">J29+J44+J56+J61+J62</f>
        <v>42699.26</v>
      </c>
      <c r="K66" s="432"/>
      <c r="L66" s="427" t="n">
        <f aca="false">L29+L44+L56+L61+L62</f>
        <v>52632.26</v>
      </c>
      <c r="M66" s="316"/>
      <c r="N66" s="427" t="n">
        <f aca="false">N29+N44+N56+N61+N62</f>
        <v>52632.26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9933.26</v>
      </c>
      <c r="M68" s="316"/>
      <c r="N68" s="437" t="n">
        <f aca="false">N66-N11</f>
        <v>9933.26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45926.8985797076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37026</v>
      </c>
      <c r="F4" s="320"/>
      <c r="G4" s="314"/>
      <c r="H4" s="321" t="n">
        <v>37027</v>
      </c>
      <c r="I4" s="322"/>
      <c r="J4" s="321" t="n">
        <v>37028</v>
      </c>
      <c r="K4" s="322"/>
      <c r="L4" s="321" t="n">
        <v>37029</v>
      </c>
      <c r="M4" s="322"/>
      <c r="N4" s="321" t="n">
        <v>37030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7" t="s">
        <v>129</v>
      </c>
      <c r="F5" s="325"/>
      <c r="G5" s="326"/>
      <c r="H5" s="327" t="s">
        <v>130</v>
      </c>
      <c r="I5" s="326"/>
      <c r="J5" s="327" t="s">
        <v>131</v>
      </c>
      <c r="K5" s="326"/>
      <c r="L5" s="327" t="s">
        <v>132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67</v>
      </c>
      <c r="F8" s="341" t="n">
        <v>51</v>
      </c>
      <c r="G8" s="342"/>
      <c r="H8" s="335" t="n">
        <v>67</v>
      </c>
      <c r="I8" s="342" t="n">
        <v>52</v>
      </c>
      <c r="J8" s="335" t="n">
        <v>62</v>
      </c>
      <c r="K8" s="342" t="n">
        <v>54</v>
      </c>
      <c r="L8" s="335" t="n">
        <v>80</v>
      </c>
      <c r="M8" s="342" t="n">
        <v>59</v>
      </c>
      <c r="N8" s="335" t="n">
        <v>79</v>
      </c>
      <c r="O8" s="342" t="n">
        <v>62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-6</v>
      </c>
      <c r="F9" s="347"/>
      <c r="G9" s="348"/>
      <c r="H9" s="349" t="n">
        <f aca="false">(H8+I8)/2-65</f>
        <v>-5.5</v>
      </c>
      <c r="I9" s="344"/>
      <c r="J9" s="349" t="n">
        <f aca="false">(J8+K8)/2-65</f>
        <v>-7</v>
      </c>
      <c r="K9" s="344"/>
      <c r="L9" s="349" t="n">
        <f aca="false">(L8+M8)/2-65</f>
        <v>4.5</v>
      </c>
      <c r="M9" s="344"/>
      <c r="N9" s="349" t="n">
        <f aca="false">(N8+O8)/2-65</f>
        <v>5.5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47698</v>
      </c>
      <c r="F11" s="353"/>
      <c r="G11" s="314"/>
      <c r="H11" s="355" t="n">
        <v>52000</v>
      </c>
      <c r="I11" s="316"/>
      <c r="J11" s="355" t="n">
        <v>51000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50156.26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-2458.26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35698</v>
      </c>
      <c r="F16" s="357"/>
      <c r="G16" s="314"/>
      <c r="H16" s="361" t="n">
        <f aca="false">H11-H17</f>
        <v>40000</v>
      </c>
      <c r="I16" s="316"/>
      <c r="J16" s="361" t="n">
        <f aca="false">J11-J17</f>
        <v>39000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9218+2571</f>
        <v>11789</v>
      </c>
      <c r="F35" s="391"/>
      <c r="G35" s="392"/>
      <c r="H35" s="403" t="n">
        <v>12539</v>
      </c>
      <c r="I35" s="394" t="n">
        <f aca="false">H35+H43</f>
        <v>9968</v>
      </c>
      <c r="J35" s="393" t="n">
        <v>12539</v>
      </c>
      <c r="K35" s="394" t="n">
        <f aca="false">J35+J43</f>
        <v>9968</v>
      </c>
      <c r="L35" s="393" t="n">
        <v>11789</v>
      </c>
      <c r="M35" s="394" t="n">
        <f aca="false">L35+L43</f>
        <v>9218</v>
      </c>
      <c r="N35" s="393" t="n">
        <v>11789</v>
      </c>
      <c r="O35" s="394" t="n">
        <f aca="false">N35+N43</f>
        <v>9218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11789</v>
      </c>
      <c r="F37" s="400" t="s">
        <v>161</v>
      </c>
      <c r="G37" s="388"/>
      <c r="H37" s="401" t="n">
        <f aca="false">SUM(H34:H36)</f>
        <v>12539</v>
      </c>
      <c r="I37" s="402" t="s">
        <v>161</v>
      </c>
      <c r="J37" s="401" t="n">
        <f aca="false">SUM(J34:J36)</f>
        <v>12539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-10756</v>
      </c>
      <c r="F38" s="386"/>
      <c r="G38" s="387"/>
      <c r="H38" s="403" t="n">
        <v>-8711</v>
      </c>
      <c r="I38" s="316"/>
      <c r="J38" s="393" t="n">
        <v>-8701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7892</v>
      </c>
      <c r="F39" s="386"/>
      <c r="G39" s="387"/>
      <c r="H39" s="393" t="n">
        <v>7892</v>
      </c>
      <c r="I39" s="316"/>
      <c r="J39" s="393" t="n">
        <v>7892</v>
      </c>
      <c r="K39" s="316"/>
      <c r="L39" s="393" t="n">
        <v>7892</v>
      </c>
      <c r="M39" s="316"/>
      <c r="N39" s="393" t="n">
        <v>7892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6354</v>
      </c>
      <c r="F44" s="407"/>
      <c r="G44" s="408"/>
      <c r="H44" s="378" t="n">
        <f aca="false">SUM(H37:H43)</f>
        <v>9149</v>
      </c>
      <c r="I44" s="409"/>
      <c r="J44" s="378" t="n">
        <f aca="false">SUM(J37:J43)</f>
        <v>9159</v>
      </c>
      <c r="K44" s="409"/>
      <c r="L44" s="378" t="n">
        <f aca="false">SUM(L37:L43)</f>
        <v>17110</v>
      </c>
      <c r="M44" s="409"/>
      <c r="N44" s="378" t="n">
        <f aca="false">SUM(N37:N43)</f>
        <v>17110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11010</v>
      </c>
      <c r="F49" s="391"/>
      <c r="G49" s="392"/>
      <c r="H49" s="410" t="n">
        <v>11010</v>
      </c>
      <c r="I49" s="411"/>
      <c r="J49" s="410" t="n">
        <v>8308</v>
      </c>
      <c r="K49" s="411"/>
      <c r="L49" s="410" t="n">
        <v>9933</v>
      </c>
      <c r="M49" s="411"/>
      <c r="N49" s="410" t="n">
        <v>9933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-9049</v>
      </c>
      <c r="F50" s="386"/>
      <c r="G50" s="387"/>
      <c r="H50" s="415" t="n">
        <v>-10000</v>
      </c>
      <c r="I50" s="316"/>
      <c r="J50" s="415" t="n">
        <v>-8308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1961</v>
      </c>
      <c r="F51" s="416"/>
      <c r="G51" s="417"/>
      <c r="H51" s="355" t="n">
        <f aca="false">SUM(H49:H50)</f>
        <v>1010</v>
      </c>
      <c r="I51" s="398"/>
      <c r="J51" s="355" t="n">
        <f aca="false">SUM(J49:J50)</f>
        <v>0</v>
      </c>
      <c r="K51" s="398"/>
      <c r="L51" s="355" t="n">
        <f aca="false">SUM(L49:L50)</f>
        <v>9933</v>
      </c>
      <c r="M51" s="398"/>
      <c r="N51" s="355" t="n">
        <f aca="false">SUM(N49:N50)</f>
        <v>9933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39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8287</v>
      </c>
      <c r="F56" s="419"/>
      <c r="G56" s="420"/>
      <c r="H56" s="378" t="n">
        <f aca="false">SUM(H51:H55)</f>
        <v>7336</v>
      </c>
      <c r="I56" s="421"/>
      <c r="J56" s="378" t="n">
        <f aca="false">SUM(J51:J55)</f>
        <v>6326</v>
      </c>
      <c r="K56" s="421"/>
      <c r="L56" s="378" t="n">
        <f aca="false">SUM(L51:L55)</f>
        <v>16259</v>
      </c>
      <c r="M56" s="421"/>
      <c r="N56" s="378" t="n">
        <f aca="false">SUM(N51:N55)</f>
        <v>16259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8266.2825</v>
      </c>
      <c r="F57" s="386"/>
      <c r="G57" s="314"/>
      <c r="H57" s="374" t="n">
        <f aca="false">H56*0.9975</f>
        <v>7317.66</v>
      </c>
      <c r="I57" s="316"/>
      <c r="J57" s="374" t="n">
        <f aca="false">J56*0.9975</f>
        <v>6310.185</v>
      </c>
      <c r="K57" s="316"/>
      <c r="L57" s="374" t="n">
        <f aca="false">L56*0.9975</f>
        <v>16218.3525</v>
      </c>
      <c r="M57" s="316"/>
      <c r="N57" s="374" t="n">
        <f aca="false">N56*0.9975</f>
        <v>16218.3525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0.164810583962999</v>
      </c>
      <c r="F58" s="386"/>
      <c r="G58" s="314"/>
      <c r="H58" s="423" t="n">
        <f aca="false">H57/H66</f>
        <v>0.140723527151595</v>
      </c>
      <c r="I58" s="316"/>
      <c r="J58" s="423" t="n">
        <f aca="false">J57/J66</f>
        <v>0.123728486874381</v>
      </c>
      <c r="K58" s="316"/>
      <c r="L58" s="423" t="n">
        <f aca="false">L57/L66</f>
        <v>0.235443517866055</v>
      </c>
      <c r="M58" s="316"/>
      <c r="N58" s="423" t="n">
        <f aca="false">N57/N66</f>
        <v>0.235443517866055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50156.26</v>
      </c>
      <c r="F66" s="434"/>
      <c r="G66" s="314"/>
      <c r="H66" s="427" t="n">
        <f aca="false">H29+H44+H56+H61+H62</f>
        <v>52000.26</v>
      </c>
      <c r="I66" s="316"/>
      <c r="J66" s="427" t="n">
        <f aca="false">J29+J44+J56+J61+J62</f>
        <v>51000.26</v>
      </c>
      <c r="K66" s="316"/>
      <c r="L66" s="427" t="n">
        <f aca="false">L29+L44+L56+L61+L62</f>
        <v>68884.26</v>
      </c>
      <c r="M66" s="316"/>
      <c r="N66" s="427" t="n">
        <f aca="false">N29+N44+N56+N61+N62</f>
        <v>68884.26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21186.26</v>
      </c>
      <c r="M68" s="316"/>
      <c r="N68" s="437" t="n">
        <f aca="false">N66-N11</f>
        <v>21186.26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45926.8985797304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37025</v>
      </c>
      <c r="F4" s="320"/>
      <c r="G4" s="314"/>
      <c r="H4" s="321" t="n">
        <v>37026</v>
      </c>
      <c r="I4" s="322"/>
      <c r="J4" s="321" t="n">
        <v>37027</v>
      </c>
      <c r="K4" s="322"/>
      <c r="L4" s="321" t="n">
        <v>37028</v>
      </c>
      <c r="M4" s="322"/>
      <c r="N4" s="321" t="n">
        <v>37029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7" t="s">
        <v>193</v>
      </c>
      <c r="F5" s="325"/>
      <c r="G5" s="326"/>
      <c r="H5" s="327" t="s">
        <v>129</v>
      </c>
      <c r="I5" s="326"/>
      <c r="J5" s="327" t="s">
        <v>130</v>
      </c>
      <c r="K5" s="326"/>
      <c r="L5" s="327" t="s">
        <v>131</v>
      </c>
      <c r="M5" s="326"/>
      <c r="N5" s="327" t="s">
        <v>132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68</v>
      </c>
      <c r="F8" s="341" t="n">
        <v>51</v>
      </c>
      <c r="G8" s="342"/>
      <c r="H8" s="335" t="n">
        <v>70</v>
      </c>
      <c r="I8" s="342" t="n">
        <v>51</v>
      </c>
      <c r="J8" s="335" t="n">
        <v>70</v>
      </c>
      <c r="K8" s="342" t="n">
        <v>54</v>
      </c>
      <c r="L8" s="335" t="n">
        <v>75</v>
      </c>
      <c r="M8" s="342" t="n">
        <v>55</v>
      </c>
      <c r="N8" s="335" t="n">
        <v>80</v>
      </c>
      <c r="O8" s="342" t="n">
        <v>61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-5.5</v>
      </c>
      <c r="F9" s="347"/>
      <c r="G9" s="348"/>
      <c r="H9" s="349" t="n">
        <f aca="false">(H8+I8)/2-65</f>
        <v>-4.5</v>
      </c>
      <c r="I9" s="344"/>
      <c r="J9" s="349" t="n">
        <f aca="false">(J8+K8)/2-65</f>
        <v>-3</v>
      </c>
      <c r="K9" s="344"/>
      <c r="L9" s="349" t="n">
        <f aca="false">(L8+M8)/2-65</f>
        <v>0</v>
      </c>
      <c r="M9" s="344"/>
      <c r="N9" s="349" t="n">
        <f aca="false">(N8+O8)/2-65</f>
        <v>5.5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52000</v>
      </c>
      <c r="F11" s="353"/>
      <c r="G11" s="314"/>
      <c r="H11" s="355" t="n">
        <v>47698</v>
      </c>
      <c r="I11" s="316"/>
      <c r="J11" s="355" t="n">
        <v>47698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49151.26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2848.74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40000</v>
      </c>
      <c r="F16" s="357"/>
      <c r="G16" s="314"/>
      <c r="H16" s="361" t="n">
        <f aca="false">H11-H17</f>
        <v>35698</v>
      </c>
      <c r="I16" s="316"/>
      <c r="J16" s="361" t="n">
        <f aca="false">J11-J17</f>
        <v>35698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9218+2571</f>
        <v>11789</v>
      </c>
      <c r="F35" s="391"/>
      <c r="G35" s="392"/>
      <c r="H35" s="393" t="n">
        <v>11789</v>
      </c>
      <c r="I35" s="394" t="n">
        <f aca="false">H35+H43</f>
        <v>9218</v>
      </c>
      <c r="J35" s="393" t="n">
        <v>11789</v>
      </c>
      <c r="K35" s="394" t="n">
        <f aca="false">J35+J43</f>
        <v>9218</v>
      </c>
      <c r="L35" s="393" t="n">
        <v>11789</v>
      </c>
      <c r="M35" s="394" t="n">
        <f aca="false">L35+L43</f>
        <v>9218</v>
      </c>
      <c r="N35" s="393" t="n">
        <v>11789</v>
      </c>
      <c r="O35" s="394" t="n">
        <f aca="false">N35+N43</f>
        <v>9218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11789</v>
      </c>
      <c r="F37" s="400" t="s">
        <v>161</v>
      </c>
      <c r="G37" s="388"/>
      <c r="H37" s="401" t="n">
        <f aca="false">SUM(H34:H36)</f>
        <v>11789</v>
      </c>
      <c r="I37" s="402" t="s">
        <v>161</v>
      </c>
      <c r="J37" s="401" t="n">
        <f aca="false">SUM(J34:J36)</f>
        <v>11789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-11633</v>
      </c>
      <c r="F38" s="386"/>
      <c r="G38" s="387"/>
      <c r="H38" s="403" t="n">
        <v>-11186</v>
      </c>
      <c r="I38" s="316"/>
      <c r="J38" s="393" t="n">
        <v>-12263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7892</v>
      </c>
      <c r="F39" s="386"/>
      <c r="G39" s="387"/>
      <c r="H39" s="393" t="n">
        <v>7892</v>
      </c>
      <c r="I39" s="316"/>
      <c r="J39" s="393" t="n">
        <v>7892</v>
      </c>
      <c r="K39" s="316"/>
      <c r="L39" s="393" t="n">
        <v>7892</v>
      </c>
      <c r="M39" s="316"/>
      <c r="N39" s="393" t="n">
        <v>7892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5477</v>
      </c>
      <c r="F44" s="407"/>
      <c r="G44" s="408"/>
      <c r="H44" s="378" t="n">
        <f aca="false">SUM(H37:H43)</f>
        <v>5924</v>
      </c>
      <c r="I44" s="409"/>
      <c r="J44" s="378" t="n">
        <f aca="false">SUM(J37:J43)</f>
        <v>4847</v>
      </c>
      <c r="K44" s="409"/>
      <c r="L44" s="378" t="n">
        <f aca="false">SUM(L37:L43)</f>
        <v>17110</v>
      </c>
      <c r="M44" s="409"/>
      <c r="N44" s="378" t="n">
        <f aca="false">SUM(N37:N43)</f>
        <v>17110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9933</v>
      </c>
      <c r="F49" s="391"/>
      <c r="G49" s="392"/>
      <c r="H49" s="410" t="n">
        <v>9933</v>
      </c>
      <c r="I49" s="411"/>
      <c r="J49" s="410" t="n">
        <v>11010</v>
      </c>
      <c r="K49" s="411"/>
      <c r="L49" s="410" t="n">
        <v>9933</v>
      </c>
      <c r="M49" s="411"/>
      <c r="N49" s="410" t="n">
        <v>9933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-8100</v>
      </c>
      <c r="F50" s="386"/>
      <c r="G50" s="387"/>
      <c r="H50" s="469" t="n">
        <v>-10000</v>
      </c>
      <c r="I50" s="316"/>
      <c r="J50" s="415" t="n">
        <v>-10000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1833</v>
      </c>
      <c r="F51" s="416"/>
      <c r="G51" s="417"/>
      <c r="H51" s="355" t="n">
        <f aca="false">SUM(H49:H50)</f>
        <v>-67</v>
      </c>
      <c r="I51" s="398"/>
      <c r="J51" s="355" t="n">
        <f aca="false">SUM(J49:J50)</f>
        <v>1010</v>
      </c>
      <c r="K51" s="398"/>
      <c r="L51" s="355" t="n">
        <f aca="false">SUM(L49:L50)</f>
        <v>9933</v>
      </c>
      <c r="M51" s="398"/>
      <c r="N51" s="355" t="n">
        <f aca="false">SUM(N49:N50)</f>
        <v>9933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39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8159</v>
      </c>
      <c r="F56" s="419"/>
      <c r="G56" s="420"/>
      <c r="H56" s="378" t="n">
        <f aca="false">SUM(H51:H55)</f>
        <v>6259</v>
      </c>
      <c r="I56" s="421"/>
      <c r="J56" s="378" t="n">
        <f aca="false">SUM(J51:J55)</f>
        <v>7336</v>
      </c>
      <c r="K56" s="421"/>
      <c r="L56" s="378" t="n">
        <f aca="false">SUM(L51:L55)</f>
        <v>16259</v>
      </c>
      <c r="M56" s="421"/>
      <c r="N56" s="378" t="n">
        <f aca="false">SUM(N51:N55)</f>
        <v>16259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8138.6025</v>
      </c>
      <c r="F57" s="386"/>
      <c r="G57" s="314"/>
      <c r="H57" s="374" t="n">
        <f aca="false">H56*0.9975</f>
        <v>6243.3525</v>
      </c>
      <c r="I57" s="316"/>
      <c r="J57" s="374" t="n">
        <f aca="false">J56*0.9975</f>
        <v>7317.66</v>
      </c>
      <c r="K57" s="316"/>
      <c r="L57" s="374" t="n">
        <f aca="false">L56*0.9975</f>
        <v>16218.3525</v>
      </c>
      <c r="M57" s="316"/>
      <c r="N57" s="374" t="n">
        <f aca="false">N56*0.9975</f>
        <v>16218.3525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0.165582784652927</v>
      </c>
      <c r="F58" s="386"/>
      <c r="G58" s="314"/>
      <c r="H58" s="423" t="n">
        <f aca="false">H57/H66</f>
        <v>0.13089266778285</v>
      </c>
      <c r="I58" s="316"/>
      <c r="J58" s="423" t="n">
        <f aca="false">J57/J66</f>
        <v>0.153415659187568</v>
      </c>
      <c r="K58" s="316"/>
      <c r="L58" s="423" t="n">
        <f aca="false">L57/L66</f>
        <v>0.235443517866055</v>
      </c>
      <c r="M58" s="316"/>
      <c r="N58" s="423" t="n">
        <f aca="false">N57/N66</f>
        <v>0.235443517866055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49151.26</v>
      </c>
      <c r="F66" s="434"/>
      <c r="G66" s="314"/>
      <c r="H66" s="427" t="n">
        <f aca="false">H29+H44+H56+H61+H62</f>
        <v>47698.26</v>
      </c>
      <c r="I66" s="316"/>
      <c r="J66" s="427" t="n">
        <f aca="false">J29+J44+J56+J61+J62</f>
        <v>47698.26</v>
      </c>
      <c r="K66" s="316"/>
      <c r="L66" s="427" t="n">
        <f aca="false">L29+L44+L56+L61+L62</f>
        <v>68884.26</v>
      </c>
      <c r="M66" s="316"/>
      <c r="N66" s="427" t="n">
        <f aca="false">N29+N44+N56+N61+N62</f>
        <v>68884.26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21186.26</v>
      </c>
      <c r="M68" s="316"/>
      <c r="N68" s="437" t="n">
        <f aca="false">N66-N11</f>
        <v>21186.26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45926.8985797531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37024</v>
      </c>
      <c r="F4" s="320"/>
      <c r="G4" s="314"/>
      <c r="H4" s="321" t="n">
        <v>37025</v>
      </c>
      <c r="I4" s="322"/>
      <c r="J4" s="321" t="n">
        <v>37026</v>
      </c>
      <c r="K4" s="322"/>
      <c r="L4" s="321" t="n">
        <v>37027</v>
      </c>
      <c r="M4" s="322"/>
      <c r="N4" s="321" t="n">
        <v>37028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7" t="s">
        <v>194</v>
      </c>
      <c r="F5" s="325"/>
      <c r="G5" s="326"/>
      <c r="H5" s="327" t="s">
        <v>193</v>
      </c>
      <c r="I5" s="326"/>
      <c r="J5" s="327" t="s">
        <v>129</v>
      </c>
      <c r="K5" s="326"/>
      <c r="L5" s="327" t="s">
        <v>130</v>
      </c>
      <c r="M5" s="326"/>
      <c r="N5" s="327" t="s">
        <v>131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68</v>
      </c>
      <c r="F8" s="341" t="n">
        <v>59</v>
      </c>
      <c r="G8" s="342"/>
      <c r="H8" s="335" t="n">
        <v>67</v>
      </c>
      <c r="I8" s="342" t="n">
        <v>55</v>
      </c>
      <c r="J8" s="335" t="n">
        <v>69</v>
      </c>
      <c r="K8" s="342" t="n">
        <v>50</v>
      </c>
      <c r="L8" s="335" t="n">
        <v>68</v>
      </c>
      <c r="M8" s="342" t="n">
        <v>54</v>
      </c>
      <c r="N8" s="335" t="n">
        <v>69</v>
      </c>
      <c r="O8" s="342" t="n">
        <v>54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-1.5</v>
      </c>
      <c r="F9" s="347"/>
      <c r="G9" s="348"/>
      <c r="H9" s="349" t="n">
        <f aca="false">(H8+I8)/2-65</f>
        <v>-4</v>
      </c>
      <c r="I9" s="344"/>
      <c r="J9" s="349" t="n">
        <f aca="false">(J8+K8)/2-65</f>
        <v>-5.5</v>
      </c>
      <c r="K9" s="344"/>
      <c r="L9" s="349" t="n">
        <f aca="false">(L8+M8)/2-65</f>
        <v>-4</v>
      </c>
      <c r="M9" s="344"/>
      <c r="N9" s="349" t="n">
        <f aca="false">(N8+O8)/2-65</f>
        <v>-3.5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47698</v>
      </c>
      <c r="F11" s="353"/>
      <c r="G11" s="314"/>
      <c r="H11" s="355" t="n">
        <v>52000</v>
      </c>
      <c r="I11" s="316"/>
      <c r="J11" s="355" t="n">
        <v>65698</v>
      </c>
      <c r="K11" s="316"/>
      <c r="L11" s="355" t="n">
        <v>61199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42649.26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5048.74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35698</v>
      </c>
      <c r="F16" s="357"/>
      <c r="G16" s="314"/>
      <c r="H16" s="361" t="n">
        <f aca="false">H11-H17</f>
        <v>40000</v>
      </c>
      <c r="I16" s="316"/>
      <c r="J16" s="361" t="n">
        <f aca="false">J11-J17</f>
        <v>53698</v>
      </c>
      <c r="K16" s="316"/>
      <c r="L16" s="361" t="n">
        <f aca="false">L11-L17</f>
        <v>49199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21789</v>
      </c>
      <c r="F35" s="391"/>
      <c r="G35" s="392"/>
      <c r="H35" s="393" t="n">
        <v>21789</v>
      </c>
      <c r="I35" s="394" t="n">
        <f aca="false">H35+H43</f>
        <v>19218</v>
      </c>
      <c r="J35" s="393" t="n">
        <v>11789</v>
      </c>
      <c r="K35" s="394" t="n">
        <f aca="false">J35+J43</f>
        <v>9218</v>
      </c>
      <c r="L35" s="393" t="n">
        <v>11789</v>
      </c>
      <c r="M35" s="394" t="n">
        <f aca="false">L35+L43</f>
        <v>9218</v>
      </c>
      <c r="N35" s="393" t="n">
        <v>11789</v>
      </c>
      <c r="O35" s="394" t="n">
        <f aca="false">N35+N43</f>
        <v>9218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21789</v>
      </c>
      <c r="F37" s="400" t="s">
        <v>161</v>
      </c>
      <c r="G37" s="388"/>
      <c r="H37" s="401" t="n">
        <f aca="false">SUM(H34:H36)</f>
        <v>21789</v>
      </c>
      <c r="I37" s="402" t="s">
        <v>161</v>
      </c>
      <c r="J37" s="401" t="n">
        <f aca="false">SUM(J34:J36)</f>
        <v>11789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-25773</v>
      </c>
      <c r="F38" s="386"/>
      <c r="G38" s="387"/>
      <c r="H38" s="393" t="n">
        <v>-18768</v>
      </c>
      <c r="I38" s="316"/>
      <c r="J38" s="393" t="n">
        <v>0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7325</v>
      </c>
      <c r="F39" s="386"/>
      <c r="G39" s="387"/>
      <c r="H39" s="393" t="n">
        <v>7892</v>
      </c>
      <c r="I39" s="316"/>
      <c r="J39" s="393" t="n">
        <v>7892</v>
      </c>
      <c r="K39" s="316"/>
      <c r="L39" s="393" t="n">
        <v>7892</v>
      </c>
      <c r="M39" s="316"/>
      <c r="N39" s="393" t="n">
        <v>7892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770</v>
      </c>
      <c r="F44" s="407"/>
      <c r="G44" s="408"/>
      <c r="H44" s="378" t="n">
        <f aca="false">SUM(H37:H43)</f>
        <v>8342</v>
      </c>
      <c r="I44" s="409"/>
      <c r="J44" s="378" t="n">
        <f aca="false">SUM(J37:J43)</f>
        <v>17110</v>
      </c>
      <c r="K44" s="409"/>
      <c r="L44" s="378" t="n">
        <f aca="false">SUM(L37:L43)</f>
        <v>17110</v>
      </c>
      <c r="M44" s="409"/>
      <c r="N44" s="378" t="n">
        <f aca="false">SUM(N37:N43)</f>
        <v>17110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18817</v>
      </c>
      <c r="F49" s="391"/>
      <c r="G49" s="392"/>
      <c r="H49" s="410" t="n">
        <f aca="false">18865-48</f>
        <v>18817</v>
      </c>
      <c r="I49" s="411"/>
      <c r="J49" s="410" t="n">
        <v>9933</v>
      </c>
      <c r="K49" s="411"/>
      <c r="L49" s="410" t="n">
        <v>9933</v>
      </c>
      <c r="M49" s="411"/>
      <c r="N49" s="410" t="n">
        <v>9933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-18804</v>
      </c>
      <c r="F50" s="386"/>
      <c r="G50" s="387"/>
      <c r="H50" s="415" t="n">
        <v>-17000</v>
      </c>
      <c r="I50" s="316"/>
      <c r="J50" s="415" t="n">
        <v>-3186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13</v>
      </c>
      <c r="F51" s="416"/>
      <c r="G51" s="417"/>
      <c r="H51" s="355" t="n">
        <f aca="false">SUM(H49:H50)</f>
        <v>1817</v>
      </c>
      <c r="I51" s="398"/>
      <c r="J51" s="355" t="n">
        <f aca="false">SUM(J49:J50)</f>
        <v>6747</v>
      </c>
      <c r="K51" s="398"/>
      <c r="L51" s="355" t="n">
        <f aca="false">SUM(L49:L50)</f>
        <v>9933</v>
      </c>
      <c r="M51" s="398"/>
      <c r="N51" s="355" t="n">
        <f aca="false">SUM(N49:N50)</f>
        <v>9933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6351</v>
      </c>
      <c r="F52" s="386"/>
      <c r="G52" s="387"/>
      <c r="H52" s="39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6364</v>
      </c>
      <c r="F56" s="419"/>
      <c r="G56" s="420"/>
      <c r="H56" s="378" t="n">
        <f aca="false">SUM(H51:H55)</f>
        <v>8143</v>
      </c>
      <c r="I56" s="421"/>
      <c r="J56" s="378" t="n">
        <f aca="false">SUM(J51:J55)</f>
        <v>13073</v>
      </c>
      <c r="K56" s="421"/>
      <c r="L56" s="378" t="n">
        <f aca="false">SUM(L51:L55)</f>
        <v>16259</v>
      </c>
      <c r="M56" s="421"/>
      <c r="N56" s="378" t="n">
        <f aca="false">SUM(N51:N55)</f>
        <v>16259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6348.09</v>
      </c>
      <c r="F57" s="386"/>
      <c r="G57" s="314"/>
      <c r="H57" s="374" t="n">
        <f aca="false">H56*0.9975</f>
        <v>8122.6425</v>
      </c>
      <c r="I57" s="316"/>
      <c r="J57" s="374" t="n">
        <f aca="false">J56*0.9975</f>
        <v>13040.3175</v>
      </c>
      <c r="K57" s="316"/>
      <c r="L57" s="374" t="n">
        <f aca="false">L56*0.9975</f>
        <v>16218.3525</v>
      </c>
      <c r="M57" s="316"/>
      <c r="N57" s="374" t="n">
        <f aca="false">N56*0.9975</f>
        <v>16218.3525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0.148844083109531</v>
      </c>
      <c r="F58" s="386"/>
      <c r="G58" s="314"/>
      <c r="H58" s="423" t="n">
        <f aca="false">H57/H66</f>
        <v>0.156203882442126</v>
      </c>
      <c r="I58" s="316"/>
      <c r="J58" s="423" t="n">
        <f aca="false">J57/J66</f>
        <v>0.198488019317407</v>
      </c>
      <c r="K58" s="316"/>
      <c r="L58" s="423" t="n">
        <f aca="false">L57/L66</f>
        <v>0.235443517866055</v>
      </c>
      <c r="M58" s="316"/>
      <c r="N58" s="423" t="n">
        <f aca="false">N57/N66</f>
        <v>0.235443517866055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42649.26</v>
      </c>
      <c r="F66" s="434"/>
      <c r="G66" s="314"/>
      <c r="H66" s="427" t="n">
        <f aca="false">H29+H44+H56+H61+H62</f>
        <v>52000.26</v>
      </c>
      <c r="I66" s="316"/>
      <c r="J66" s="427" t="n">
        <f aca="false">J29+J44+J56+J61+J62</f>
        <v>65698.26</v>
      </c>
      <c r="K66" s="316"/>
      <c r="L66" s="427" t="n">
        <f aca="false">L29+L44+L56+L61+L62</f>
        <v>68884.26</v>
      </c>
      <c r="M66" s="316"/>
      <c r="N66" s="427" t="n">
        <f aca="false">N29+N44+N56+N61+N62</f>
        <v>68884.26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0.260000000009313</v>
      </c>
      <c r="K68" s="316"/>
      <c r="L68" s="437" t="n">
        <f aca="false">L66-L11</f>
        <v>7685.26000000001</v>
      </c>
      <c r="M68" s="316"/>
      <c r="N68" s="437" t="n">
        <f aca="false">N66-N11</f>
        <v>21186.26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45926.8985797732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37021</v>
      </c>
      <c r="F4" s="320"/>
      <c r="G4" s="314"/>
      <c r="H4" s="321" t="n">
        <v>37022</v>
      </c>
      <c r="I4" s="322"/>
      <c r="J4" s="321" t="n">
        <v>37023</v>
      </c>
      <c r="K4" s="322"/>
      <c r="L4" s="321" t="n">
        <v>37024</v>
      </c>
      <c r="M4" s="322"/>
      <c r="N4" s="321" t="n">
        <v>37025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7" t="s">
        <v>131</v>
      </c>
      <c r="F5" s="325"/>
      <c r="G5" s="326"/>
      <c r="H5" s="327" t="s">
        <v>132</v>
      </c>
      <c r="I5" s="326"/>
      <c r="J5" s="327" t="s">
        <v>133</v>
      </c>
      <c r="K5" s="326"/>
      <c r="L5" s="327" t="s">
        <v>194</v>
      </c>
      <c r="M5" s="326"/>
      <c r="N5" s="327" t="s">
        <v>193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80</v>
      </c>
      <c r="F8" s="341" t="n">
        <v>56</v>
      </c>
      <c r="G8" s="342"/>
      <c r="H8" s="335" t="n">
        <v>88</v>
      </c>
      <c r="I8" s="342" t="n">
        <v>60</v>
      </c>
      <c r="J8" s="335" t="n">
        <v>86</v>
      </c>
      <c r="K8" s="342" t="n">
        <v>68</v>
      </c>
      <c r="L8" s="335" t="n">
        <v>66</v>
      </c>
      <c r="M8" s="342" t="n">
        <v>55</v>
      </c>
      <c r="N8" s="335" t="n">
        <v>74</v>
      </c>
      <c r="O8" s="342" t="n">
        <v>50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3</v>
      </c>
      <c r="F9" s="347"/>
      <c r="G9" s="348"/>
      <c r="H9" s="349" t="n">
        <f aca="false">(H8+I8)/2-65</f>
        <v>9</v>
      </c>
      <c r="I9" s="344"/>
      <c r="J9" s="349" t="n">
        <f aca="false">(J8+K8)/2-65</f>
        <v>12</v>
      </c>
      <c r="K9" s="344"/>
      <c r="L9" s="349" t="n">
        <f aca="false">(L8+M8)/2-65</f>
        <v>-4.5</v>
      </c>
      <c r="M9" s="344"/>
      <c r="N9" s="349" t="n">
        <f aca="false">(N8+O8)/2-65</f>
        <v>-3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47698</v>
      </c>
      <c r="F11" s="353"/>
      <c r="G11" s="314"/>
      <c r="H11" s="355" t="n">
        <v>47698</v>
      </c>
      <c r="I11" s="316"/>
      <c r="J11" s="355" t="n">
        <v>47698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47687.26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10.739999999998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35698</v>
      </c>
      <c r="F16" s="357"/>
      <c r="G16" s="314"/>
      <c r="H16" s="361" t="n">
        <f aca="false">H11-H17</f>
        <v>35698</v>
      </c>
      <c r="I16" s="316"/>
      <c r="J16" s="361" t="n">
        <f aca="false">J11-J17</f>
        <v>35698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9218+2571</f>
        <v>11789</v>
      </c>
      <c r="F35" s="391"/>
      <c r="G35" s="392"/>
      <c r="H35" s="393" t="n">
        <f aca="false">11789</f>
        <v>11789</v>
      </c>
      <c r="I35" s="394" t="n">
        <f aca="false">H35+H43</f>
        <v>9218</v>
      </c>
      <c r="J35" s="393" t="n">
        <v>21789</v>
      </c>
      <c r="K35" s="394" t="n">
        <f aca="false">J35+J43</f>
        <v>19218</v>
      </c>
      <c r="L35" s="393" t="n">
        <v>21789</v>
      </c>
      <c r="M35" s="394" t="n">
        <f aca="false">L35+L43</f>
        <v>19218</v>
      </c>
      <c r="N35" s="393" t="n">
        <v>21789</v>
      </c>
      <c r="O35" s="394" t="n">
        <f aca="false">N35+N43</f>
        <v>19218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11789</v>
      </c>
      <c r="F37" s="400" t="s">
        <v>161</v>
      </c>
      <c r="G37" s="388"/>
      <c r="H37" s="401" t="n">
        <f aca="false">SUM(H34:H36)</f>
        <v>11789</v>
      </c>
      <c r="I37" s="402" t="s">
        <v>161</v>
      </c>
      <c r="J37" s="401" t="n">
        <f aca="false">SUM(J34:J36)</f>
        <v>21789</v>
      </c>
      <c r="K37" s="402" t="s">
        <v>161</v>
      </c>
      <c r="L37" s="401" t="n">
        <f aca="false">SUM(L34:L36)</f>
        <v>21789</v>
      </c>
      <c r="M37" s="402" t="s">
        <v>161</v>
      </c>
      <c r="N37" s="401" t="n">
        <f aca="false">SUM(N34:N36)</f>
        <v>21789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-11217</v>
      </c>
      <c r="F38" s="386"/>
      <c r="G38" s="387"/>
      <c r="H38" s="393" t="n">
        <v>-10686</v>
      </c>
      <c r="I38" s="316"/>
      <c r="J38" s="393" t="n">
        <v>-22576</v>
      </c>
      <c r="K38" s="316"/>
      <c r="L38" s="393" t="n">
        <f aca="false">-22576+22</f>
        <v>-22554</v>
      </c>
      <c r="M38" s="316"/>
      <c r="N38" s="393" t="n">
        <f aca="false">-22576+48</f>
        <v>-22528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7325</v>
      </c>
      <c r="F39" s="386"/>
      <c r="G39" s="387"/>
      <c r="H39" s="393" t="n">
        <v>7325</v>
      </c>
      <c r="I39" s="316"/>
      <c r="J39" s="393" t="n">
        <v>7325</v>
      </c>
      <c r="K39" s="316"/>
      <c r="L39" s="393" t="n">
        <v>7325</v>
      </c>
      <c r="M39" s="316"/>
      <c r="N39" s="393" t="n">
        <v>7325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5326</v>
      </c>
      <c r="F44" s="407"/>
      <c r="G44" s="408"/>
      <c r="H44" s="378" t="n">
        <f aca="false">SUM(H37:H43)</f>
        <v>5857</v>
      </c>
      <c r="I44" s="409"/>
      <c r="J44" s="378" t="n">
        <f aca="false">SUM(J37:J43)</f>
        <v>3967</v>
      </c>
      <c r="K44" s="409"/>
      <c r="L44" s="378" t="n">
        <f aca="false">SUM(L37:L43)</f>
        <v>3989</v>
      </c>
      <c r="M44" s="409"/>
      <c r="N44" s="378" t="n">
        <f aca="false">SUM(N37:N43)</f>
        <v>4015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15933</v>
      </c>
      <c r="F49" s="391"/>
      <c r="G49" s="392"/>
      <c r="H49" s="410" t="n">
        <v>15933</v>
      </c>
      <c r="I49" s="411"/>
      <c r="J49" s="410" t="n">
        <v>18865</v>
      </c>
      <c r="K49" s="411"/>
      <c r="L49" s="410" t="n">
        <f aca="false">18865-22</f>
        <v>18843</v>
      </c>
      <c r="M49" s="411"/>
      <c r="N49" s="410" t="n">
        <f aca="false">18865-48</f>
        <v>18817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-15413</v>
      </c>
      <c r="F50" s="386"/>
      <c r="G50" s="387"/>
      <c r="H50" s="415" t="n">
        <v>-15933</v>
      </c>
      <c r="I50" s="316"/>
      <c r="J50" s="415" t="n">
        <v>-17000</v>
      </c>
      <c r="K50" s="316"/>
      <c r="L50" s="415" t="n">
        <v>-17000</v>
      </c>
      <c r="M50" s="316"/>
      <c r="N50" s="415" t="n">
        <v>-17000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520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1865</v>
      </c>
      <c r="K51" s="398"/>
      <c r="L51" s="355" t="n">
        <f aca="false">SUM(L49:L50)</f>
        <v>1843</v>
      </c>
      <c r="M51" s="398"/>
      <c r="N51" s="355" t="n">
        <f aca="false">SUM(N49:N50)</f>
        <v>1817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393" t="n">
        <v>6326</v>
      </c>
      <c r="I52" s="316"/>
      <c r="J52" s="393" t="n">
        <v>6351</v>
      </c>
      <c r="K52" s="316"/>
      <c r="L52" s="393" t="n">
        <v>6351</v>
      </c>
      <c r="M52" s="316"/>
      <c r="N52" s="393" t="n">
        <v>6351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6846</v>
      </c>
      <c r="F56" s="419"/>
      <c r="G56" s="420"/>
      <c r="H56" s="378" t="n">
        <f aca="false">SUM(H51:H55)</f>
        <v>6326</v>
      </c>
      <c r="I56" s="421"/>
      <c r="J56" s="378" t="n">
        <f aca="false">SUM(J51:J55)</f>
        <v>8216</v>
      </c>
      <c r="K56" s="421"/>
      <c r="L56" s="378" t="n">
        <f aca="false">SUM(L51:L55)</f>
        <v>8194</v>
      </c>
      <c r="M56" s="421"/>
      <c r="N56" s="378" t="n">
        <f aca="false">SUM(N51:N55)</f>
        <v>8168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6828.885</v>
      </c>
      <c r="F57" s="386"/>
      <c r="G57" s="314"/>
      <c r="H57" s="374" t="n">
        <f aca="false">H56*0.9975</f>
        <v>6310.185</v>
      </c>
      <c r="I57" s="316"/>
      <c r="J57" s="374" t="n">
        <f aca="false">J56*0.9975</f>
        <v>8195.46</v>
      </c>
      <c r="K57" s="316"/>
      <c r="L57" s="374" t="n">
        <f aca="false">L56*0.9975</f>
        <v>8173.515</v>
      </c>
      <c r="M57" s="316"/>
      <c r="N57" s="374" t="n">
        <f aca="false">N56*0.9975</f>
        <v>8147.58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0.14320145464428</v>
      </c>
      <c r="F58" s="386"/>
      <c r="G58" s="314"/>
      <c r="H58" s="423" t="n">
        <f aca="false">H57/H66</f>
        <v>0.132293819522976</v>
      </c>
      <c r="I58" s="316"/>
      <c r="J58" s="423" t="n">
        <f aca="false">J57/J66</f>
        <v>0.171818846222063</v>
      </c>
      <c r="K58" s="316"/>
      <c r="L58" s="423" t="n">
        <f aca="false">L57/L66</f>
        <v>0.171358766546201</v>
      </c>
      <c r="M58" s="316"/>
      <c r="N58" s="423" t="n">
        <f aca="false">N57/N66</f>
        <v>0.170815036020182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47687.26</v>
      </c>
      <c r="F66" s="434"/>
      <c r="G66" s="314"/>
      <c r="H66" s="427" t="n">
        <f aca="false">H29+H44+H56+H61+H62</f>
        <v>47698.26</v>
      </c>
      <c r="I66" s="316"/>
      <c r="J66" s="427" t="n">
        <f aca="false">J29+J44+J56+J61+J62</f>
        <v>47698.26</v>
      </c>
      <c r="K66" s="316"/>
      <c r="L66" s="427" t="n">
        <f aca="false">L29+L44+L56+L61+L62</f>
        <v>47698.26</v>
      </c>
      <c r="M66" s="316"/>
      <c r="N66" s="427" t="n">
        <f aca="false">N29+N44+N56+N61+N62</f>
        <v>47698.26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0.260000000002037</v>
      </c>
      <c r="M68" s="316"/>
      <c r="N68" s="437" t="n">
        <f aca="false">N66-N11</f>
        <v>0.260000000002037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45926.8985797958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37020</v>
      </c>
      <c r="F4" s="320"/>
      <c r="G4" s="314"/>
      <c r="H4" s="321" t="n">
        <v>37021</v>
      </c>
      <c r="I4" s="322"/>
      <c r="J4" s="321" t="n">
        <v>37022</v>
      </c>
      <c r="K4" s="322"/>
      <c r="L4" s="321" t="n">
        <v>37023</v>
      </c>
      <c r="M4" s="322"/>
      <c r="N4" s="321" t="n">
        <v>37024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7" t="s">
        <v>130</v>
      </c>
      <c r="F5" s="325"/>
      <c r="G5" s="326"/>
      <c r="H5" s="327" t="s">
        <v>131</v>
      </c>
      <c r="I5" s="326"/>
      <c r="J5" s="327" t="s">
        <v>132</v>
      </c>
      <c r="K5" s="326"/>
      <c r="L5" s="327" t="s">
        <v>133</v>
      </c>
      <c r="M5" s="326"/>
      <c r="N5" s="327" t="s">
        <v>194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71</v>
      </c>
      <c r="F8" s="341" t="n">
        <v>50</v>
      </c>
      <c r="G8" s="342"/>
      <c r="H8" s="335" t="n">
        <v>72</v>
      </c>
      <c r="I8" s="342" t="n">
        <v>52</v>
      </c>
      <c r="J8" s="335" t="n">
        <v>84</v>
      </c>
      <c r="K8" s="342" t="n">
        <v>55</v>
      </c>
      <c r="L8" s="335" t="n">
        <v>87</v>
      </c>
      <c r="M8" s="342" t="n">
        <v>62</v>
      </c>
      <c r="N8" s="335" t="n">
        <v>80</v>
      </c>
      <c r="O8" s="342" t="n">
        <v>61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-4.5</v>
      </c>
      <c r="F9" s="347"/>
      <c r="G9" s="348"/>
      <c r="H9" s="349" t="n">
        <f aca="false">(H8+I8)/2-65</f>
        <v>-3</v>
      </c>
      <c r="I9" s="344"/>
      <c r="J9" s="349" t="n">
        <f aca="false">(J8+K8)/2-65</f>
        <v>4.5</v>
      </c>
      <c r="K9" s="344"/>
      <c r="L9" s="349" t="n">
        <f aca="false">(L8+M8)/2-65</f>
        <v>9.5</v>
      </c>
      <c r="M9" s="344"/>
      <c r="N9" s="349" t="n">
        <f aca="false">(N8+O8)/2-65</f>
        <v>5.5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48963</v>
      </c>
      <c r="F11" s="353"/>
      <c r="G11" s="314"/>
      <c r="H11" s="355" t="n">
        <v>47698</v>
      </c>
      <c r="I11" s="316"/>
      <c r="J11" s="355" t="n">
        <v>47698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52156.26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-3193.26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36963</v>
      </c>
      <c r="F16" s="357"/>
      <c r="G16" s="314"/>
      <c r="H16" s="361" t="n">
        <f aca="false">H11-H17</f>
        <v>35698</v>
      </c>
      <c r="I16" s="316"/>
      <c r="J16" s="361" t="n">
        <f aca="false">J11-J17</f>
        <v>35698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24252+2571</f>
        <v>26823</v>
      </c>
      <c r="F35" s="391"/>
      <c r="G35" s="392"/>
      <c r="H35" s="393" t="n">
        <f aca="false">11789</f>
        <v>11789</v>
      </c>
      <c r="I35" s="394" t="n">
        <f aca="false">H35+H43</f>
        <v>9218</v>
      </c>
      <c r="J35" s="393" t="n">
        <f aca="false">11789</f>
        <v>11789</v>
      </c>
      <c r="K35" s="394" t="n">
        <f aca="false">J35+J43</f>
        <v>9218</v>
      </c>
      <c r="L35" s="393" t="n">
        <f aca="false">11789</f>
        <v>11789</v>
      </c>
      <c r="M35" s="394" t="n">
        <f aca="false">L35+L43</f>
        <v>9218</v>
      </c>
      <c r="N35" s="393" t="n">
        <f aca="false">11789</f>
        <v>11789</v>
      </c>
      <c r="O35" s="394" t="n">
        <f aca="false">N35+N43</f>
        <v>9218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26823</v>
      </c>
      <c r="F37" s="400" t="s">
        <v>161</v>
      </c>
      <c r="G37" s="388"/>
      <c r="H37" s="401" t="n">
        <f aca="false">SUM(H34:H36)</f>
        <v>11789</v>
      </c>
      <c r="I37" s="402" t="s">
        <v>161</v>
      </c>
      <c r="J37" s="401" t="n">
        <f aca="false">SUM(J34:J36)</f>
        <v>11789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-21606</v>
      </c>
      <c r="F38" s="386"/>
      <c r="G38" s="387"/>
      <c r="H38" s="403" t="n">
        <v>-10686</v>
      </c>
      <c r="I38" s="316"/>
      <c r="J38" s="393" t="n">
        <v>-10686</v>
      </c>
      <c r="K38" s="316"/>
      <c r="L38" s="393" t="n">
        <v>-10500</v>
      </c>
      <c r="M38" s="316"/>
      <c r="N38" s="393" t="n">
        <v>-10500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7325</v>
      </c>
      <c r="F39" s="386"/>
      <c r="G39" s="387"/>
      <c r="H39" s="393" t="n">
        <v>7325</v>
      </c>
      <c r="I39" s="316"/>
      <c r="J39" s="393" t="n">
        <v>7325</v>
      </c>
      <c r="K39" s="316"/>
      <c r="L39" s="393" t="n">
        <v>7325</v>
      </c>
      <c r="M39" s="316"/>
      <c r="N39" s="393" t="n">
        <v>7325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9971</v>
      </c>
      <c r="F44" s="407"/>
      <c r="G44" s="408"/>
      <c r="H44" s="378" t="n">
        <f aca="false">SUM(H37:H43)</f>
        <v>5857</v>
      </c>
      <c r="I44" s="409"/>
      <c r="J44" s="378" t="n">
        <f aca="false">SUM(J37:J43)</f>
        <v>5857</v>
      </c>
      <c r="K44" s="409"/>
      <c r="L44" s="378" t="n">
        <f aca="false">SUM(L37:L43)</f>
        <v>6043</v>
      </c>
      <c r="M44" s="409"/>
      <c r="N44" s="378" t="n">
        <f aca="false">SUM(N37:N43)</f>
        <v>6043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15933</v>
      </c>
      <c r="F49" s="391"/>
      <c r="G49" s="392"/>
      <c r="H49" s="410" t="n">
        <v>15933</v>
      </c>
      <c r="I49" s="411"/>
      <c r="J49" s="410" t="n">
        <v>15933</v>
      </c>
      <c r="K49" s="411"/>
      <c r="L49" s="410" t="n">
        <v>10935</v>
      </c>
      <c r="M49" s="411"/>
      <c r="N49" s="410" t="n">
        <v>10935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-15614</v>
      </c>
      <c r="F50" s="386"/>
      <c r="G50" s="387"/>
      <c r="H50" s="415" t="n">
        <v>-15933</v>
      </c>
      <c r="I50" s="316"/>
      <c r="J50" s="415" t="n">
        <v>-15933</v>
      </c>
      <c r="K50" s="316"/>
      <c r="L50" s="415" t="n">
        <v>-10935</v>
      </c>
      <c r="M50" s="316"/>
      <c r="N50" s="415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319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6351</v>
      </c>
      <c r="F52" s="386"/>
      <c r="G52" s="387"/>
      <c r="H52" s="40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6670</v>
      </c>
      <c r="F56" s="419"/>
      <c r="G56" s="420"/>
      <c r="H56" s="378" t="n">
        <f aca="false">SUM(H51:H55)</f>
        <v>6326</v>
      </c>
      <c r="I56" s="421"/>
      <c r="J56" s="378" t="n">
        <f aca="false">SUM(J51:J55)</f>
        <v>6326</v>
      </c>
      <c r="K56" s="421"/>
      <c r="L56" s="378" t="n">
        <f aca="false">SUM(L51:L55)</f>
        <v>6326</v>
      </c>
      <c r="M56" s="421"/>
      <c r="N56" s="378" t="n">
        <f aca="false">SUM(N51:N55)</f>
        <v>6326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6653.325</v>
      </c>
      <c r="F57" s="386"/>
      <c r="G57" s="314"/>
      <c r="H57" s="374" t="n">
        <f aca="false">H56*0.9975</f>
        <v>6310.185</v>
      </c>
      <c r="I57" s="316"/>
      <c r="J57" s="374" t="n">
        <f aca="false">J56*0.9975</f>
        <v>6310.185</v>
      </c>
      <c r="K57" s="316"/>
      <c r="L57" s="374" t="n">
        <f aca="false">L56*0.9975</f>
        <v>6310.185</v>
      </c>
      <c r="M57" s="316"/>
      <c r="N57" s="374" t="n">
        <f aca="false">N56*0.9975</f>
        <v>6310.185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0.127565224193606</v>
      </c>
      <c r="F58" s="386"/>
      <c r="G58" s="314"/>
      <c r="H58" s="423" t="n">
        <f aca="false">H57/H66</f>
        <v>0.132293819522976</v>
      </c>
      <c r="I58" s="316"/>
      <c r="J58" s="423" t="n">
        <f aca="false">J57/J66</f>
        <v>0.132293819522976</v>
      </c>
      <c r="K58" s="316"/>
      <c r="L58" s="423" t="n">
        <f aca="false">L57/L66</f>
        <v>0.13177994188487</v>
      </c>
      <c r="M58" s="316"/>
      <c r="N58" s="423" t="n">
        <f aca="false">N57/N66</f>
        <v>0.13177994188487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52156.26</v>
      </c>
      <c r="F66" s="434"/>
      <c r="G66" s="314"/>
      <c r="H66" s="427" t="n">
        <f aca="false">H29+H44+H56+H61+H62</f>
        <v>47698.26</v>
      </c>
      <c r="I66" s="316"/>
      <c r="J66" s="427" t="n">
        <f aca="false">J29+J44+J56+J61+J62</f>
        <v>47698.26</v>
      </c>
      <c r="K66" s="316"/>
      <c r="L66" s="427" t="n">
        <f aca="false">L29+L44+L56+L61+L62</f>
        <v>47884.26</v>
      </c>
      <c r="M66" s="316"/>
      <c r="N66" s="427" t="n">
        <f aca="false">N29+N44+N56+N61+N62</f>
        <v>47884.26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186.260000000002</v>
      </c>
      <c r="M68" s="316"/>
      <c r="N68" s="437" t="n">
        <f aca="false">N66-N11</f>
        <v>186.260000000002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3" min="3" style="1" width="18.33"/>
    <col collapsed="false" customWidth="true" hidden="false" outlineLevel="0" max="5" min="5" style="1" width="13.99"/>
    <col collapsed="false" customWidth="true" hidden="false" outlineLevel="0" max="6" min="6" style="1" width="9.55"/>
    <col collapsed="false" customWidth="true" hidden="false" outlineLevel="0" max="7" min="7" style="1" width="9.21"/>
  </cols>
  <sheetData>
    <row r="1" customFormat="false" ht="15.75" hidden="false" customHeight="false" outlineLevel="0" collapsed="false">
      <c r="B1" s="1" t="s">
        <v>0</v>
      </c>
    </row>
    <row r="2" customFormat="false" ht="15.75" hidden="false" customHeight="false" outlineLevel="0" collapsed="false">
      <c r="B2" s="1" t="s">
        <v>54</v>
      </c>
      <c r="E2" s="168" t="s">
        <v>2</v>
      </c>
      <c r="F2" s="169" t="n">
        <f aca="true">TODAY()+1</f>
        <v>45927</v>
      </c>
    </row>
    <row r="3" customFormat="false" ht="16.5" hidden="false" customHeight="false" outlineLevel="0" collapsed="false">
      <c r="B3" s="170"/>
      <c r="C3" s="171" t="n">
        <f aca="true">NOW()</f>
        <v>45926.8985793892</v>
      </c>
      <c r="K3" s="172"/>
      <c r="L3" s="172"/>
      <c r="M3" s="172"/>
      <c r="N3" s="172"/>
      <c r="O3" s="172"/>
      <c r="P3" s="172"/>
      <c r="Q3" s="172"/>
      <c r="R3" s="172"/>
    </row>
    <row r="4" customFormat="false" ht="15.75" hidden="false" customHeight="false" outlineLevel="0" collapsed="false">
      <c r="B4" s="173" t="s">
        <v>55</v>
      </c>
      <c r="C4" s="173"/>
      <c r="D4" s="173"/>
      <c r="E4" s="174" t="s">
        <v>4</v>
      </c>
      <c r="F4" s="174" t="s">
        <v>4</v>
      </c>
      <c r="G4" s="173"/>
      <c r="H4" s="174" t="s">
        <v>5</v>
      </c>
      <c r="I4" s="173"/>
      <c r="K4" s="172"/>
      <c r="L4" s="172"/>
      <c r="M4" s="172"/>
      <c r="N4" s="175"/>
      <c r="O4" s="175"/>
      <c r="P4" s="172"/>
      <c r="Q4" s="172"/>
      <c r="R4" s="172"/>
    </row>
    <row r="5" customFormat="false" ht="12" hidden="false" customHeight="false" outlineLevel="0" collapsed="false">
      <c r="A5" s="176"/>
      <c r="B5" s="176"/>
      <c r="C5" s="176"/>
      <c r="D5" s="176" t="s">
        <v>56</v>
      </c>
      <c r="E5" s="176" t="s">
        <v>7</v>
      </c>
      <c r="F5" s="176" t="s">
        <v>9</v>
      </c>
      <c r="G5" s="176" t="s">
        <v>10</v>
      </c>
      <c r="H5" s="176" t="s">
        <v>11</v>
      </c>
      <c r="I5" s="176" t="s">
        <v>57</v>
      </c>
      <c r="K5" s="175"/>
      <c r="L5" s="175"/>
      <c r="M5" s="175"/>
      <c r="N5" s="175"/>
      <c r="O5" s="175"/>
      <c r="P5" s="175"/>
      <c r="Q5" s="175"/>
      <c r="R5" s="175"/>
    </row>
    <row r="6" customFormat="false" ht="15.75" hidden="false" customHeight="false" outlineLevel="0" collapsed="false">
      <c r="A6" s="177"/>
      <c r="B6" s="178" t="s">
        <v>58</v>
      </c>
      <c r="C6" s="178" t="s">
        <v>59</v>
      </c>
      <c r="D6" s="178" t="n">
        <v>47</v>
      </c>
      <c r="E6" s="178" t="s">
        <v>20</v>
      </c>
      <c r="F6" s="178" t="s">
        <v>60</v>
      </c>
      <c r="G6" s="179" t="n">
        <v>2375</v>
      </c>
      <c r="H6" s="180" t="n">
        <v>2375</v>
      </c>
      <c r="I6" s="179" t="n">
        <f aca="false">G6-H6</f>
        <v>0</v>
      </c>
      <c r="J6" s="177"/>
      <c r="K6" s="181"/>
      <c r="L6" s="181"/>
      <c r="M6" s="182"/>
      <c r="N6" s="183"/>
      <c r="O6" s="181"/>
      <c r="P6" s="184"/>
      <c r="Q6" s="184"/>
      <c r="R6" s="184"/>
    </row>
    <row r="7" customFormat="false" ht="15.75" hidden="false" customHeight="false" outlineLevel="0" collapsed="false">
      <c r="A7" s="177"/>
      <c r="B7" s="185" t="s">
        <v>58</v>
      </c>
      <c r="C7" s="185" t="s">
        <v>59</v>
      </c>
      <c r="D7" s="185" t="n">
        <v>47</v>
      </c>
      <c r="E7" s="185" t="s">
        <v>61</v>
      </c>
      <c r="F7" s="185" t="s">
        <v>60</v>
      </c>
      <c r="G7" s="186" t="n">
        <v>2348</v>
      </c>
      <c r="H7" s="187" t="n">
        <v>0</v>
      </c>
      <c r="I7" s="186" t="n">
        <f aca="false">G7-H7</f>
        <v>2348</v>
      </c>
      <c r="K7" s="181"/>
      <c r="L7" s="181"/>
      <c r="M7" s="182"/>
      <c r="N7" s="183"/>
      <c r="O7" s="181"/>
      <c r="P7" s="184"/>
      <c r="Q7" s="184"/>
      <c r="R7" s="184"/>
    </row>
    <row r="8" customFormat="false" ht="15.75" hidden="false" customHeight="false" outlineLevel="0" collapsed="false">
      <c r="A8" s="177"/>
      <c r="B8" s="185" t="s">
        <v>58</v>
      </c>
      <c r="C8" s="185" t="s">
        <v>59</v>
      </c>
      <c r="D8" s="185" t="n">
        <v>47</v>
      </c>
      <c r="E8" s="185" t="s">
        <v>62</v>
      </c>
      <c r="F8" s="185" t="s">
        <v>60</v>
      </c>
      <c r="G8" s="186" t="n">
        <v>0</v>
      </c>
      <c r="H8" s="187" t="n">
        <v>2348</v>
      </c>
      <c r="I8" s="186" t="n">
        <f aca="false">G8-H8</f>
        <v>-2348</v>
      </c>
      <c r="K8" s="181"/>
      <c r="L8" s="181"/>
      <c r="M8" s="182"/>
      <c r="N8" s="183"/>
      <c r="O8" s="181"/>
      <c r="P8" s="184"/>
      <c r="Q8" s="184"/>
      <c r="R8" s="184"/>
    </row>
    <row r="9" customFormat="false" ht="15.75" hidden="true" customHeight="false" outlineLevel="0" collapsed="false">
      <c r="A9" s="177"/>
      <c r="B9" s="185" t="s">
        <v>58</v>
      </c>
      <c r="C9" s="185" t="s">
        <v>59</v>
      </c>
      <c r="D9" s="185" t="n">
        <v>21881</v>
      </c>
      <c r="E9" s="185" t="s">
        <v>20</v>
      </c>
      <c r="F9" s="185" t="s">
        <v>60</v>
      </c>
      <c r="G9" s="186" t="n">
        <v>2598</v>
      </c>
      <c r="H9" s="187" t="n">
        <v>0</v>
      </c>
      <c r="I9" s="186" t="n">
        <f aca="false">G9-H9</f>
        <v>2598</v>
      </c>
      <c r="K9" s="181"/>
      <c r="L9" s="181"/>
      <c r="M9" s="182"/>
      <c r="N9" s="183"/>
      <c r="O9" s="181"/>
      <c r="P9" s="184"/>
      <c r="Q9" s="184"/>
      <c r="R9" s="184"/>
    </row>
    <row r="10" customFormat="false" ht="15.75" hidden="true" customHeight="false" outlineLevel="0" collapsed="false">
      <c r="A10" s="177"/>
      <c r="B10" s="185" t="s">
        <v>58</v>
      </c>
      <c r="C10" s="185" t="s">
        <v>59</v>
      </c>
      <c r="D10" s="185" t="n">
        <v>21882</v>
      </c>
      <c r="E10" s="185" t="s">
        <v>61</v>
      </c>
      <c r="F10" s="185" t="s">
        <v>60</v>
      </c>
      <c r="G10" s="186" t="n">
        <v>1062</v>
      </c>
      <c r="H10" s="187" t="n">
        <v>0</v>
      </c>
      <c r="I10" s="186" t="n">
        <f aca="false">G10-H10</f>
        <v>1062</v>
      </c>
      <c r="K10" s="181"/>
      <c r="L10" s="181"/>
      <c r="M10" s="182"/>
      <c r="N10" s="183"/>
      <c r="O10" s="181"/>
      <c r="P10" s="184"/>
      <c r="Q10" s="184"/>
      <c r="R10" s="184"/>
    </row>
    <row r="11" customFormat="false" ht="15.75" hidden="true" customHeight="false" outlineLevel="0" collapsed="false">
      <c r="A11" s="177"/>
      <c r="B11" s="185" t="s">
        <v>58</v>
      </c>
      <c r="C11" s="185" t="s">
        <v>59</v>
      </c>
      <c r="D11" s="185" t="n">
        <v>21882</v>
      </c>
      <c r="E11" s="185" t="s">
        <v>62</v>
      </c>
      <c r="F11" s="185" t="s">
        <v>60</v>
      </c>
      <c r="G11" s="186" t="n">
        <v>1062</v>
      </c>
      <c r="H11" s="187" t="n">
        <v>0</v>
      </c>
      <c r="I11" s="186" t="n">
        <f aca="false">G11-H11</f>
        <v>1062</v>
      </c>
      <c r="K11" s="181"/>
      <c r="L11" s="181"/>
      <c r="M11" s="182"/>
      <c r="N11" s="183"/>
      <c r="O11" s="181"/>
      <c r="P11" s="184"/>
      <c r="Q11" s="184"/>
      <c r="R11" s="184"/>
    </row>
    <row r="12" customFormat="false" ht="15.75" hidden="false" customHeight="false" outlineLevel="0" collapsed="false">
      <c r="A12" s="177"/>
      <c r="B12" s="185" t="s">
        <v>26</v>
      </c>
      <c r="C12" s="185" t="s">
        <v>63</v>
      </c>
      <c r="D12" s="185" t="n">
        <v>0.6507</v>
      </c>
      <c r="E12" s="185" t="s">
        <v>28</v>
      </c>
      <c r="F12" s="185" t="s">
        <v>64</v>
      </c>
      <c r="G12" s="186" t="n">
        <v>556</v>
      </c>
      <c r="H12" s="187" t="n">
        <v>550</v>
      </c>
      <c r="I12" s="186" t="n">
        <f aca="false">G12-H12</f>
        <v>6</v>
      </c>
      <c r="K12" s="181"/>
      <c r="L12" s="181"/>
      <c r="M12" s="182"/>
      <c r="N12" s="183"/>
      <c r="O12" s="181"/>
      <c r="P12" s="184"/>
      <c r="Q12" s="184"/>
      <c r="R12" s="184"/>
    </row>
    <row r="13" customFormat="false" ht="15.75" hidden="false" customHeight="false" outlineLevel="0" collapsed="false">
      <c r="A13" s="177"/>
      <c r="B13" s="188" t="s">
        <v>23</v>
      </c>
      <c r="C13" s="188" t="s">
        <v>65</v>
      </c>
      <c r="D13" s="188" t="n">
        <v>700005</v>
      </c>
      <c r="E13" s="188" t="s">
        <v>66</v>
      </c>
      <c r="F13" s="188" t="s">
        <v>67</v>
      </c>
      <c r="G13" s="189" t="n">
        <v>40148</v>
      </c>
      <c r="H13" s="190" t="n">
        <v>0</v>
      </c>
      <c r="I13" s="189" t="n">
        <f aca="false">G13-H13</f>
        <v>40148</v>
      </c>
      <c r="K13" s="181"/>
      <c r="L13" s="181"/>
      <c r="M13" s="182"/>
      <c r="N13" s="183"/>
      <c r="O13" s="181"/>
      <c r="P13" s="184"/>
      <c r="Q13" s="184"/>
      <c r="R13" s="184"/>
    </row>
    <row r="14" customFormat="false" ht="15.75" hidden="false" customHeight="false" outlineLevel="0" collapsed="false">
      <c r="A14" s="177"/>
      <c r="B14" s="188" t="s">
        <v>23</v>
      </c>
      <c r="C14" s="188" t="s">
        <v>65</v>
      </c>
      <c r="D14" s="188" t="n">
        <v>100104</v>
      </c>
      <c r="E14" s="188" t="s">
        <v>66</v>
      </c>
      <c r="F14" s="188" t="s">
        <v>67</v>
      </c>
      <c r="G14" s="189" t="n">
        <v>15225</v>
      </c>
      <c r="H14" s="190" t="n">
        <v>-11385</v>
      </c>
      <c r="I14" s="189" t="n">
        <f aca="false">G14-H14</f>
        <v>26610</v>
      </c>
      <c r="K14" s="181"/>
      <c r="L14" s="181"/>
      <c r="M14" s="182"/>
      <c r="N14" s="183"/>
      <c r="O14" s="181"/>
      <c r="P14" s="184"/>
      <c r="Q14" s="184"/>
      <c r="R14" s="184"/>
    </row>
    <row r="15" customFormat="false" ht="15.75" hidden="false" customHeight="false" outlineLevel="0" collapsed="false">
      <c r="A15" s="177"/>
      <c r="B15" s="188" t="s">
        <v>23</v>
      </c>
      <c r="C15" s="188" t="s">
        <v>68</v>
      </c>
      <c r="D15" s="188" t="n">
        <v>200088</v>
      </c>
      <c r="E15" s="188" t="s">
        <v>66</v>
      </c>
      <c r="F15" s="188" t="s">
        <v>67</v>
      </c>
      <c r="G15" s="189" t="n">
        <v>11990</v>
      </c>
      <c r="H15" s="190" t="n">
        <v>0</v>
      </c>
      <c r="I15" s="189" t="n">
        <f aca="false">G15-H15</f>
        <v>11990</v>
      </c>
      <c r="K15" s="181"/>
      <c r="L15" s="181"/>
      <c r="M15" s="182"/>
      <c r="N15" s="183"/>
      <c r="O15" s="181"/>
      <c r="P15" s="184"/>
      <c r="Q15" s="184"/>
      <c r="R15" s="184"/>
    </row>
    <row r="16" customFormat="false" ht="15.75" hidden="false" customHeight="false" outlineLevel="0" collapsed="false">
      <c r="A16" s="177"/>
      <c r="B16" s="188" t="s">
        <v>23</v>
      </c>
      <c r="C16" s="188" t="s">
        <v>63</v>
      </c>
      <c r="D16" s="188" t="n">
        <v>100007</v>
      </c>
      <c r="E16" s="188" t="s">
        <v>66</v>
      </c>
      <c r="F16" s="188" t="s">
        <v>67</v>
      </c>
      <c r="G16" s="189" t="n">
        <v>13500</v>
      </c>
      <c r="H16" s="190" t="n">
        <v>0</v>
      </c>
      <c r="I16" s="189" t="n">
        <f aca="false">G16-H16</f>
        <v>13500</v>
      </c>
      <c r="K16" s="181"/>
      <c r="L16" s="181"/>
      <c r="M16" s="182"/>
      <c r="N16" s="183"/>
      <c r="O16" s="181"/>
      <c r="P16" s="184"/>
      <c r="Q16" s="184"/>
      <c r="R16" s="184"/>
    </row>
    <row r="17" customFormat="false" ht="15.75" hidden="false" customHeight="false" outlineLevel="0" collapsed="false">
      <c r="A17" s="177"/>
      <c r="B17" s="191" t="s">
        <v>23</v>
      </c>
      <c r="C17" s="191" t="s">
        <v>63</v>
      </c>
      <c r="D17" s="191" t="n">
        <v>100007</v>
      </c>
      <c r="E17" s="191" t="s">
        <v>69</v>
      </c>
      <c r="F17" s="191" t="s">
        <v>67</v>
      </c>
      <c r="G17" s="192" t="n">
        <v>12981</v>
      </c>
      <c r="H17" s="193" t="n">
        <v>0</v>
      </c>
      <c r="I17" s="192" t="n">
        <f aca="false">G17-H17</f>
        <v>12981</v>
      </c>
      <c r="K17" s="194"/>
      <c r="L17" s="194"/>
      <c r="M17" s="195"/>
      <c r="N17" s="196"/>
      <c r="O17" s="194"/>
      <c r="P17" s="197"/>
      <c r="Q17" s="197"/>
      <c r="R17" s="197"/>
    </row>
    <row r="18" customFormat="false" ht="15.75" hidden="false" customHeight="false" outlineLevel="0" collapsed="false">
      <c r="A18" s="177"/>
      <c r="B18" s="191" t="s">
        <v>23</v>
      </c>
      <c r="C18" s="191" t="s">
        <v>63</v>
      </c>
      <c r="D18" s="191" t="n">
        <v>100007</v>
      </c>
      <c r="E18" s="191" t="s">
        <v>70</v>
      </c>
      <c r="F18" s="191" t="s">
        <v>67</v>
      </c>
      <c r="G18" s="192" t="n">
        <v>2172</v>
      </c>
      <c r="H18" s="193" t="n">
        <v>0</v>
      </c>
      <c r="I18" s="192" t="n">
        <f aca="false">G18-H18</f>
        <v>2172</v>
      </c>
      <c r="K18" s="194"/>
      <c r="L18" s="194"/>
      <c r="M18" s="195"/>
      <c r="N18" s="196"/>
      <c r="O18" s="194"/>
      <c r="P18" s="197"/>
      <c r="Q18" s="197"/>
      <c r="R18" s="197"/>
    </row>
    <row r="19" customFormat="false" ht="15.75" hidden="false" customHeight="false" outlineLevel="0" collapsed="false">
      <c r="A19" s="177"/>
      <c r="B19" s="191" t="s">
        <v>23</v>
      </c>
      <c r="C19" s="191" t="s">
        <v>63</v>
      </c>
      <c r="D19" s="191" t="n">
        <v>100007</v>
      </c>
      <c r="E19" s="191" t="s">
        <v>71</v>
      </c>
      <c r="F19" s="191" t="s">
        <v>67</v>
      </c>
      <c r="G19" s="192" t="n">
        <v>2430</v>
      </c>
      <c r="H19" s="193" t="n">
        <v>0</v>
      </c>
      <c r="I19" s="192" t="n">
        <f aca="false">G19-H19</f>
        <v>2430</v>
      </c>
      <c r="K19" s="194"/>
      <c r="L19" s="194"/>
      <c r="M19" s="195"/>
      <c r="N19" s="196"/>
      <c r="O19" s="194"/>
      <c r="P19" s="197"/>
      <c r="Q19" s="197"/>
      <c r="R19" s="197"/>
    </row>
    <row r="20" customFormat="false" ht="15.75" hidden="false" customHeight="false" outlineLevel="0" collapsed="false">
      <c r="A20" s="177"/>
      <c r="B20" s="191" t="s">
        <v>23</v>
      </c>
      <c r="C20" s="191" t="s">
        <v>63</v>
      </c>
      <c r="D20" s="191" t="n">
        <v>100007</v>
      </c>
      <c r="E20" s="191" t="s">
        <v>72</v>
      </c>
      <c r="F20" s="191" t="s">
        <v>67</v>
      </c>
      <c r="G20" s="192" t="n">
        <v>3755</v>
      </c>
      <c r="H20" s="193" t="n">
        <v>0</v>
      </c>
      <c r="I20" s="192" t="n">
        <f aca="false">G20-H20</f>
        <v>3755</v>
      </c>
      <c r="K20" s="194"/>
      <c r="L20" s="194"/>
      <c r="M20" s="195"/>
      <c r="N20" s="196"/>
      <c r="O20" s="194"/>
      <c r="P20" s="197"/>
      <c r="Q20" s="197"/>
      <c r="R20" s="197"/>
    </row>
    <row r="21" customFormat="false" ht="15.75" hidden="false" customHeight="false" outlineLevel="0" collapsed="false">
      <c r="A21" s="177"/>
      <c r="B21" s="191" t="s">
        <v>23</v>
      </c>
      <c r="C21" s="191" t="s">
        <v>63</v>
      </c>
      <c r="D21" s="191" t="n">
        <v>100007</v>
      </c>
      <c r="E21" s="191" t="s">
        <v>73</v>
      </c>
      <c r="F21" s="191" t="s">
        <v>67</v>
      </c>
      <c r="G21" s="192" t="n">
        <v>1295</v>
      </c>
      <c r="H21" s="193" t="n">
        <v>0</v>
      </c>
      <c r="I21" s="192" t="n">
        <f aca="false">G21-H21</f>
        <v>1295</v>
      </c>
      <c r="K21" s="194"/>
      <c r="L21" s="194"/>
      <c r="M21" s="195"/>
      <c r="N21" s="196"/>
      <c r="O21" s="194"/>
      <c r="P21" s="197"/>
      <c r="Q21" s="197"/>
      <c r="R21" s="197"/>
    </row>
    <row r="22" customFormat="false" ht="15.75" hidden="false" customHeight="false" outlineLevel="0" collapsed="false">
      <c r="A22" s="177"/>
      <c r="B22" s="191" t="s">
        <v>23</v>
      </c>
      <c r="C22" s="191" t="s">
        <v>63</v>
      </c>
      <c r="D22" s="191" t="n">
        <v>100007</v>
      </c>
      <c r="E22" s="191" t="s">
        <v>64</v>
      </c>
      <c r="F22" s="191" t="s">
        <v>67</v>
      </c>
      <c r="G22" s="192" t="n">
        <v>556</v>
      </c>
      <c r="H22" s="193" t="n">
        <v>0</v>
      </c>
      <c r="I22" s="192" t="n">
        <f aca="false">G22-H22</f>
        <v>556</v>
      </c>
      <c r="K22" s="198"/>
      <c r="L22" s="198"/>
      <c r="M22" s="199"/>
      <c r="N22" s="200"/>
      <c r="O22" s="198"/>
      <c r="P22" s="201"/>
      <c r="Q22" s="201"/>
      <c r="R22" s="201"/>
    </row>
    <row r="23" customFormat="false" ht="15.75" hidden="false" customHeight="false" outlineLevel="0" collapsed="false">
      <c r="A23" s="177"/>
      <c r="B23" s="191" t="s">
        <v>23</v>
      </c>
      <c r="C23" s="191" t="s">
        <v>63</v>
      </c>
      <c r="D23" s="191" t="n">
        <v>100007</v>
      </c>
      <c r="E23" s="191" t="s">
        <v>25</v>
      </c>
      <c r="F23" s="191" t="s">
        <v>67</v>
      </c>
      <c r="G23" s="192" t="n">
        <v>21490</v>
      </c>
      <c r="H23" s="193" t="n">
        <v>11385</v>
      </c>
      <c r="I23" s="192" t="n">
        <f aca="false">G23-H23</f>
        <v>10105</v>
      </c>
      <c r="K23" s="198"/>
      <c r="L23" s="198"/>
      <c r="M23" s="199"/>
      <c r="N23" s="200"/>
      <c r="O23" s="198"/>
      <c r="P23" s="201"/>
      <c r="Q23" s="201"/>
      <c r="R23" s="201"/>
    </row>
    <row r="24" customFormat="false" ht="15" hidden="false" customHeight="false" outlineLevel="0" collapsed="false">
      <c r="A24" s="177"/>
      <c r="B24" s="177"/>
      <c r="C24" s="177"/>
      <c r="D24" s="177"/>
      <c r="E24" s="177"/>
      <c r="F24" s="202" t="s">
        <v>74</v>
      </c>
      <c r="G24" s="203" t="n">
        <f aca="false">SUM(G16:G23)</f>
        <v>58179</v>
      </c>
      <c r="H24" s="204" t="n">
        <f aca="false">SUM(H16:H23)</f>
        <v>11385</v>
      </c>
      <c r="I24" s="203" t="s">
        <v>75</v>
      </c>
      <c r="J24" s="205"/>
      <c r="K24" s="198"/>
      <c r="L24" s="198"/>
      <c r="M24" s="199"/>
      <c r="N24" s="200"/>
      <c r="O24" s="198"/>
      <c r="P24" s="201"/>
      <c r="Q24" s="201"/>
      <c r="R24" s="201"/>
      <c r="S24" s="201"/>
      <c r="T24" s="201"/>
    </row>
    <row r="25" customFormat="false" ht="15.75" hidden="false" customHeight="false" outlineLevel="0" collapsed="false">
      <c r="A25" s="177"/>
      <c r="B25" s="177"/>
      <c r="C25" s="177"/>
      <c r="D25" s="177"/>
      <c r="E25" s="177"/>
      <c r="F25" s="177"/>
      <c r="G25" s="177"/>
      <c r="J25" s="1"/>
      <c r="K25" s="198"/>
      <c r="L25" s="198"/>
      <c r="M25" s="199"/>
      <c r="N25" s="200"/>
      <c r="O25" s="198"/>
      <c r="P25" s="201"/>
      <c r="Q25" s="201"/>
      <c r="R25" s="201"/>
      <c r="S25" s="201"/>
      <c r="T25" s="201"/>
    </row>
    <row r="26" customFormat="false" ht="16.5" hidden="false" customHeight="false" outlineLevel="0" collapsed="false">
      <c r="J26" s="172"/>
      <c r="K26" s="172"/>
      <c r="L26" s="172"/>
      <c r="M26" s="172"/>
      <c r="N26" s="172"/>
      <c r="O26" s="172"/>
      <c r="P26" s="206"/>
      <c r="Q26" s="206"/>
      <c r="R26" s="206"/>
      <c r="S26" s="207"/>
      <c r="T26" s="207"/>
    </row>
    <row r="27" customFormat="false" ht="15.75" hidden="false" customHeight="false" outlineLevel="0" collapsed="false">
      <c r="B27" s="173" t="s">
        <v>76</v>
      </c>
      <c r="C27" s="173"/>
      <c r="D27" s="173"/>
      <c r="E27" s="174" t="s">
        <v>4</v>
      </c>
      <c r="F27" s="174" t="s">
        <v>4</v>
      </c>
      <c r="G27" s="173"/>
      <c r="H27" s="174" t="s">
        <v>5</v>
      </c>
      <c r="I27" s="173"/>
      <c r="J27" s="172"/>
      <c r="K27" s="208"/>
      <c r="L27" s="198"/>
      <c r="M27" s="172"/>
      <c r="N27" s="172"/>
      <c r="O27" s="172"/>
      <c r="P27" s="172"/>
      <c r="Q27" s="172"/>
      <c r="R27" s="172"/>
    </row>
    <row r="28" customFormat="false" ht="16.5" hidden="false" customHeight="false" outlineLevel="0" collapsed="false">
      <c r="B28" s="176"/>
      <c r="C28" s="176"/>
      <c r="D28" s="176" t="s">
        <v>56</v>
      </c>
      <c r="E28" s="176" t="s">
        <v>7</v>
      </c>
      <c r="F28" s="176" t="s">
        <v>9</v>
      </c>
      <c r="G28" s="176" t="s">
        <v>10</v>
      </c>
      <c r="H28" s="176" t="s">
        <v>11</v>
      </c>
      <c r="I28" s="176" t="s">
        <v>57</v>
      </c>
      <c r="J28" s="172"/>
      <c r="K28" s="209"/>
      <c r="L28" s="172"/>
      <c r="M28" s="206"/>
      <c r="N28" s="172"/>
      <c r="O28" s="172"/>
      <c r="P28" s="172"/>
      <c r="Q28" s="172"/>
      <c r="R28" s="172"/>
    </row>
    <row r="29" customFormat="false" ht="15.75" hidden="false" customHeight="false" outlineLevel="0" collapsed="false">
      <c r="B29" s="178" t="s">
        <v>77</v>
      </c>
      <c r="C29" s="178" t="s">
        <v>78</v>
      </c>
      <c r="D29" s="210" t="n">
        <v>37901</v>
      </c>
      <c r="E29" s="211" t="s">
        <v>31</v>
      </c>
      <c r="F29" s="178" t="s">
        <v>32</v>
      </c>
      <c r="G29" s="179" t="n">
        <v>51479</v>
      </c>
      <c r="H29" s="180" t="n">
        <v>51479</v>
      </c>
      <c r="I29" s="179" t="n">
        <f aca="false">G29-H29</f>
        <v>0</v>
      </c>
      <c r="J29" s="172"/>
      <c r="K29" s="208"/>
      <c r="L29" s="172"/>
      <c r="M29" s="206"/>
      <c r="N29" s="172"/>
      <c r="O29" s="172"/>
      <c r="P29" s="172"/>
      <c r="Q29" s="172"/>
      <c r="R29" s="172"/>
    </row>
    <row r="30" customFormat="false" ht="15.75" hidden="false" customHeight="false" outlineLevel="0" collapsed="false">
      <c r="B30" s="185" t="s">
        <v>33</v>
      </c>
      <c r="C30" s="185" t="s">
        <v>79</v>
      </c>
      <c r="D30" s="212" t="n">
        <v>60536</v>
      </c>
      <c r="E30" s="213" t="s">
        <v>66</v>
      </c>
      <c r="F30" s="185" t="s">
        <v>80</v>
      </c>
      <c r="G30" s="186" t="n">
        <v>14625</v>
      </c>
      <c r="H30" s="187" t="n">
        <v>0</v>
      </c>
      <c r="I30" s="186" t="n">
        <f aca="false">G30-H30</f>
        <v>14625</v>
      </c>
      <c r="K30" s="208"/>
      <c r="L30" s="172"/>
      <c r="M30" s="206"/>
      <c r="N30" s="172"/>
      <c r="O30" s="172"/>
      <c r="P30" s="172"/>
      <c r="Q30" s="172"/>
      <c r="R30" s="172"/>
    </row>
    <row r="31" customFormat="false" ht="15.75" hidden="false" customHeight="false" outlineLevel="0" collapsed="false">
      <c r="B31" s="185" t="s">
        <v>26</v>
      </c>
      <c r="C31" s="185" t="s">
        <v>63</v>
      </c>
      <c r="D31" s="212" t="n">
        <v>3.1212</v>
      </c>
      <c r="E31" s="213" t="s">
        <v>80</v>
      </c>
      <c r="F31" s="185" t="s">
        <v>37</v>
      </c>
      <c r="G31" s="186" t="n">
        <v>14625</v>
      </c>
      <c r="H31" s="187" t="n">
        <v>0</v>
      </c>
      <c r="I31" s="186" t="n">
        <f aca="false">G31-H31</f>
        <v>14625</v>
      </c>
      <c r="K31" s="208"/>
      <c r="L31" s="172"/>
      <c r="M31" s="206"/>
      <c r="N31" s="172"/>
      <c r="O31" s="172"/>
      <c r="P31" s="172"/>
      <c r="Q31" s="172"/>
      <c r="R31" s="172"/>
    </row>
    <row r="32" customFormat="false" ht="15.75" hidden="false" customHeight="false" outlineLevel="0" collapsed="false">
      <c r="B32" s="185" t="s">
        <v>26</v>
      </c>
      <c r="C32" s="185" t="s">
        <v>81</v>
      </c>
      <c r="D32" s="212" t="n">
        <v>0.3924</v>
      </c>
      <c r="E32" s="213" t="s">
        <v>22</v>
      </c>
      <c r="F32" s="185" t="s">
        <v>37</v>
      </c>
      <c r="G32" s="186" t="n">
        <v>3400</v>
      </c>
      <c r="H32" s="187" t="n">
        <v>3400</v>
      </c>
      <c r="I32" s="186" t="n">
        <f aca="false">G32-H32</f>
        <v>0</v>
      </c>
      <c r="L32" s="172"/>
    </row>
    <row r="33" customFormat="false" ht="15.75" hidden="false" customHeight="false" outlineLevel="0" collapsed="false">
      <c r="B33" s="185" t="s">
        <v>26</v>
      </c>
      <c r="C33" s="185" t="s">
        <v>81</v>
      </c>
      <c r="D33" s="212" t="n">
        <v>0.3924</v>
      </c>
      <c r="E33" s="213" t="s">
        <v>28</v>
      </c>
      <c r="F33" s="185" t="s">
        <v>37</v>
      </c>
      <c r="G33" s="186" t="n">
        <v>5000</v>
      </c>
      <c r="H33" s="187" t="n">
        <v>5000</v>
      </c>
      <c r="I33" s="186" t="n">
        <f aca="false">G33-H33</f>
        <v>0</v>
      </c>
    </row>
    <row r="34" customFormat="false" ht="15.75" hidden="false" customHeight="false" outlineLevel="0" collapsed="false">
      <c r="B34" s="214" t="s">
        <v>26</v>
      </c>
      <c r="C34" s="214" t="s">
        <v>81</v>
      </c>
      <c r="D34" s="215" t="n">
        <v>0.3924</v>
      </c>
      <c r="E34" s="216" t="s">
        <v>29</v>
      </c>
      <c r="F34" s="214" t="s">
        <v>37</v>
      </c>
      <c r="G34" s="217" t="n">
        <v>11600</v>
      </c>
      <c r="H34" s="218" t="n">
        <f aca="false">11600-62</f>
        <v>11538</v>
      </c>
      <c r="I34" s="217" t="n">
        <f aca="false">G34-H34</f>
        <v>62</v>
      </c>
    </row>
    <row r="35" customFormat="false" ht="15.75" hidden="false" customHeight="false" outlineLevel="0" collapsed="false">
      <c r="B35" s="214" t="s">
        <v>26</v>
      </c>
      <c r="C35" s="214" t="s">
        <v>81</v>
      </c>
      <c r="D35" s="215" t="n">
        <v>0.3924</v>
      </c>
      <c r="E35" s="216" t="s">
        <v>82</v>
      </c>
      <c r="F35" s="214" t="s">
        <v>37</v>
      </c>
      <c r="G35" s="217" t="n">
        <v>0</v>
      </c>
      <c r="H35" s="218" t="n">
        <v>0</v>
      </c>
      <c r="I35" s="217" t="n">
        <f aca="false">G35-H35</f>
        <v>0</v>
      </c>
    </row>
    <row r="36" customFormat="false" ht="15.75" hidden="false" customHeight="false" outlineLevel="0" collapsed="false">
      <c r="B36" s="185" t="s">
        <v>26</v>
      </c>
      <c r="C36" s="185" t="s">
        <v>83</v>
      </c>
      <c r="D36" s="212" t="n">
        <v>0.3768</v>
      </c>
      <c r="E36" s="213" t="s">
        <v>66</v>
      </c>
      <c r="F36" s="185" t="s">
        <v>37</v>
      </c>
      <c r="G36" s="186" t="n">
        <v>2070</v>
      </c>
      <c r="H36" s="187" t="n">
        <v>-62</v>
      </c>
      <c r="I36" s="186" t="n">
        <f aca="false">G36-H36</f>
        <v>2132</v>
      </c>
    </row>
    <row r="37" customFormat="false" ht="15.75" hidden="false" customHeight="false" outlineLevel="0" collapsed="false">
      <c r="B37" s="185" t="s">
        <v>26</v>
      </c>
      <c r="C37" s="185" t="s">
        <v>84</v>
      </c>
      <c r="D37" s="212" t="n">
        <v>6558</v>
      </c>
      <c r="E37" s="213" t="s">
        <v>66</v>
      </c>
      <c r="F37" s="185" t="s">
        <v>37</v>
      </c>
      <c r="G37" s="186" t="n">
        <v>8970</v>
      </c>
      <c r="H37" s="187" t="n">
        <v>0</v>
      </c>
      <c r="I37" s="186" t="n">
        <f aca="false">G37-H37</f>
        <v>8970</v>
      </c>
    </row>
    <row r="38" customFormat="false" ht="15.75" hidden="false" customHeight="false" outlineLevel="0" collapsed="false">
      <c r="B38" s="185" t="s">
        <v>26</v>
      </c>
      <c r="C38" s="185" t="s">
        <v>85</v>
      </c>
      <c r="D38" s="212" t="n">
        <v>3767</v>
      </c>
      <c r="E38" s="213" t="s">
        <v>66</v>
      </c>
      <c r="F38" s="185" t="s">
        <v>37</v>
      </c>
      <c r="G38" s="186" t="n">
        <v>8523</v>
      </c>
      <c r="H38" s="187" t="n">
        <v>-1802</v>
      </c>
      <c r="I38" s="186" t="n">
        <f aca="false">G38-H38</f>
        <v>10325</v>
      </c>
    </row>
    <row r="39" customFormat="false" ht="15.75" hidden="false" customHeight="false" outlineLevel="0" collapsed="false">
      <c r="B39" s="188" t="s">
        <v>33</v>
      </c>
      <c r="C39" s="188" t="s">
        <v>68</v>
      </c>
      <c r="D39" s="219" t="n">
        <v>35889</v>
      </c>
      <c r="E39" s="220" t="s">
        <v>66</v>
      </c>
      <c r="F39" s="188" t="s">
        <v>1</v>
      </c>
      <c r="G39" s="188" t="n">
        <v>52090</v>
      </c>
      <c r="H39" s="190" t="n">
        <v>-2571</v>
      </c>
      <c r="I39" s="189" t="n">
        <f aca="false">G39-H39</f>
        <v>54661</v>
      </c>
    </row>
    <row r="40" customFormat="false" ht="15.75" hidden="false" customHeight="false" outlineLevel="0" collapsed="false">
      <c r="B40" s="188" t="s">
        <v>33</v>
      </c>
      <c r="C40" s="188" t="s">
        <v>79</v>
      </c>
      <c r="D40" s="219" t="n">
        <v>60536</v>
      </c>
      <c r="E40" s="220" t="s">
        <v>37</v>
      </c>
      <c r="F40" s="188" t="s">
        <v>1</v>
      </c>
      <c r="G40" s="189" t="n">
        <v>14625</v>
      </c>
      <c r="H40" s="190" t="n">
        <v>0</v>
      </c>
      <c r="I40" s="189" t="n">
        <f aca="false">G40-H40</f>
        <v>14625</v>
      </c>
    </row>
    <row r="41" customFormat="false" ht="15.75" hidden="false" customHeight="false" outlineLevel="0" collapsed="false">
      <c r="B41" s="188" t="s">
        <v>33</v>
      </c>
      <c r="C41" s="188" t="s">
        <v>79</v>
      </c>
      <c r="D41" s="219" t="n">
        <v>38088</v>
      </c>
      <c r="E41" s="220" t="s">
        <v>66</v>
      </c>
      <c r="F41" s="188" t="s">
        <v>1</v>
      </c>
      <c r="G41" s="189" t="n">
        <v>50270</v>
      </c>
      <c r="H41" s="190" t="n">
        <v>-9168</v>
      </c>
      <c r="I41" s="189" t="n">
        <f aca="false">G41-H41</f>
        <v>59438</v>
      </c>
    </row>
    <row r="42" customFormat="false" ht="15.75" hidden="false" customHeight="false" outlineLevel="0" collapsed="false">
      <c r="B42" s="191" t="s">
        <v>33</v>
      </c>
      <c r="C42" s="191" t="s">
        <v>86</v>
      </c>
      <c r="D42" s="221" t="n">
        <v>38115</v>
      </c>
      <c r="E42" s="222" t="s">
        <v>34</v>
      </c>
      <c r="F42" s="191" t="s">
        <v>1</v>
      </c>
      <c r="G42" s="192" t="n">
        <v>5000</v>
      </c>
      <c r="H42" s="193" t="n">
        <v>0</v>
      </c>
      <c r="I42" s="192" t="n">
        <f aca="false">G42-H42</f>
        <v>5000</v>
      </c>
    </row>
    <row r="43" customFormat="false" ht="15.75" hidden="false" customHeight="false" outlineLevel="0" collapsed="false">
      <c r="B43" s="191" t="s">
        <v>33</v>
      </c>
      <c r="C43" s="191" t="s">
        <v>86</v>
      </c>
      <c r="D43" s="221" t="n">
        <v>38115</v>
      </c>
      <c r="E43" s="222" t="s">
        <v>35</v>
      </c>
      <c r="F43" s="191" t="s">
        <v>1</v>
      </c>
      <c r="G43" s="192" t="n">
        <v>2631</v>
      </c>
      <c r="H43" s="193" t="n">
        <v>0</v>
      </c>
      <c r="I43" s="192" t="n">
        <f aca="false">G43-H43</f>
        <v>2631</v>
      </c>
    </row>
    <row r="44" customFormat="false" ht="15.75" hidden="false" customHeight="false" outlineLevel="0" collapsed="false">
      <c r="B44" s="191" t="s">
        <v>33</v>
      </c>
      <c r="C44" s="191" t="s">
        <v>86</v>
      </c>
      <c r="D44" s="221" t="n">
        <v>38115</v>
      </c>
      <c r="E44" s="222" t="s">
        <v>36</v>
      </c>
      <c r="F44" s="191" t="s">
        <v>1</v>
      </c>
      <c r="G44" s="192" t="n">
        <v>50270</v>
      </c>
      <c r="H44" s="193" t="n">
        <v>0</v>
      </c>
      <c r="I44" s="192" t="n">
        <f aca="false">G44-H44</f>
        <v>50270</v>
      </c>
    </row>
    <row r="45" customFormat="false" ht="15.75" hidden="false" customHeight="false" outlineLevel="0" collapsed="false">
      <c r="B45" s="191" t="s">
        <v>33</v>
      </c>
      <c r="C45" s="191" t="s">
        <v>86</v>
      </c>
      <c r="D45" s="221" t="n">
        <v>65066</v>
      </c>
      <c r="E45" s="222" t="s">
        <v>37</v>
      </c>
      <c r="F45" s="191" t="s">
        <v>1</v>
      </c>
      <c r="G45" s="192" t="n">
        <v>38000</v>
      </c>
      <c r="H45" s="193" t="n">
        <v>35515</v>
      </c>
      <c r="I45" s="192" t="n">
        <f aca="false">G45-H45</f>
        <v>2485</v>
      </c>
    </row>
    <row r="46" customFormat="false" ht="15.75" hidden="false" customHeight="false" outlineLevel="0" collapsed="false">
      <c r="G46" s="207"/>
      <c r="H46" s="207"/>
      <c r="I46" s="207"/>
    </row>
    <row r="47" customFormat="false" ht="16.5" hidden="false" customHeight="false" outlineLevel="0" collapsed="false">
      <c r="A47" s="223"/>
      <c r="B47" s="208"/>
      <c r="C47" s="177"/>
      <c r="D47" s="172"/>
      <c r="E47" s="172"/>
      <c r="F47" s="172"/>
      <c r="H47" s="1"/>
      <c r="I47" s="1"/>
    </row>
    <row r="48" customFormat="false" ht="15.75" hidden="false" customHeight="false" outlineLevel="0" collapsed="false">
      <c r="B48" s="224"/>
      <c r="C48" s="223"/>
      <c r="D48" s="225"/>
      <c r="E48" s="226" t="s">
        <v>87</v>
      </c>
      <c r="F48" s="227" t="s">
        <v>8</v>
      </c>
      <c r="G48" s="228" t="s">
        <v>57</v>
      </c>
      <c r="H48" s="223"/>
      <c r="I48" s="223"/>
    </row>
    <row r="49" customFormat="false" ht="15" hidden="false" customHeight="true" outlineLevel="0" collapsed="false">
      <c r="B49" s="208"/>
      <c r="C49" s="172"/>
      <c r="D49" s="229" t="s">
        <v>88</v>
      </c>
      <c r="E49" s="230" t="n">
        <f aca="false">SUM(G13,G14,G15,G16,G39,G40,G41)</f>
        <v>197848</v>
      </c>
      <c r="F49" s="231" t="n">
        <f aca="false">SUM(H13,H14,H15,H16,H39,H40,H41)</f>
        <v>-23124</v>
      </c>
      <c r="G49" s="232" t="n">
        <f aca="false">E49-F49</f>
        <v>220972</v>
      </c>
    </row>
    <row r="50" customFormat="false" ht="8.25" hidden="false" customHeight="true" outlineLevel="0" collapsed="false">
      <c r="B50" s="168"/>
      <c r="C50" s="172"/>
      <c r="D50" s="206"/>
      <c r="E50" s="233"/>
      <c r="F50" s="234"/>
      <c r="G50" s="235"/>
    </row>
    <row r="51" customFormat="false" ht="18.75" hidden="false" customHeight="true" outlineLevel="0" collapsed="false">
      <c r="B51" s="168"/>
      <c r="C51" s="172"/>
      <c r="D51" s="236" t="s">
        <v>89</v>
      </c>
      <c r="E51" s="237" t="n">
        <f aca="false">SUM(G17,G18,G19,G20,G21,G22,G23,G42,G43,G44,G45)</f>
        <v>140580</v>
      </c>
      <c r="F51" s="238" t="n">
        <f aca="false">SUM(H17,H18,H19,H20,H21,H22,H23,H42,H43,H44,H45)</f>
        <v>46900</v>
      </c>
      <c r="G51" s="239" t="n">
        <f aca="false">E51-F51</f>
        <v>93680</v>
      </c>
    </row>
    <row r="52" customFormat="false" ht="10.5" hidden="false" customHeight="true" outlineLevel="0" collapsed="false">
      <c r="E52" s="233"/>
      <c r="F52" s="234"/>
      <c r="G52" s="235"/>
    </row>
    <row r="53" customFormat="false" ht="16.5" hidden="false" customHeight="false" outlineLevel="0" collapsed="false">
      <c r="D53" s="168" t="s">
        <v>90</v>
      </c>
      <c r="E53" s="240" t="n">
        <f aca="false">SUM(E49+E51)</f>
        <v>338428</v>
      </c>
      <c r="F53" s="241" t="n">
        <f aca="false">F49+F51</f>
        <v>23776</v>
      </c>
      <c r="G53" s="242" t="n">
        <f aca="false">G49+G51</f>
        <v>314652</v>
      </c>
    </row>
    <row r="54" customFormat="false" ht="16.5" hidden="false" customHeight="false" outlineLevel="0" collapsed="false"/>
    <row r="55" customFormat="false" ht="16.5" hidden="false" customHeight="false" outlineLevel="0" collapsed="false">
      <c r="B55" s="243"/>
      <c r="C55" s="244"/>
      <c r="D55" s="245"/>
      <c r="E55" s="245" t="s">
        <v>91</v>
      </c>
      <c r="F55" s="246" t="n">
        <f aca="false">F2</f>
        <v>45927</v>
      </c>
      <c r="G55" s="246"/>
      <c r="H55" s="244"/>
      <c r="I55" s="247"/>
    </row>
    <row r="56" customFormat="false" ht="12" hidden="false" customHeight="false" outlineLevel="0" collapsed="false">
      <c r="A56" s="248"/>
      <c r="B56" s="249"/>
      <c r="C56" s="250" t="s">
        <v>92</v>
      </c>
      <c r="D56" s="250" t="s">
        <v>93</v>
      </c>
      <c r="E56" s="250" t="s">
        <v>94</v>
      </c>
      <c r="F56" s="250"/>
      <c r="G56" s="250"/>
      <c r="H56" s="250"/>
      <c r="I56" s="251"/>
    </row>
    <row r="57" customFormat="false" ht="15.75" hidden="false" customHeight="false" outlineLevel="0" collapsed="false">
      <c r="B57" s="252"/>
      <c r="C57" s="172" t="s">
        <v>95</v>
      </c>
      <c r="D57" s="172" t="s">
        <v>96</v>
      </c>
      <c r="E57" s="172" t="n">
        <v>0</v>
      </c>
      <c r="F57" s="172"/>
      <c r="G57" s="172"/>
      <c r="H57" s="172"/>
      <c r="I57" s="253"/>
    </row>
    <row r="58" customFormat="false" ht="15.75" hidden="false" customHeight="false" outlineLevel="0" collapsed="false">
      <c r="B58" s="252"/>
      <c r="C58" s="254" t="s">
        <v>97</v>
      </c>
      <c r="D58" s="254" t="s">
        <v>98</v>
      </c>
      <c r="E58" s="254" t="n">
        <v>0</v>
      </c>
      <c r="F58" s="172"/>
      <c r="G58" s="172"/>
      <c r="H58" s="172"/>
      <c r="I58" s="253"/>
    </row>
    <row r="59" customFormat="false" ht="15.75" hidden="false" customHeight="false" outlineLevel="0" collapsed="false">
      <c r="B59" s="252"/>
      <c r="C59" s="254" t="s">
        <v>99</v>
      </c>
      <c r="D59" s="254" t="s">
        <v>100</v>
      </c>
      <c r="E59" s="254" t="n">
        <v>0</v>
      </c>
      <c r="F59" s="172"/>
      <c r="G59" s="172"/>
      <c r="H59" s="172"/>
      <c r="I59" s="253"/>
    </row>
    <row r="60" customFormat="false" ht="15.75" hidden="false" customHeight="false" outlineLevel="0" collapsed="false">
      <c r="B60" s="252"/>
      <c r="C60" s="172" t="s">
        <v>101</v>
      </c>
      <c r="D60" s="172" t="s">
        <v>102</v>
      </c>
      <c r="E60" s="172" t="n">
        <v>0</v>
      </c>
      <c r="F60" s="172"/>
      <c r="G60" s="172"/>
      <c r="H60" s="172"/>
      <c r="I60" s="253"/>
    </row>
    <row r="61" customFormat="false" ht="15.75" hidden="false" customHeight="false" outlineLevel="0" collapsed="false">
      <c r="B61" s="252"/>
      <c r="C61" s="172" t="s">
        <v>101</v>
      </c>
      <c r="D61" s="172" t="s">
        <v>103</v>
      </c>
      <c r="E61" s="172" t="n">
        <v>0</v>
      </c>
      <c r="F61" s="172"/>
      <c r="G61" s="172"/>
      <c r="H61" s="172"/>
      <c r="I61" s="253"/>
    </row>
    <row r="62" customFormat="false" ht="15.75" hidden="false" customHeight="false" outlineLevel="0" collapsed="false">
      <c r="B62" s="252"/>
      <c r="C62" s="255" t="s">
        <v>101</v>
      </c>
      <c r="D62" s="255" t="s">
        <v>104</v>
      </c>
      <c r="E62" s="255" t="n">
        <v>0</v>
      </c>
      <c r="F62" s="172"/>
      <c r="G62" s="172"/>
      <c r="H62" s="172"/>
      <c r="I62" s="253"/>
    </row>
    <row r="63" customFormat="false" ht="15.75" hidden="false" customHeight="false" outlineLevel="0" collapsed="false">
      <c r="B63" s="252"/>
      <c r="C63" s="172" t="s">
        <v>105</v>
      </c>
      <c r="D63" s="172" t="s">
        <v>106</v>
      </c>
      <c r="E63" s="172" t="n">
        <v>0</v>
      </c>
      <c r="F63" s="172"/>
      <c r="G63" s="172"/>
      <c r="H63" s="172"/>
      <c r="I63" s="253"/>
    </row>
    <row r="64" customFormat="false" ht="15.75" hidden="false" customHeight="false" outlineLevel="0" collapsed="false">
      <c r="B64" s="252"/>
      <c r="C64" s="172" t="s">
        <v>105</v>
      </c>
      <c r="D64" s="172" t="s">
        <v>107</v>
      </c>
      <c r="E64" s="172" t="n">
        <v>0</v>
      </c>
      <c r="F64" s="172"/>
      <c r="G64" s="172"/>
      <c r="H64" s="172"/>
      <c r="I64" s="253"/>
    </row>
    <row r="65" customFormat="false" ht="15.75" hidden="false" customHeight="false" outlineLevel="0" collapsed="false">
      <c r="B65" s="252"/>
      <c r="C65" s="172" t="s">
        <v>105</v>
      </c>
      <c r="D65" s="172" t="s">
        <v>108</v>
      </c>
      <c r="E65" s="172" t="n">
        <v>0</v>
      </c>
      <c r="F65" s="172"/>
      <c r="G65" s="172"/>
      <c r="H65" s="172"/>
      <c r="I65" s="253"/>
    </row>
    <row r="66" customFormat="false" ht="16.5" hidden="false" customHeight="false" outlineLevel="0" collapsed="false">
      <c r="B66" s="252"/>
      <c r="C66" s="172" t="s">
        <v>105</v>
      </c>
      <c r="D66" s="172" t="s">
        <v>109</v>
      </c>
      <c r="E66" s="172" t="n">
        <v>0</v>
      </c>
      <c r="F66" s="172"/>
      <c r="G66" s="172"/>
      <c r="H66" s="172"/>
      <c r="I66" s="253"/>
    </row>
    <row r="67" customFormat="false" ht="18.75" hidden="false" customHeight="false" outlineLevel="0" collapsed="false">
      <c r="B67" s="252"/>
      <c r="C67" s="172"/>
      <c r="D67" s="172"/>
      <c r="E67" s="256" t="n">
        <f aca="false">SUM(E57:E66)</f>
        <v>0</v>
      </c>
      <c r="F67" s="172"/>
      <c r="G67" s="172"/>
      <c r="H67" s="172"/>
      <c r="I67" s="253"/>
    </row>
    <row r="68" customFormat="false" ht="16.5" hidden="false" customHeight="false" outlineLevel="0" collapsed="false">
      <c r="B68" s="257"/>
      <c r="C68" s="258"/>
      <c r="D68" s="258"/>
      <c r="E68" s="258"/>
      <c r="F68" s="258"/>
      <c r="G68" s="258"/>
      <c r="H68" s="258"/>
      <c r="I68" s="259"/>
    </row>
    <row r="69" customFormat="false" ht="16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45926.8985798187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37019</v>
      </c>
      <c r="F4" s="320"/>
      <c r="G4" s="314"/>
      <c r="H4" s="321" t="n">
        <v>37020</v>
      </c>
      <c r="I4" s="322"/>
      <c r="J4" s="321" t="n">
        <v>37021</v>
      </c>
      <c r="K4" s="322"/>
      <c r="L4" s="321" t="n">
        <v>37022</v>
      </c>
      <c r="M4" s="322"/>
      <c r="N4" s="321" t="n">
        <v>37023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7" t="s">
        <v>129</v>
      </c>
      <c r="F5" s="325"/>
      <c r="G5" s="326"/>
      <c r="H5" s="327" t="s">
        <v>130</v>
      </c>
      <c r="I5" s="326"/>
      <c r="J5" s="327" t="s">
        <v>131</v>
      </c>
      <c r="K5" s="326"/>
      <c r="L5" s="327" t="s">
        <v>132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71</v>
      </c>
      <c r="F8" s="341" t="n">
        <v>53</v>
      </c>
      <c r="G8" s="342"/>
      <c r="H8" s="335" t="n">
        <v>69</v>
      </c>
      <c r="I8" s="342" t="n">
        <v>52</v>
      </c>
      <c r="J8" s="335" t="n">
        <v>77</v>
      </c>
      <c r="K8" s="342" t="n">
        <v>56</v>
      </c>
      <c r="L8" s="335" t="n">
        <v>87</v>
      </c>
      <c r="M8" s="342" t="n">
        <v>62</v>
      </c>
      <c r="N8" s="335" t="n">
        <v>80</v>
      </c>
      <c r="O8" s="342" t="n">
        <v>61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-3</v>
      </c>
      <c r="F9" s="347"/>
      <c r="G9" s="348"/>
      <c r="H9" s="349" t="n">
        <f aca="false">(H8+I8)/2-65</f>
        <v>-4.5</v>
      </c>
      <c r="I9" s="344"/>
      <c r="J9" s="349" t="n">
        <f aca="false">(J8+K8)/2-65</f>
        <v>1.5</v>
      </c>
      <c r="K9" s="344"/>
      <c r="L9" s="349" t="n">
        <f aca="false">(L8+M8)/2-65</f>
        <v>9.5</v>
      </c>
      <c r="M9" s="344"/>
      <c r="N9" s="349" t="n">
        <f aca="false">(N8+O8)/2-65</f>
        <v>5.5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49051</v>
      </c>
      <c r="F11" s="353"/>
      <c r="G11" s="314"/>
      <c r="H11" s="355" t="n">
        <v>48963</v>
      </c>
      <c r="I11" s="316"/>
      <c r="J11" s="355" t="n">
        <v>47698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51625.26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-2574.26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37051</v>
      </c>
      <c r="F16" s="357"/>
      <c r="G16" s="314"/>
      <c r="H16" s="361" t="n">
        <f aca="false">H11-H17</f>
        <v>36963</v>
      </c>
      <c r="I16" s="316"/>
      <c r="J16" s="361" t="n">
        <f aca="false">J11-J17</f>
        <v>35698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11055</v>
      </c>
      <c r="F35" s="391"/>
      <c r="G35" s="392"/>
      <c r="H35" s="393" t="n">
        <v>26426</v>
      </c>
      <c r="I35" s="394" t="n">
        <f aca="false">H35+H43</f>
        <v>23855</v>
      </c>
      <c r="J35" s="393" t="n">
        <f aca="false">11789</f>
        <v>11789</v>
      </c>
      <c r="K35" s="394" t="n">
        <f aca="false">J35+J43</f>
        <v>9218</v>
      </c>
      <c r="L35" s="393" t="n">
        <f aca="false">11789</f>
        <v>11789</v>
      </c>
      <c r="M35" s="394" t="n">
        <f aca="false">L35+L43</f>
        <v>9218</v>
      </c>
      <c r="N35" s="393" t="n">
        <f aca="false">11789</f>
        <v>11789</v>
      </c>
      <c r="O35" s="394" t="n">
        <f aca="false">N35+N43</f>
        <v>9218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11055</v>
      </c>
      <c r="F37" s="400" t="s">
        <v>161</v>
      </c>
      <c r="G37" s="388"/>
      <c r="H37" s="401" t="n">
        <f aca="false">SUM(H34:H36)</f>
        <v>26426</v>
      </c>
      <c r="I37" s="402" t="s">
        <v>161</v>
      </c>
      <c r="J37" s="401" t="n">
        <f aca="false">SUM(J34:J36)</f>
        <v>11789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-8766</v>
      </c>
      <c r="F38" s="386"/>
      <c r="G38" s="387"/>
      <c r="H38" s="393" t="n">
        <v>-24083</v>
      </c>
      <c r="I38" s="316"/>
      <c r="J38" s="393" t="n">
        <v>-10711</v>
      </c>
      <c r="K38" s="316"/>
      <c r="L38" s="393" t="n">
        <v>-10500</v>
      </c>
      <c r="M38" s="316"/>
      <c r="N38" s="393" t="n">
        <v>-10500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9423</v>
      </c>
      <c r="F39" s="386"/>
      <c r="G39" s="387"/>
      <c r="H39" s="393" t="n">
        <v>7325</v>
      </c>
      <c r="I39" s="316"/>
      <c r="J39" s="393" t="n">
        <v>7325</v>
      </c>
      <c r="K39" s="316"/>
      <c r="L39" s="393" t="n">
        <v>7325</v>
      </c>
      <c r="M39" s="316"/>
      <c r="N39" s="393" t="n">
        <v>7325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9141</v>
      </c>
      <c r="F44" s="407"/>
      <c r="G44" s="408"/>
      <c r="H44" s="378" t="n">
        <f aca="false">SUM(H37:H43)</f>
        <v>7097</v>
      </c>
      <c r="I44" s="409"/>
      <c r="J44" s="378" t="n">
        <f aca="false">SUM(J37:J43)</f>
        <v>5832</v>
      </c>
      <c r="K44" s="409"/>
      <c r="L44" s="378" t="n">
        <f aca="false">SUM(L37:L43)</f>
        <v>6043</v>
      </c>
      <c r="M44" s="409"/>
      <c r="N44" s="378" t="n">
        <f aca="false">SUM(N37:N43)</f>
        <v>6043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14235</v>
      </c>
      <c r="F49" s="391"/>
      <c r="G49" s="392"/>
      <c r="H49" s="410" t="n">
        <v>15574</v>
      </c>
      <c r="I49" s="411"/>
      <c r="J49" s="410" t="n">
        <v>15933</v>
      </c>
      <c r="K49" s="411"/>
      <c r="L49" s="410" t="n">
        <v>10935</v>
      </c>
      <c r="M49" s="411"/>
      <c r="N49" s="410" t="n">
        <v>10935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-13395</v>
      </c>
      <c r="F50" s="386"/>
      <c r="G50" s="387"/>
      <c r="H50" s="415" t="n">
        <v>-15574</v>
      </c>
      <c r="I50" s="316"/>
      <c r="J50" s="415" t="n">
        <v>-15933</v>
      </c>
      <c r="K50" s="316"/>
      <c r="L50" s="415" t="n">
        <v>-10935</v>
      </c>
      <c r="M50" s="316"/>
      <c r="N50" s="415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840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6129</v>
      </c>
      <c r="F52" s="386"/>
      <c r="G52" s="387"/>
      <c r="H52" s="393" t="n">
        <v>6351</v>
      </c>
      <c r="I52" s="316"/>
      <c r="J52" s="393" t="n">
        <v>6351</v>
      </c>
      <c r="K52" s="316"/>
      <c r="L52" s="393" t="n">
        <v>6351</v>
      </c>
      <c r="M52" s="316"/>
      <c r="N52" s="393" t="n">
        <v>6351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6969</v>
      </c>
      <c r="F56" s="419"/>
      <c r="G56" s="420"/>
      <c r="H56" s="378" t="n">
        <f aca="false">SUM(H51:H55)</f>
        <v>6351</v>
      </c>
      <c r="I56" s="421"/>
      <c r="J56" s="378" t="n">
        <f aca="false">SUM(J51:J55)</f>
        <v>6351</v>
      </c>
      <c r="K56" s="421"/>
      <c r="L56" s="378" t="n">
        <f aca="false">SUM(L51:L55)</f>
        <v>6351</v>
      </c>
      <c r="M56" s="421"/>
      <c r="N56" s="378" t="n">
        <f aca="false">SUM(N51:N55)</f>
        <v>6351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6951.5775</v>
      </c>
      <c r="F57" s="386"/>
      <c r="G57" s="314"/>
      <c r="H57" s="374" t="n">
        <f aca="false">H56*0.9975</f>
        <v>6335.1225</v>
      </c>
      <c r="I57" s="316"/>
      <c r="J57" s="374" t="n">
        <f aca="false">J56*0.9975</f>
        <v>6335.1225</v>
      </c>
      <c r="K57" s="316"/>
      <c r="L57" s="374" t="n">
        <f aca="false">L56*0.9975</f>
        <v>6335.1225</v>
      </c>
      <c r="M57" s="316"/>
      <c r="N57" s="374" t="n">
        <f aca="false">N56*0.9975</f>
        <v>6335.1225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0.134654576073806</v>
      </c>
      <c r="F58" s="386"/>
      <c r="G58" s="314"/>
      <c r="H58" s="423" t="n">
        <f aca="false">H57/H66</f>
        <v>0.129385226800666</v>
      </c>
      <c r="I58" s="316"/>
      <c r="J58" s="423" t="n">
        <f aca="false">J57/J66</f>
        <v>0.132816637336456</v>
      </c>
      <c r="K58" s="316"/>
      <c r="L58" s="423" t="n">
        <f aca="false">L57/L66</f>
        <v>0.132231691743934</v>
      </c>
      <c r="M58" s="316"/>
      <c r="N58" s="423" t="n">
        <f aca="false">N57/N66</f>
        <v>0.132231691743934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51625.26</v>
      </c>
      <c r="F66" s="434"/>
      <c r="G66" s="314"/>
      <c r="H66" s="427" t="n">
        <f aca="false">H29+H44+H56+H61+H62</f>
        <v>48963.26</v>
      </c>
      <c r="I66" s="316"/>
      <c r="J66" s="427" t="n">
        <f aca="false">J29+J44+J56+J61+J62</f>
        <v>47698.26</v>
      </c>
      <c r="K66" s="316"/>
      <c r="L66" s="427" t="n">
        <f aca="false">L29+L44+L56+L61+L62</f>
        <v>47909.26</v>
      </c>
      <c r="M66" s="316"/>
      <c r="N66" s="427" t="n">
        <f aca="false">N29+N44+N56+N61+N62</f>
        <v>47909.26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211.260000000002</v>
      </c>
      <c r="M68" s="316"/>
      <c r="N68" s="437" t="n">
        <f aca="false">N66-N11</f>
        <v>211.260000000002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3" ySplit="9" topLeftCell="E10" activePane="bottomRight" state="frozen"/>
      <selection pane="topLeft" activeCell="B1" activeCellId="0" sqref="B1"/>
      <selection pane="topRight" activeCell="E1" activeCellId="0" sqref="E1"/>
      <selection pane="bottomLeft" activeCell="B10" activeCellId="0" sqref="B10"/>
      <selection pane="bottomRight" activeCell="B10" activeCellId="0" sqref="B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45926.8985798436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37018</v>
      </c>
      <c r="F4" s="320"/>
      <c r="G4" s="314"/>
      <c r="H4" s="321" t="n">
        <v>37019</v>
      </c>
      <c r="I4" s="322"/>
      <c r="J4" s="321" t="n">
        <v>37020</v>
      </c>
      <c r="K4" s="322"/>
      <c r="L4" s="321" t="n">
        <v>37021</v>
      </c>
      <c r="M4" s="322"/>
      <c r="N4" s="321" t="n">
        <v>37022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7" t="s">
        <v>193</v>
      </c>
      <c r="F5" s="325"/>
      <c r="G5" s="326"/>
      <c r="H5" s="327" t="s">
        <v>129</v>
      </c>
      <c r="I5" s="326"/>
      <c r="J5" s="327" t="s">
        <v>130</v>
      </c>
      <c r="K5" s="326"/>
      <c r="L5" s="327" t="s">
        <v>131</v>
      </c>
      <c r="M5" s="326"/>
      <c r="N5" s="327" t="s">
        <v>132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64</v>
      </c>
      <c r="F8" s="341" t="n">
        <v>52</v>
      </c>
      <c r="G8" s="342"/>
      <c r="H8" s="335" t="n">
        <v>61</v>
      </c>
      <c r="I8" s="342" t="n">
        <v>48</v>
      </c>
      <c r="J8" s="335" t="n">
        <v>69</v>
      </c>
      <c r="K8" s="342" t="n">
        <v>50</v>
      </c>
      <c r="L8" s="335" t="n">
        <v>74</v>
      </c>
      <c r="M8" s="342" t="n">
        <v>51</v>
      </c>
      <c r="N8" s="335" t="n">
        <v>81</v>
      </c>
      <c r="O8" s="342" t="n">
        <v>55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-7</v>
      </c>
      <c r="F9" s="347"/>
      <c r="G9" s="348"/>
      <c r="H9" s="349" t="n">
        <f aca="false">(H8+I8)/2-65</f>
        <v>-10.5</v>
      </c>
      <c r="I9" s="344"/>
      <c r="J9" s="349" t="n">
        <f aca="false">(J8+K8)/2-65</f>
        <v>-5.5</v>
      </c>
      <c r="K9" s="344"/>
      <c r="L9" s="349" t="n">
        <f aca="false">(L8+M8)/2-65</f>
        <v>-2.5</v>
      </c>
      <c r="M9" s="344"/>
      <c r="N9" s="349" t="n">
        <f aca="false">(N8+O8)/2-65</f>
        <v>3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47698</v>
      </c>
      <c r="F11" s="353"/>
      <c r="G11" s="314"/>
      <c r="H11" s="354" t="n">
        <v>49051</v>
      </c>
      <c r="I11" s="316"/>
      <c r="J11" s="355" t="n">
        <v>48963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57591.26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-9893.26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35698</v>
      </c>
      <c r="F16" s="357"/>
      <c r="G16" s="314"/>
      <c r="H16" s="361" t="n">
        <f aca="false">H11-H17</f>
        <v>37051</v>
      </c>
      <c r="I16" s="316"/>
      <c r="J16" s="361" t="n">
        <f aca="false">J11-J17</f>
        <v>36963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8484</v>
      </c>
      <c r="F35" s="391"/>
      <c r="G35" s="392"/>
      <c r="H35" s="393" t="n">
        <f aca="false">11789-1131</f>
        <v>10658</v>
      </c>
      <c r="I35" s="394" t="n">
        <f aca="false">H35+H42</f>
        <v>10658</v>
      </c>
      <c r="J35" s="393" t="n">
        <v>26426</v>
      </c>
      <c r="K35" s="394" t="n">
        <f aca="false">J35+J42</f>
        <v>26426</v>
      </c>
      <c r="L35" s="393" t="n">
        <f aca="false">11789</f>
        <v>11789</v>
      </c>
      <c r="M35" s="394" t="n">
        <f aca="false">11789-2174</f>
        <v>9615</v>
      </c>
      <c r="N35" s="393" t="n">
        <f aca="false">11789</f>
        <v>11789</v>
      </c>
      <c r="O35" s="394" t="n">
        <f aca="false">11789-2174</f>
        <v>9615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v>10658</v>
      </c>
      <c r="F37" s="400" t="s">
        <v>161</v>
      </c>
      <c r="G37" s="388"/>
      <c r="H37" s="401" t="n">
        <f aca="false">SUM(H34:H36)</f>
        <v>10658</v>
      </c>
      <c r="I37" s="402" t="s">
        <v>161</v>
      </c>
      <c r="J37" s="401" t="n">
        <f aca="false">SUM(J34:J36)</f>
        <v>26426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195</v>
      </c>
      <c r="C38" s="355" t="n">
        <f aca="false">49030</f>
        <v>49030</v>
      </c>
      <c r="D38" s="316"/>
      <c r="E38" s="385" t="n">
        <v>-6539</v>
      </c>
      <c r="F38" s="386"/>
      <c r="G38" s="387"/>
      <c r="H38" s="403" t="n">
        <v>-10500</v>
      </c>
      <c r="I38" s="316"/>
      <c r="J38" s="393" t="n">
        <v>-25703</v>
      </c>
      <c r="K38" s="316"/>
      <c r="L38" s="393" t="n">
        <v>-10500</v>
      </c>
      <c r="M38" s="316"/>
      <c r="N38" s="393" t="n">
        <v>-10500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9423</v>
      </c>
      <c r="F39" s="386"/>
      <c r="G39" s="387"/>
      <c r="H39" s="393" t="n">
        <v>9423</v>
      </c>
      <c r="I39" s="316"/>
      <c r="J39" s="393" t="n">
        <v>8548</v>
      </c>
      <c r="K39" s="316"/>
      <c r="L39" s="393" t="n">
        <v>8548</v>
      </c>
      <c r="M39" s="316"/>
      <c r="N39" s="393" t="n">
        <v>8548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-2174</v>
      </c>
      <c r="F43" s="381" t="s">
        <v>161</v>
      </c>
      <c r="G43" s="382"/>
      <c r="H43" s="401" t="n">
        <v>-2174</v>
      </c>
      <c r="I43" s="401" t="s">
        <v>161</v>
      </c>
      <c r="J43" s="401" t="n">
        <v>-2174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11368</v>
      </c>
      <c r="F44" s="407"/>
      <c r="G44" s="408"/>
      <c r="H44" s="378" t="n">
        <f aca="false">SUM(H37:H43)</f>
        <v>7407</v>
      </c>
      <c r="I44" s="409"/>
      <c r="J44" s="378" t="n">
        <f aca="false">SUM(J37:J43)</f>
        <v>7097</v>
      </c>
      <c r="K44" s="409"/>
      <c r="L44" s="378" t="n">
        <f aca="false">SUM(L37:L43)</f>
        <v>7266</v>
      </c>
      <c r="M44" s="409"/>
      <c r="N44" s="378" t="n">
        <f aca="false">SUM(N37:N43)</f>
        <v>7266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14235</v>
      </c>
      <c r="F49" s="391"/>
      <c r="G49" s="392"/>
      <c r="H49" s="410" t="n">
        <v>14235</v>
      </c>
      <c r="I49" s="411"/>
      <c r="J49" s="410" t="n">
        <v>15574</v>
      </c>
      <c r="K49" s="411"/>
      <c r="L49" s="410" t="n">
        <v>10935</v>
      </c>
      <c r="M49" s="411"/>
      <c r="N49" s="410" t="n">
        <v>10935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-9656</v>
      </c>
      <c r="F50" s="386"/>
      <c r="G50" s="387"/>
      <c r="H50" s="469" t="n">
        <v>-14235</v>
      </c>
      <c r="I50" s="316"/>
      <c r="J50" s="415" t="n">
        <v>-15574</v>
      </c>
      <c r="K50" s="316"/>
      <c r="L50" s="415" t="n">
        <v>-10935</v>
      </c>
      <c r="M50" s="316"/>
      <c r="N50" s="415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4579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6129</v>
      </c>
      <c r="F52" s="386"/>
      <c r="G52" s="387"/>
      <c r="H52" s="393" t="n">
        <v>6129</v>
      </c>
      <c r="I52" s="316"/>
      <c r="J52" s="393" t="n">
        <v>6351</v>
      </c>
      <c r="K52" s="316"/>
      <c r="L52" s="393" t="n">
        <v>6351</v>
      </c>
      <c r="M52" s="316"/>
      <c r="N52" s="393" t="n">
        <v>6351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10708</v>
      </c>
      <c r="F56" s="419"/>
      <c r="G56" s="420"/>
      <c r="H56" s="378" t="n">
        <f aca="false">SUM(H51:H55)</f>
        <v>6129</v>
      </c>
      <c r="I56" s="421"/>
      <c r="J56" s="378" t="n">
        <f aca="false">SUM(J51:J55)</f>
        <v>6351</v>
      </c>
      <c r="K56" s="421"/>
      <c r="L56" s="378" t="n">
        <f aca="false">SUM(L51:L55)</f>
        <v>6351</v>
      </c>
      <c r="M56" s="421"/>
      <c r="N56" s="378" t="n">
        <f aca="false">SUM(N51:N55)</f>
        <v>6351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10681.23</v>
      </c>
      <c r="F57" s="386"/>
      <c r="G57" s="314"/>
      <c r="H57" s="374" t="n">
        <f aca="false">H56*0.9975</f>
        <v>6113.6775</v>
      </c>
      <c r="I57" s="316"/>
      <c r="J57" s="374" t="n">
        <f aca="false">J56*0.9975</f>
        <v>6335.1225</v>
      </c>
      <c r="K57" s="316"/>
      <c r="L57" s="374" t="n">
        <f aca="false">L56*0.9975</f>
        <v>6335.1225</v>
      </c>
      <c r="M57" s="316"/>
      <c r="N57" s="374" t="n">
        <f aca="false">N56*0.9975</f>
        <v>6335.1225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0.185466162747611</v>
      </c>
      <c r="F58" s="386"/>
      <c r="G58" s="314"/>
      <c r="H58" s="423" t="n">
        <f aca="false">H57/H66</f>
        <v>0.124638541395267</v>
      </c>
      <c r="I58" s="316"/>
      <c r="J58" s="423" t="n">
        <f aca="false">J57/J66</f>
        <v>0.129385226800666</v>
      </c>
      <c r="K58" s="316"/>
      <c r="L58" s="423" t="n">
        <f aca="false">L57/L66</f>
        <v>0.128940181054159</v>
      </c>
      <c r="M58" s="316"/>
      <c r="N58" s="423" t="n">
        <f aca="false">N57/N66</f>
        <v>0.128940181054159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57591.26</v>
      </c>
      <c r="F66" s="434"/>
      <c r="G66" s="314"/>
      <c r="H66" s="427" t="n">
        <f aca="false">H29+H44+H56+H61+H62</f>
        <v>49051.26</v>
      </c>
      <c r="I66" s="316"/>
      <c r="J66" s="427" t="n">
        <f aca="false">J29+J44+J56+J61+J62</f>
        <v>48963.26</v>
      </c>
      <c r="K66" s="316"/>
      <c r="L66" s="427" t="n">
        <f aca="false">L29+L44+L56+L61+L62</f>
        <v>49132.26</v>
      </c>
      <c r="M66" s="316"/>
      <c r="N66" s="427" t="n">
        <f aca="false">N29+N44+N56+N61+N62</f>
        <v>49132.26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1434.26</v>
      </c>
      <c r="M68" s="316"/>
      <c r="N68" s="437" t="n">
        <f aca="false">N66-N11</f>
        <v>1434.26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E10" activeCellId="0" sqref="E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45926.8985798663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21" t="n">
        <v>37017</v>
      </c>
      <c r="F4" s="320"/>
      <c r="G4" s="314"/>
      <c r="H4" s="321" t="n">
        <v>37018</v>
      </c>
      <c r="I4" s="322"/>
      <c r="J4" s="321" t="n">
        <v>37019</v>
      </c>
      <c r="K4" s="322"/>
      <c r="L4" s="321" t="n">
        <v>37020</v>
      </c>
      <c r="M4" s="322"/>
      <c r="N4" s="321" t="n">
        <v>37021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7" t="s">
        <v>194</v>
      </c>
      <c r="F5" s="325"/>
      <c r="G5" s="326"/>
      <c r="H5" s="327" t="s">
        <v>193</v>
      </c>
      <c r="I5" s="326"/>
      <c r="J5" s="327" t="s">
        <v>129</v>
      </c>
      <c r="K5" s="326"/>
      <c r="L5" s="327" t="s">
        <v>130</v>
      </c>
      <c r="M5" s="326"/>
      <c r="N5" s="327" t="s">
        <v>131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64</v>
      </c>
      <c r="F8" s="341" t="n">
        <v>52</v>
      </c>
      <c r="G8" s="342"/>
      <c r="H8" s="335" t="n">
        <v>61</v>
      </c>
      <c r="I8" s="342" t="n">
        <v>48</v>
      </c>
      <c r="J8" s="335" t="n">
        <v>69</v>
      </c>
      <c r="K8" s="342" t="n">
        <v>50</v>
      </c>
      <c r="L8" s="335" t="n">
        <v>74</v>
      </c>
      <c r="M8" s="342" t="n">
        <v>51</v>
      </c>
      <c r="N8" s="335" t="n">
        <v>81</v>
      </c>
      <c r="O8" s="342" t="n">
        <v>55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-7</v>
      </c>
      <c r="F9" s="347"/>
      <c r="G9" s="348"/>
      <c r="H9" s="349" t="n">
        <f aca="false">(H8+I8)/2-65</f>
        <v>-10.5</v>
      </c>
      <c r="I9" s="344"/>
      <c r="J9" s="349" t="n">
        <f aca="false">(J8+K8)/2-65</f>
        <v>-5.5</v>
      </c>
      <c r="K9" s="344"/>
      <c r="L9" s="349" t="n">
        <f aca="false">(L8+M8)/2-65</f>
        <v>-2.5</v>
      </c>
      <c r="M9" s="344"/>
      <c r="N9" s="349" t="n">
        <f aca="false">(N8+O8)/2-65</f>
        <v>3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5" t="n">
        <v>50007</v>
      </c>
      <c r="F11" s="353"/>
      <c r="G11" s="314"/>
      <c r="H11" s="355" t="n">
        <v>50482</v>
      </c>
      <c r="I11" s="316"/>
      <c r="J11" s="355" t="n">
        <v>49051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51791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-1784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38007</v>
      </c>
      <c r="F16" s="357"/>
      <c r="G16" s="314"/>
      <c r="H16" s="361" t="n">
        <f aca="false">H11-H17</f>
        <v>38482</v>
      </c>
      <c r="I16" s="316"/>
      <c r="J16" s="361" t="n">
        <f aca="false">J11-J17</f>
        <v>37051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0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0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0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0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v>35515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9440+2174</f>
        <v>11614</v>
      </c>
      <c r="F35" s="391"/>
      <c r="G35" s="392"/>
      <c r="H35" s="393" t="n">
        <f aca="false">9305+2302+7</f>
        <v>11614</v>
      </c>
      <c r="I35" s="373" t="n">
        <v>9440</v>
      </c>
      <c r="J35" s="393" t="n">
        <f aca="false">11789-1131</f>
        <v>10658</v>
      </c>
      <c r="K35" s="374" t="n">
        <f aca="false">J35+J42</f>
        <v>8484</v>
      </c>
      <c r="L35" s="393" t="n">
        <f aca="false">11789</f>
        <v>11789</v>
      </c>
      <c r="M35" s="373" t="n">
        <f aca="false">11789-2174</f>
        <v>9615</v>
      </c>
      <c r="N35" s="393" t="n">
        <f aca="false">11789</f>
        <v>11789</v>
      </c>
      <c r="O35" s="373" t="n">
        <f aca="false">11789-2174</f>
        <v>9615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11614</v>
      </c>
      <c r="F37" s="400" t="s">
        <v>161</v>
      </c>
      <c r="G37" s="388"/>
      <c r="H37" s="401" t="n">
        <f aca="false">SUM(H34:H36)</f>
        <v>11614</v>
      </c>
      <c r="I37" s="402" t="s">
        <v>161</v>
      </c>
      <c r="J37" s="401" t="n">
        <f aca="false">SUM(J34:J36)</f>
        <v>10658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195</v>
      </c>
      <c r="C38" s="355" t="n">
        <f aca="false">49030</f>
        <v>49030</v>
      </c>
      <c r="D38" s="316"/>
      <c r="E38" s="385" t="n">
        <v>-8895</v>
      </c>
      <c r="F38" s="386"/>
      <c r="G38" s="387"/>
      <c r="H38" s="393" t="n">
        <f aca="false">-10500+475</f>
        <v>-10025</v>
      </c>
      <c r="I38" s="316"/>
      <c r="J38" s="393" t="n">
        <v>-10500</v>
      </c>
      <c r="K38" s="316"/>
      <c r="L38" s="393" t="n">
        <v>-10500</v>
      </c>
      <c r="M38" s="316"/>
      <c r="N38" s="393" t="n">
        <v>-10500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9423</v>
      </c>
      <c r="F39" s="386"/>
      <c r="G39" s="387"/>
      <c r="H39" s="393" t="n">
        <v>9423</v>
      </c>
      <c r="I39" s="316"/>
      <c r="J39" s="393" t="n">
        <v>9423</v>
      </c>
      <c r="K39" s="316"/>
      <c r="L39" s="393" t="n">
        <v>9423</v>
      </c>
      <c r="M39" s="316"/>
      <c r="N39" s="393" t="n">
        <v>9423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-2174</v>
      </c>
      <c r="F42" s="386"/>
      <c r="G42" s="387"/>
      <c r="H42" s="355" t="n">
        <v>-2174</v>
      </c>
      <c r="I42" s="316"/>
      <c r="J42" s="355" t="n">
        <v>-2174</v>
      </c>
      <c r="K42" s="316"/>
      <c r="L42" s="355" t="n">
        <v>-2174</v>
      </c>
      <c r="M42" s="316"/>
      <c r="N42" s="355" t="n">
        <v>-2174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0</v>
      </c>
      <c r="I43" s="401" t="s">
        <v>161</v>
      </c>
      <c r="J43" s="401" t="n">
        <v>0</v>
      </c>
      <c r="K43" s="401" t="s">
        <v>161</v>
      </c>
      <c r="L43" s="401" t="n">
        <v>0</v>
      </c>
      <c r="M43" s="401" t="s">
        <v>161</v>
      </c>
      <c r="N43" s="401" t="n">
        <v>0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9968</v>
      </c>
      <c r="F44" s="407"/>
      <c r="G44" s="408"/>
      <c r="H44" s="378" t="n">
        <f aca="false">SUM(H37:H43)</f>
        <v>8838</v>
      </c>
      <c r="I44" s="409"/>
      <c r="J44" s="378" t="n">
        <f aca="false">SUM(J37:J43)</f>
        <v>7407</v>
      </c>
      <c r="K44" s="409"/>
      <c r="L44" s="378" t="n">
        <f aca="false">SUM(L37:L43)</f>
        <v>8538</v>
      </c>
      <c r="M44" s="409"/>
      <c r="N44" s="378" t="n">
        <f aca="false">SUM(N37:N43)</f>
        <v>8538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15935</v>
      </c>
      <c r="F49" s="391"/>
      <c r="G49" s="392"/>
      <c r="H49" s="385" t="n">
        <v>15935</v>
      </c>
      <c r="I49" s="411"/>
      <c r="J49" s="410" t="n">
        <f aca="false">15935-1700</f>
        <v>14235</v>
      </c>
      <c r="K49" s="411"/>
      <c r="L49" s="410" t="n">
        <v>10935</v>
      </c>
      <c r="M49" s="411"/>
      <c r="N49" s="410" t="n">
        <v>10935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-15756</v>
      </c>
      <c r="F50" s="386"/>
      <c r="G50" s="387"/>
      <c r="H50" s="415" t="n">
        <v>-15935</v>
      </c>
      <c r="I50" s="316"/>
      <c r="J50" s="415" t="n">
        <v>-14235</v>
      </c>
      <c r="K50" s="316"/>
      <c r="L50" s="415" t="n">
        <v>-10935</v>
      </c>
      <c r="M50" s="316"/>
      <c r="N50" s="415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179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6129</v>
      </c>
      <c r="F52" s="386"/>
      <c r="G52" s="387"/>
      <c r="H52" s="393" t="n">
        <v>6129</v>
      </c>
      <c r="I52" s="316"/>
      <c r="J52" s="393" t="n">
        <v>6129</v>
      </c>
      <c r="K52" s="316"/>
      <c r="L52" s="393" t="n">
        <v>6129</v>
      </c>
      <c r="M52" s="316"/>
      <c r="N52" s="393" t="n">
        <v>6129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6308</v>
      </c>
      <c r="F56" s="419"/>
      <c r="G56" s="420"/>
      <c r="H56" s="378" t="n">
        <f aca="false">SUM(H51:H55)</f>
        <v>6129</v>
      </c>
      <c r="I56" s="421"/>
      <c r="J56" s="378" t="n">
        <f aca="false">SUM(J51:J55)</f>
        <v>6129</v>
      </c>
      <c r="K56" s="421"/>
      <c r="L56" s="378" t="n">
        <f aca="false">SUM(L51:L55)</f>
        <v>6129</v>
      </c>
      <c r="M56" s="421"/>
      <c r="N56" s="378" t="n">
        <f aca="false">SUM(N51:N55)</f>
        <v>6129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6292.23</v>
      </c>
      <c r="F57" s="386"/>
      <c r="G57" s="314"/>
      <c r="H57" s="374" t="n">
        <f aca="false">H56*0.9975</f>
        <v>6113.6775</v>
      </c>
      <c r="I57" s="316"/>
      <c r="J57" s="374" t="n">
        <f aca="false">J56*0.9975</f>
        <v>6113.6775</v>
      </c>
      <c r="K57" s="316"/>
      <c r="L57" s="374" t="n">
        <f aca="false">L56*0.9975</f>
        <v>6113.6775</v>
      </c>
      <c r="M57" s="316"/>
      <c r="N57" s="374" t="n">
        <f aca="false">N56*0.9975</f>
        <v>6113.6775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0.121492730397173</v>
      </c>
      <c r="F58" s="386"/>
      <c r="G58" s="314"/>
      <c r="H58" s="423" t="n">
        <f aca="false">H57/H66</f>
        <v>0.121105463582653</v>
      </c>
      <c r="I58" s="316"/>
      <c r="J58" s="423" t="n">
        <f aca="false">J57/J66</f>
        <v>0.124638541395267</v>
      </c>
      <c r="K58" s="316"/>
      <c r="L58" s="423" t="n">
        <f aca="false">L57/L66</f>
        <v>0.121829457262387</v>
      </c>
      <c r="M58" s="316"/>
      <c r="N58" s="423" t="n">
        <f aca="false">N57/N66</f>
        <v>0.121829457262387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51791</v>
      </c>
      <c r="F66" s="434"/>
      <c r="G66" s="314"/>
      <c r="H66" s="427" t="n">
        <f aca="false">H29+H44+H56+H61+H62</f>
        <v>50482.26</v>
      </c>
      <c r="I66" s="316"/>
      <c r="J66" s="427" t="n">
        <f aca="false">J29+J44+J56+J61+J62</f>
        <v>49051.26</v>
      </c>
      <c r="K66" s="316"/>
      <c r="L66" s="427" t="n">
        <f aca="false">L29+L44+L56+L61+L62</f>
        <v>50182.26</v>
      </c>
      <c r="M66" s="316"/>
      <c r="N66" s="427" t="n">
        <f aca="false">N29+N44+N56+N61+N62</f>
        <v>50182.26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2484.26</v>
      </c>
      <c r="M68" s="316"/>
      <c r="N68" s="437" t="n">
        <f aca="false">N66-N11</f>
        <v>2484.26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437" t="n">
        <f aca="false">H67-H12</f>
        <v>0</v>
      </c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E10" activeCellId="0" sqref="E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45926.8985798879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21" t="n">
        <v>37014</v>
      </c>
      <c r="F4" s="320"/>
      <c r="G4" s="314"/>
      <c r="H4" s="321" t="n">
        <v>37015</v>
      </c>
      <c r="I4" s="322"/>
      <c r="J4" s="321" t="n">
        <v>37016</v>
      </c>
      <c r="K4" s="322"/>
      <c r="L4" s="321" t="n">
        <v>37017</v>
      </c>
      <c r="M4" s="322"/>
      <c r="N4" s="321" t="n">
        <v>37018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7" t="s">
        <v>131</v>
      </c>
      <c r="F5" s="325"/>
      <c r="G5" s="326"/>
      <c r="H5" s="327" t="s">
        <v>132</v>
      </c>
      <c r="I5" s="326"/>
      <c r="J5" s="327" t="s">
        <v>133</v>
      </c>
      <c r="K5" s="326"/>
      <c r="L5" s="327" t="s">
        <v>194</v>
      </c>
      <c r="M5" s="326"/>
      <c r="N5" s="327" t="s">
        <v>193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84</v>
      </c>
      <c r="F8" s="341" t="n">
        <v>59</v>
      </c>
      <c r="G8" s="342"/>
      <c r="H8" s="335" t="n">
        <v>87</v>
      </c>
      <c r="I8" s="342" t="n">
        <v>61</v>
      </c>
      <c r="J8" s="335" t="n">
        <v>79</v>
      </c>
      <c r="K8" s="342" t="n">
        <v>62</v>
      </c>
      <c r="L8" s="335" t="n">
        <v>63</v>
      </c>
      <c r="M8" s="342" t="n">
        <v>56</v>
      </c>
      <c r="N8" s="335" t="n">
        <v>67</v>
      </c>
      <c r="O8" s="342" t="n">
        <v>50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6.5</v>
      </c>
      <c r="F9" s="347"/>
      <c r="G9" s="348"/>
      <c r="H9" s="349" t="n">
        <f aca="false">(H8+I8)/2-65</f>
        <v>9</v>
      </c>
      <c r="I9" s="344"/>
      <c r="J9" s="349" t="n">
        <f aca="false">(J8+K8)/2-65</f>
        <v>5.5</v>
      </c>
      <c r="K9" s="344"/>
      <c r="L9" s="349" t="n">
        <f aca="false">(L8+M8)/2-65</f>
        <v>-5.5</v>
      </c>
      <c r="M9" s="344"/>
      <c r="N9" s="349" t="n">
        <f aca="false">(N8+O8)/2-65</f>
        <v>-6.5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5" t="n">
        <v>47698</v>
      </c>
      <c r="F11" s="353"/>
      <c r="G11" s="314"/>
      <c r="H11" s="355" t="n">
        <v>47698</v>
      </c>
      <c r="I11" s="316"/>
      <c r="J11" s="355" t="n">
        <v>47698</v>
      </c>
      <c r="K11" s="316"/>
      <c r="L11" s="355" t="n">
        <v>50007</v>
      </c>
      <c r="M11" s="316"/>
      <c r="N11" s="355" t="n">
        <v>50007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48913.35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-1215.35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35698</v>
      </c>
      <c r="F16" s="357"/>
      <c r="G16" s="314"/>
      <c r="H16" s="361" t="n">
        <f aca="false">H11-H17</f>
        <v>35698</v>
      </c>
      <c r="I16" s="316"/>
      <c r="J16" s="361" t="n">
        <f aca="false">J11-J17</f>
        <v>35698</v>
      </c>
      <c r="K16" s="316"/>
      <c r="L16" s="361" t="n">
        <f aca="false">L11-L17</f>
        <v>38007</v>
      </c>
      <c r="M16" s="316"/>
      <c r="N16" s="361" t="n">
        <f aca="false">N11-N17</f>
        <v>38007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17093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31165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30853.35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16451</v>
      </c>
      <c r="F35" s="391"/>
      <c r="G35" s="392"/>
      <c r="H35" s="393" t="n">
        <f aca="false">11789-2484</f>
        <v>9305</v>
      </c>
      <c r="I35" s="373"/>
      <c r="J35" s="393" t="n">
        <f aca="false">11789-2484</f>
        <v>9305</v>
      </c>
      <c r="K35" s="373" t="n">
        <v>7131</v>
      </c>
      <c r="L35" s="393" t="n">
        <f aca="false">9305+2302+7</f>
        <v>11614</v>
      </c>
      <c r="M35" s="373" t="n">
        <f aca="false">11614-2174</f>
        <v>9440</v>
      </c>
      <c r="N35" s="393" t="n">
        <f aca="false">9305+2302+7</f>
        <v>11614</v>
      </c>
      <c r="O35" s="373" t="n">
        <v>9440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16451</v>
      </c>
      <c r="F37" s="400" t="s">
        <v>161</v>
      </c>
      <c r="G37" s="388"/>
      <c r="H37" s="401" t="n">
        <f aca="false">SUM(H34:H36)</f>
        <v>9305</v>
      </c>
      <c r="I37" s="402" t="s">
        <v>161</v>
      </c>
      <c r="J37" s="401" t="n">
        <f aca="false">SUM(J34:J36)</f>
        <v>9305</v>
      </c>
      <c r="K37" s="402" t="s">
        <v>161</v>
      </c>
      <c r="L37" s="401" t="n">
        <f aca="false">SUM(L34:L36)</f>
        <v>11614</v>
      </c>
      <c r="M37" s="402" t="s">
        <v>161</v>
      </c>
      <c r="N37" s="401" t="n">
        <f aca="false">SUM(N34:N36)</f>
        <v>11614</v>
      </c>
      <c r="O37" s="402" t="s">
        <v>161</v>
      </c>
    </row>
    <row r="38" customFormat="false" ht="15.75" hidden="false" customHeight="false" outlineLevel="0" collapsed="false">
      <c r="B38" s="317" t="s">
        <v>195</v>
      </c>
      <c r="C38" s="355" t="n">
        <f aca="false">49030</f>
        <v>49030</v>
      </c>
      <c r="D38" s="316"/>
      <c r="E38" s="385" t="n">
        <v>-13184</v>
      </c>
      <c r="F38" s="386"/>
      <c r="G38" s="387"/>
      <c r="H38" s="393" t="n">
        <v>-10500</v>
      </c>
      <c r="I38" s="316"/>
      <c r="J38" s="393" t="n">
        <v>-10500</v>
      </c>
      <c r="K38" s="316"/>
      <c r="L38" s="393" t="n">
        <v>-10500</v>
      </c>
      <c r="M38" s="316"/>
      <c r="N38" s="393" t="n">
        <v>-10500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9423</v>
      </c>
      <c r="F39" s="386"/>
      <c r="G39" s="387"/>
      <c r="H39" s="393" t="n">
        <v>9423</v>
      </c>
      <c r="I39" s="316"/>
      <c r="J39" s="393" t="n">
        <v>9423</v>
      </c>
      <c r="K39" s="316"/>
      <c r="L39" s="393" t="n">
        <v>9423</v>
      </c>
      <c r="M39" s="316"/>
      <c r="N39" s="393" t="n">
        <v>9423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-2174</v>
      </c>
      <c r="F42" s="386"/>
      <c r="G42" s="387"/>
      <c r="H42" s="355" t="n">
        <v>-2174</v>
      </c>
      <c r="I42" s="316"/>
      <c r="J42" s="355" t="n">
        <v>-2174</v>
      </c>
      <c r="K42" s="316"/>
      <c r="L42" s="355" t="n">
        <v>-2174</v>
      </c>
      <c r="M42" s="316"/>
      <c r="N42" s="355" t="n">
        <v>-2174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0</v>
      </c>
      <c r="I43" s="401" t="s">
        <v>161</v>
      </c>
      <c r="J43" s="401" t="n">
        <v>0</v>
      </c>
      <c r="K43" s="401" t="s">
        <v>161</v>
      </c>
      <c r="L43" s="401" t="n">
        <v>0</v>
      </c>
      <c r="M43" s="401" t="s">
        <v>161</v>
      </c>
      <c r="N43" s="401" t="n">
        <v>0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10516</v>
      </c>
      <c r="F44" s="407"/>
      <c r="G44" s="408"/>
      <c r="H44" s="378" t="n">
        <f aca="false">SUM(H37:H43)</f>
        <v>6054</v>
      </c>
      <c r="I44" s="409"/>
      <c r="J44" s="378" t="n">
        <f aca="false">SUM(J37:J43)</f>
        <v>6054</v>
      </c>
      <c r="K44" s="409"/>
      <c r="L44" s="378" t="n">
        <f aca="false">SUM(L37:L43)</f>
        <v>8363</v>
      </c>
      <c r="M44" s="409"/>
      <c r="N44" s="378" t="n">
        <f aca="false">SUM(N37:N43)</f>
        <v>8363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11135</v>
      </c>
      <c r="F49" s="391"/>
      <c r="G49" s="392"/>
      <c r="H49" s="410" t="n">
        <v>15935</v>
      </c>
      <c r="I49" s="411"/>
      <c r="J49" s="410" t="n">
        <v>15935</v>
      </c>
      <c r="K49" s="411"/>
      <c r="L49" s="410" t="n">
        <v>15935</v>
      </c>
      <c r="M49" s="411"/>
      <c r="N49" s="410" t="n">
        <v>15935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-9720</v>
      </c>
      <c r="F50" s="386"/>
      <c r="G50" s="387"/>
      <c r="H50" s="415" t="n">
        <f aca="false">-10935-5000</f>
        <v>-15935</v>
      </c>
      <c r="I50" s="316"/>
      <c r="J50" s="415" t="n">
        <f aca="false">-10935-5000</f>
        <v>-15935</v>
      </c>
      <c r="K50" s="316"/>
      <c r="L50" s="415" t="n">
        <v>-15935</v>
      </c>
      <c r="M50" s="316"/>
      <c r="N50" s="415" t="n">
        <v>-15935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1415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6129</v>
      </c>
      <c r="F52" s="386"/>
      <c r="G52" s="387"/>
      <c r="H52" s="393" t="n">
        <v>6129</v>
      </c>
      <c r="I52" s="316"/>
      <c r="J52" s="393" t="n">
        <v>6129</v>
      </c>
      <c r="K52" s="316"/>
      <c r="L52" s="393" t="n">
        <v>6129</v>
      </c>
      <c r="M52" s="316"/>
      <c r="N52" s="393" t="n">
        <v>6129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7544</v>
      </c>
      <c r="F56" s="419"/>
      <c r="G56" s="420"/>
      <c r="H56" s="378" t="n">
        <f aca="false">SUM(H51:H55)</f>
        <v>6129</v>
      </c>
      <c r="I56" s="421"/>
      <c r="J56" s="378" t="n">
        <f aca="false">SUM(J51:J55)</f>
        <v>6129</v>
      </c>
      <c r="K56" s="421"/>
      <c r="L56" s="378" t="n">
        <f aca="false">SUM(L51:L55)</f>
        <v>6129</v>
      </c>
      <c r="M56" s="421"/>
      <c r="N56" s="378" t="n">
        <f aca="false">SUM(N51:N55)</f>
        <v>6129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7525.14</v>
      </c>
      <c r="F57" s="386"/>
      <c r="G57" s="314"/>
      <c r="H57" s="374" t="n">
        <f aca="false">H56*0.9975</f>
        <v>6113.6775</v>
      </c>
      <c r="I57" s="316"/>
      <c r="J57" s="374" t="n">
        <f aca="false">J56*0.9975</f>
        <v>6113.6775</v>
      </c>
      <c r="K57" s="316"/>
      <c r="L57" s="374" t="n">
        <f aca="false">L56*0.9975</f>
        <v>6113.6775</v>
      </c>
      <c r="M57" s="316"/>
      <c r="N57" s="374" t="n">
        <f aca="false">N56*0.9975</f>
        <v>6113.6775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0.15384634256292</v>
      </c>
      <c r="F58" s="386"/>
      <c r="G58" s="314"/>
      <c r="H58" s="423" t="n">
        <f aca="false">H57/H66</f>
        <v>0.128174015152754</v>
      </c>
      <c r="I58" s="316"/>
      <c r="J58" s="423" t="n">
        <f aca="false">J57/J66</f>
        <v>0.128174015152754</v>
      </c>
      <c r="K58" s="316"/>
      <c r="L58" s="423" t="n">
        <f aca="false">L57/L66</f>
        <v>0.122255798458064</v>
      </c>
      <c r="M58" s="316"/>
      <c r="N58" s="423" t="n">
        <f aca="false">N57/N66</f>
        <v>0.122255798458064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48913.35</v>
      </c>
      <c r="F66" s="434"/>
      <c r="G66" s="314"/>
      <c r="H66" s="427" t="n">
        <f aca="false">H29+H44+H56+H61+H62</f>
        <v>47698.26</v>
      </c>
      <c r="I66" s="316"/>
      <c r="J66" s="427" t="n">
        <f aca="false">J29+J44+J56+J61+J62</f>
        <v>47698.26</v>
      </c>
      <c r="K66" s="316"/>
      <c r="L66" s="427" t="n">
        <f aca="false">L29+L44+L56+L61+L62</f>
        <v>50007.26</v>
      </c>
      <c r="M66" s="316"/>
      <c r="N66" s="427" t="n">
        <f aca="false">N29+N44+N56+N61+N62</f>
        <v>50007.26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7" t="n">
        <f aca="false">E66-E11</f>
        <v>1215.35</v>
      </c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0.260000000002037</v>
      </c>
      <c r="M68" s="316"/>
      <c r="N68" s="437" t="n">
        <f aca="false">N66-N11</f>
        <v>0.260000000002037</v>
      </c>
      <c r="O68" s="316"/>
    </row>
    <row r="69" customFormat="false" ht="15.75" hidden="false" customHeight="false" outlineLevel="0" collapsed="false">
      <c r="B69" s="317"/>
      <c r="C69" s="398"/>
      <c r="D69" s="316"/>
      <c r="E69" s="437" t="n">
        <f aca="false">E67-E12</f>
        <v>-48913.35</v>
      </c>
      <c r="F69" s="316"/>
      <c r="G69" s="316"/>
      <c r="H69" s="437" t="n">
        <f aca="false">H67-H12</f>
        <v>0</v>
      </c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B38" activeCellId="0" sqref="B3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45926.8985799096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37013</v>
      </c>
      <c r="F4" s="320"/>
      <c r="G4" s="314"/>
      <c r="H4" s="321" t="n">
        <v>37014</v>
      </c>
      <c r="I4" s="322"/>
      <c r="J4" s="321" t="n">
        <v>37015</v>
      </c>
      <c r="K4" s="322"/>
      <c r="L4" s="321" t="n">
        <v>37016</v>
      </c>
      <c r="M4" s="322"/>
      <c r="N4" s="321" t="n">
        <v>37017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7" t="s">
        <v>130</v>
      </c>
      <c r="F5" s="325"/>
      <c r="G5" s="326"/>
      <c r="H5" s="327" t="s">
        <v>131</v>
      </c>
      <c r="I5" s="326"/>
      <c r="J5" s="327" t="s">
        <v>132</v>
      </c>
      <c r="K5" s="326"/>
      <c r="L5" s="327" t="s">
        <v>133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81</v>
      </c>
      <c r="F8" s="341" t="n">
        <v>58</v>
      </c>
      <c r="G8" s="342"/>
      <c r="H8" s="335" t="n">
        <v>85</v>
      </c>
      <c r="I8" s="342" t="n">
        <v>59</v>
      </c>
      <c r="J8" s="335" t="n">
        <v>87</v>
      </c>
      <c r="K8" s="342" t="n">
        <v>59</v>
      </c>
      <c r="L8" s="335" t="n">
        <v>75</v>
      </c>
      <c r="M8" s="342" t="n">
        <v>62</v>
      </c>
      <c r="N8" s="335" t="n">
        <v>67</v>
      </c>
      <c r="O8" s="342" t="n">
        <v>52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4.5</v>
      </c>
      <c r="F9" s="347"/>
      <c r="G9" s="348"/>
      <c r="H9" s="349" t="n">
        <f aca="false">(H8+I8)/2-65</f>
        <v>7</v>
      </c>
      <c r="I9" s="344"/>
      <c r="J9" s="349" t="n">
        <f aca="false">(J8+K8)/2-65</f>
        <v>8</v>
      </c>
      <c r="K9" s="344"/>
      <c r="L9" s="349" t="n">
        <f aca="false">(L8+M8)/2-65</f>
        <v>3.5</v>
      </c>
      <c r="M9" s="344"/>
      <c r="N9" s="349" t="n">
        <f aca="false">(N8+O8)/2-65</f>
        <v>-5.5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5" t="n">
        <v>47698</v>
      </c>
      <c r="F11" s="353"/>
      <c r="G11" s="314"/>
      <c r="H11" s="355" t="n">
        <v>47698</v>
      </c>
      <c r="I11" s="316"/>
      <c r="J11" s="355" t="n">
        <v>47698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50850.26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-3152.26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35698</v>
      </c>
      <c r="F16" s="357"/>
      <c r="G16" s="314"/>
      <c r="H16" s="361" t="n">
        <f aca="false">H11-H17</f>
        <v>35698</v>
      </c>
      <c r="I16" s="316"/>
      <c r="J16" s="361" t="n">
        <f aca="false">J11-J17</f>
        <v>35698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55" t="n">
        <v>21802</v>
      </c>
      <c r="F22" s="371"/>
      <c r="G22" s="372"/>
      <c r="H22" s="355" t="n">
        <v>17093</v>
      </c>
      <c r="I22" s="373"/>
      <c r="J22" s="355" t="n">
        <v>21802</v>
      </c>
      <c r="K22" s="373"/>
      <c r="L22" s="355" t="n">
        <v>10202</v>
      </c>
      <c r="M22" s="373"/>
      <c r="N22" s="355" t="n">
        <v>10202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31165</v>
      </c>
      <c r="I28" s="379"/>
      <c r="J28" s="378" t="n">
        <f aca="false">SUM(J21:J27)</f>
        <v>35874</v>
      </c>
      <c r="K28" s="379"/>
      <c r="L28" s="378" t="n">
        <f aca="false">SUM(L21:L27)</f>
        <v>24274</v>
      </c>
      <c r="M28" s="379"/>
      <c r="N28" s="378" t="n">
        <f aca="false">SUM(N21:N27)</f>
        <v>24274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30853.35</v>
      </c>
      <c r="I29" s="384"/>
      <c r="J29" s="383" t="n">
        <f aca="false">J28*0.99</f>
        <v>35515.26</v>
      </c>
      <c r="K29" s="384"/>
      <c r="L29" s="383" t="n">
        <f aca="false">L28*0.99</f>
        <v>24031.26</v>
      </c>
      <c r="M29" s="384"/>
      <c r="N29" s="383" t="n">
        <f aca="false">N28*0.99</f>
        <v>24031.26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4134</v>
      </c>
      <c r="F35" s="391"/>
      <c r="G35" s="392"/>
      <c r="H35" s="393" t="n">
        <v>16451</v>
      </c>
      <c r="I35" s="373"/>
      <c r="J35" s="393" t="n">
        <f aca="false">11789-2484</f>
        <v>9305</v>
      </c>
      <c r="K35" s="373"/>
      <c r="L35" s="393" t="n">
        <v>11789</v>
      </c>
      <c r="M35" s="373"/>
      <c r="N35" s="393" t="n">
        <v>11789</v>
      </c>
      <c r="O35" s="373"/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4134</v>
      </c>
      <c r="F37" s="400" t="s">
        <v>161</v>
      </c>
      <c r="G37" s="388"/>
      <c r="H37" s="401" t="n">
        <f aca="false">SUM(H34:H36)</f>
        <v>16451</v>
      </c>
      <c r="I37" s="402" t="s">
        <v>161</v>
      </c>
      <c r="J37" s="401" t="n">
        <f aca="false">SUM(J34:J36)</f>
        <v>9305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196</v>
      </c>
      <c r="C38" s="355" t="n">
        <f aca="false">49030</f>
        <v>49030</v>
      </c>
      <c r="D38" s="316"/>
      <c r="E38" s="385" t="n">
        <v>-5348</v>
      </c>
      <c r="F38" s="386"/>
      <c r="G38" s="387"/>
      <c r="H38" s="393" t="n">
        <v>-13184</v>
      </c>
      <c r="I38" s="316"/>
      <c r="J38" s="393" t="n">
        <v>-10500</v>
      </c>
      <c r="K38" s="316"/>
      <c r="L38" s="393" t="n">
        <v>-14363</v>
      </c>
      <c r="M38" s="316"/>
      <c r="N38" s="393" t="n">
        <v>-14363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9423</v>
      </c>
      <c r="F39" s="386"/>
      <c r="G39" s="387"/>
      <c r="H39" s="393" t="n">
        <v>9423</v>
      </c>
      <c r="I39" s="316"/>
      <c r="J39" s="393" t="n">
        <v>9423</v>
      </c>
      <c r="K39" s="316"/>
      <c r="L39" s="393" t="n">
        <v>9423</v>
      </c>
      <c r="M39" s="316"/>
      <c r="N39" s="393" t="n">
        <v>9423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-2174</v>
      </c>
      <c r="I42" s="316"/>
      <c r="J42" s="355" t="n">
        <v>-2174</v>
      </c>
      <c r="K42" s="316"/>
      <c r="L42" s="355" t="n">
        <v>-2174</v>
      </c>
      <c r="M42" s="316"/>
      <c r="N42" s="355" t="n">
        <v>-2174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0</v>
      </c>
      <c r="I43" s="401" t="s">
        <v>161</v>
      </c>
      <c r="J43" s="401" t="n">
        <v>0</v>
      </c>
      <c r="K43" s="401" t="s">
        <v>161</v>
      </c>
      <c r="L43" s="401" t="n">
        <v>0</v>
      </c>
      <c r="M43" s="401" t="s">
        <v>161</v>
      </c>
      <c r="N43" s="401" t="n">
        <v>0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8209</v>
      </c>
      <c r="F44" s="407"/>
      <c r="G44" s="408"/>
      <c r="H44" s="378" t="n">
        <f aca="false">SUM(H37:H43)</f>
        <v>10516</v>
      </c>
      <c r="I44" s="409"/>
      <c r="J44" s="378" t="n">
        <f aca="false">SUM(J37:J43)</f>
        <v>6054</v>
      </c>
      <c r="K44" s="409"/>
      <c r="L44" s="378" t="n">
        <f aca="false">SUM(L37:L43)</f>
        <v>4675</v>
      </c>
      <c r="M44" s="409"/>
      <c r="N44" s="378" t="n">
        <f aca="false">SUM(N37:N43)</f>
        <v>4675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10935</v>
      </c>
      <c r="F49" s="391"/>
      <c r="G49" s="392"/>
      <c r="H49" s="410" t="n">
        <v>11135</v>
      </c>
      <c r="I49" s="411"/>
      <c r="J49" s="410" t="n">
        <v>15935</v>
      </c>
      <c r="K49" s="411"/>
      <c r="L49" s="410" t="n">
        <v>15935</v>
      </c>
      <c r="M49" s="411"/>
      <c r="N49" s="410" t="n">
        <v>15935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-9938</v>
      </c>
      <c r="F50" s="386"/>
      <c r="G50" s="387"/>
      <c r="H50" s="415" t="n">
        <v>-10935</v>
      </c>
      <c r="I50" s="316"/>
      <c r="J50" s="415" t="n">
        <f aca="false">-10935-5000</f>
        <v>-15935</v>
      </c>
      <c r="K50" s="316"/>
      <c r="L50" s="415" t="n">
        <v>-15935</v>
      </c>
      <c r="M50" s="316"/>
      <c r="N50" s="415" t="n">
        <v>-15935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997</v>
      </c>
      <c r="F51" s="416"/>
      <c r="G51" s="417"/>
      <c r="H51" s="355" t="n">
        <f aca="false">SUM(H49:H50)</f>
        <v>200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6129</v>
      </c>
      <c r="F52" s="386"/>
      <c r="G52" s="387"/>
      <c r="H52" s="393" t="n">
        <v>6129</v>
      </c>
      <c r="I52" s="316"/>
      <c r="J52" s="393" t="n">
        <v>6129</v>
      </c>
      <c r="K52" s="316"/>
      <c r="L52" s="393" t="n">
        <v>6129</v>
      </c>
      <c r="M52" s="316"/>
      <c r="N52" s="393" t="n">
        <v>6129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7126</v>
      </c>
      <c r="F56" s="419"/>
      <c r="G56" s="420"/>
      <c r="H56" s="378" t="n">
        <f aca="false">SUM(H51:H55)</f>
        <v>6329</v>
      </c>
      <c r="I56" s="421"/>
      <c r="J56" s="378" t="n">
        <f aca="false">SUM(J51:J55)</f>
        <v>6129</v>
      </c>
      <c r="K56" s="421"/>
      <c r="L56" s="378" t="n">
        <f aca="false">SUM(L51:L55)</f>
        <v>6129</v>
      </c>
      <c r="M56" s="421"/>
      <c r="N56" s="378" t="n">
        <f aca="false">SUM(N51:N55)</f>
        <v>6129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7108.185</v>
      </c>
      <c r="F57" s="386"/>
      <c r="G57" s="314"/>
      <c r="H57" s="374" t="n">
        <f aca="false">H56*0.9975</f>
        <v>6313.1775</v>
      </c>
      <c r="I57" s="316"/>
      <c r="J57" s="374" t="n">
        <f aca="false">J56*0.9975</f>
        <v>6113.6775</v>
      </c>
      <c r="K57" s="316"/>
      <c r="L57" s="374" t="n">
        <f aca="false">L56*0.9975</f>
        <v>6113.6775</v>
      </c>
      <c r="M57" s="316"/>
      <c r="N57" s="374" t="n">
        <f aca="false">N56*0.9975</f>
        <v>6113.6775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0.139786600894469</v>
      </c>
      <c r="F58" s="386"/>
      <c r="G58" s="314"/>
      <c r="H58" s="423" t="n">
        <f aca="false">H57/H66</f>
        <v>0.132356307922601</v>
      </c>
      <c r="I58" s="316"/>
      <c r="J58" s="423" t="n">
        <f aca="false">J57/J66</f>
        <v>0.128174015152754</v>
      </c>
      <c r="K58" s="316"/>
      <c r="L58" s="423" t="n">
        <f aca="false">L57/L66</f>
        <v>0.175502565504032</v>
      </c>
      <c r="M58" s="316"/>
      <c r="N58" s="423" t="n">
        <f aca="false">N57/N66</f>
        <v>0.175502565504032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50850.26</v>
      </c>
      <c r="F66" s="434"/>
      <c r="G66" s="314"/>
      <c r="H66" s="427" t="n">
        <f aca="false">H29+H44+H56+H61+H62</f>
        <v>47698.35</v>
      </c>
      <c r="I66" s="316"/>
      <c r="J66" s="427" t="n">
        <f aca="false">J29+J44+J56+J61+J62</f>
        <v>47698.26</v>
      </c>
      <c r="K66" s="316"/>
      <c r="L66" s="427" t="n">
        <f aca="false">L29+L44+L56+L61+L62</f>
        <v>34835.26</v>
      </c>
      <c r="M66" s="316"/>
      <c r="N66" s="427" t="n">
        <f aca="false">N29+N44+N56+N61+N62</f>
        <v>34835.26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7"/>
      <c r="F68" s="436"/>
      <c r="G68" s="314"/>
      <c r="H68" s="437" t="n">
        <f aca="false">H66-H11</f>
        <v>0.349999999998545</v>
      </c>
      <c r="I68" s="316"/>
      <c r="J68" s="437" t="n">
        <f aca="false">J66-J11</f>
        <v>0.260000000002037</v>
      </c>
      <c r="K68" s="316"/>
      <c r="L68" s="437" t="n">
        <f aca="false">L66-L11</f>
        <v>-12862.74</v>
      </c>
      <c r="M68" s="316"/>
      <c r="N68" s="437" t="n">
        <f aca="false">N66-N11</f>
        <v>-12862.74</v>
      </c>
      <c r="O68" s="316"/>
    </row>
    <row r="69" customFormat="false" ht="15.75" hidden="false" customHeight="false" outlineLevel="0" collapsed="false">
      <c r="B69" s="317"/>
      <c r="C69" s="398"/>
      <c r="D69" s="316"/>
      <c r="E69" s="437"/>
      <c r="F69" s="316"/>
      <c r="G69" s="316"/>
      <c r="H69" s="437" t="n">
        <f aca="false">H67-H12</f>
        <v>0</v>
      </c>
      <c r="I69" s="316"/>
      <c r="J69" s="437" t="n">
        <f aca="false">J67-J12</f>
        <v>0</v>
      </c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23" activeCellId="0" sqref="A2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45926.8985799563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37012</v>
      </c>
      <c r="F4" s="320"/>
      <c r="G4" s="314"/>
      <c r="H4" s="321" t="n">
        <v>37013</v>
      </c>
      <c r="I4" s="322"/>
      <c r="J4" s="321" t="n">
        <v>37014</v>
      </c>
      <c r="K4" s="322"/>
      <c r="L4" s="321" t="n">
        <v>37015</v>
      </c>
      <c r="M4" s="322"/>
      <c r="N4" s="321" t="n">
        <v>37016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70" t="s">
        <v>129</v>
      </c>
      <c r="F5" s="325"/>
      <c r="G5" s="326"/>
      <c r="H5" s="327" t="s">
        <v>130</v>
      </c>
      <c r="I5" s="326"/>
      <c r="J5" s="327" t="s">
        <v>131</v>
      </c>
      <c r="K5" s="326"/>
      <c r="L5" s="327" t="s">
        <v>132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78</v>
      </c>
      <c r="F8" s="341" t="n">
        <v>46</v>
      </c>
      <c r="G8" s="342"/>
      <c r="H8" s="335" t="n">
        <v>84</v>
      </c>
      <c r="I8" s="342" t="n">
        <v>57</v>
      </c>
      <c r="J8" s="335" t="n">
        <v>84</v>
      </c>
      <c r="K8" s="342" t="n">
        <v>58</v>
      </c>
      <c r="L8" s="335" t="n">
        <v>83</v>
      </c>
      <c r="M8" s="342" t="n">
        <v>62</v>
      </c>
      <c r="N8" s="335" t="n">
        <v>72</v>
      </c>
      <c r="O8" s="342" t="n">
        <v>58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-3</v>
      </c>
      <c r="F9" s="347"/>
      <c r="G9" s="348"/>
      <c r="H9" s="349" t="n">
        <f aca="false">(H8+I8)/2-65</f>
        <v>5.5</v>
      </c>
      <c r="I9" s="344"/>
      <c r="J9" s="349" t="n">
        <f aca="false">(J8+K8)/2-65</f>
        <v>6</v>
      </c>
      <c r="K9" s="344"/>
      <c r="L9" s="349" t="n">
        <f aca="false">(L8+M8)/2-65</f>
        <v>7.5</v>
      </c>
      <c r="M9" s="344"/>
      <c r="N9" s="349" t="n">
        <f aca="false">(N8+O8)/2-65</f>
        <v>0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47698</v>
      </c>
      <c r="F11" s="353"/>
      <c r="G11" s="314"/>
      <c r="H11" s="354" t="n">
        <v>45000</v>
      </c>
      <c r="I11" s="316"/>
      <c r="J11" s="355" t="n">
        <v>47698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46633.26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1064.74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35698</v>
      </c>
      <c r="F16" s="357"/>
      <c r="G16" s="314"/>
      <c r="H16" s="361" t="n">
        <f aca="false">H11-H17</f>
        <v>33000</v>
      </c>
      <c r="I16" s="316"/>
      <c r="J16" s="361" t="n">
        <f aca="false">J11-J17</f>
        <v>35698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17093</v>
      </c>
      <c r="K22" s="373"/>
      <c r="L22" s="355" t="n">
        <v>10202</v>
      </c>
      <c r="M22" s="373"/>
      <c r="N22" s="355" t="n">
        <v>10202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31165</v>
      </c>
      <c r="K28" s="379"/>
      <c r="L28" s="378" t="n">
        <f aca="false">SUM(L21:L27)</f>
        <v>24274</v>
      </c>
      <c r="M28" s="379"/>
      <c r="N28" s="378" t="n">
        <f aca="false">SUM(N21:N27)</f>
        <v>24274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30853.35</v>
      </c>
      <c r="K29" s="384"/>
      <c r="L29" s="383" t="n">
        <f aca="false">L28*0.99</f>
        <v>24031.26</v>
      </c>
      <c r="M29" s="384"/>
      <c r="N29" s="383" t="n">
        <f aca="false">N28*0.99</f>
        <v>24031.26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11789</v>
      </c>
      <c r="F35" s="391"/>
      <c r="G35" s="392"/>
      <c r="H35" s="393" t="n">
        <v>4134</v>
      </c>
      <c r="I35" s="373"/>
      <c r="J35" s="393" t="n">
        <v>16451</v>
      </c>
      <c r="K35" s="373"/>
      <c r="L35" s="393" t="n">
        <v>11789</v>
      </c>
      <c r="M35" s="373"/>
      <c r="N35" s="393" t="n">
        <v>11789</v>
      </c>
      <c r="O35" s="373"/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11789</v>
      </c>
      <c r="F37" s="400" t="s">
        <v>161</v>
      </c>
      <c r="G37" s="388"/>
      <c r="H37" s="401" t="n">
        <f aca="false">SUM(H34:H36)</f>
        <v>4134</v>
      </c>
      <c r="I37" s="402" t="s">
        <v>161</v>
      </c>
      <c r="J37" s="401" t="n">
        <f aca="false">SUM(J34:J36)</f>
        <v>16451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195</v>
      </c>
      <c r="C38" s="355" t="n">
        <f aca="false">49030</f>
        <v>49030</v>
      </c>
      <c r="D38" s="316"/>
      <c r="E38" s="385" t="n">
        <v>-11505</v>
      </c>
      <c r="F38" s="386"/>
      <c r="G38" s="387"/>
      <c r="H38" s="403" t="n">
        <v>-8027</v>
      </c>
      <c r="I38" s="316"/>
      <c r="J38" s="393" t="n">
        <v>-13184</v>
      </c>
      <c r="K38" s="316"/>
      <c r="L38" s="393" t="n">
        <v>-14363</v>
      </c>
      <c r="M38" s="316"/>
      <c r="N38" s="393" t="n">
        <v>-14363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6024</v>
      </c>
      <c r="F39" s="386"/>
      <c r="G39" s="387"/>
      <c r="H39" s="393" t="n">
        <v>9423</v>
      </c>
      <c r="I39" s="316"/>
      <c r="J39" s="393" t="n">
        <v>9423</v>
      </c>
      <c r="K39" s="316"/>
      <c r="L39" s="393" t="n">
        <v>9423</v>
      </c>
      <c r="M39" s="316"/>
      <c r="N39" s="393" t="n">
        <v>9423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-2174</v>
      </c>
      <c r="I42" s="316"/>
      <c r="J42" s="355" t="n">
        <v>-2174</v>
      </c>
      <c r="K42" s="316"/>
      <c r="L42" s="355" t="n">
        <v>-2174</v>
      </c>
      <c r="M42" s="316"/>
      <c r="N42" s="355" t="n">
        <v>-2174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0</v>
      </c>
      <c r="I43" s="401" t="s">
        <v>161</v>
      </c>
      <c r="J43" s="401" t="n">
        <v>0</v>
      </c>
      <c r="K43" s="401" t="s">
        <v>161</v>
      </c>
      <c r="L43" s="401" t="n">
        <v>0</v>
      </c>
      <c r="M43" s="401" t="s">
        <v>161</v>
      </c>
      <c r="N43" s="401" t="n">
        <v>0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6308</v>
      </c>
      <c r="F44" s="407"/>
      <c r="G44" s="408"/>
      <c r="H44" s="378" t="n">
        <f aca="false">SUM(H37:H43)</f>
        <v>3356</v>
      </c>
      <c r="I44" s="409"/>
      <c r="J44" s="378" t="n">
        <f aca="false">SUM(J37:J43)</f>
        <v>10516</v>
      </c>
      <c r="K44" s="409"/>
      <c r="L44" s="378" t="n">
        <f aca="false">SUM(L37:L43)</f>
        <v>4675</v>
      </c>
      <c r="M44" s="409"/>
      <c r="N44" s="378" t="n">
        <f aca="false">SUM(N37:N43)</f>
        <v>4675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10935</v>
      </c>
      <c r="F49" s="391"/>
      <c r="G49" s="392"/>
      <c r="H49" s="410" t="n">
        <v>10935</v>
      </c>
      <c r="I49" s="411"/>
      <c r="J49" s="410" t="n">
        <v>11135</v>
      </c>
      <c r="K49" s="411"/>
      <c r="L49" s="410" t="n">
        <v>10935</v>
      </c>
      <c r="M49" s="411"/>
      <c r="N49" s="410" t="n">
        <v>10935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-11254</v>
      </c>
      <c r="F50" s="386"/>
      <c r="G50" s="387"/>
      <c r="H50" s="415" t="n">
        <v>-10935</v>
      </c>
      <c r="I50" s="316"/>
      <c r="J50" s="415" t="n">
        <v>-10935</v>
      </c>
      <c r="K50" s="316"/>
      <c r="L50" s="415" t="n">
        <v>-10935</v>
      </c>
      <c r="M50" s="316"/>
      <c r="N50" s="415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-319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200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5129</v>
      </c>
      <c r="F52" s="386"/>
      <c r="G52" s="387"/>
      <c r="H52" s="393" t="n">
        <v>6129</v>
      </c>
      <c r="I52" s="316"/>
      <c r="J52" s="393" t="n">
        <v>6129</v>
      </c>
      <c r="K52" s="316"/>
      <c r="L52" s="393" t="n">
        <v>6129</v>
      </c>
      <c r="M52" s="316"/>
      <c r="N52" s="393" t="n">
        <v>6129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4810</v>
      </c>
      <c r="F56" s="419"/>
      <c r="G56" s="420"/>
      <c r="H56" s="378" t="n">
        <f aca="false">SUM(H51:H55)</f>
        <v>6129</v>
      </c>
      <c r="I56" s="421"/>
      <c r="J56" s="378" t="n">
        <f aca="false">SUM(J51:J55)</f>
        <v>6329</v>
      </c>
      <c r="K56" s="421"/>
      <c r="L56" s="378" t="n">
        <f aca="false">SUM(L51:L55)</f>
        <v>6129</v>
      </c>
      <c r="M56" s="421"/>
      <c r="N56" s="378" t="n">
        <f aca="false">SUM(N51:N55)</f>
        <v>6129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4797.975</v>
      </c>
      <c r="F57" s="386"/>
      <c r="G57" s="314"/>
      <c r="H57" s="374" t="n">
        <f aca="false">H56*0.9975</f>
        <v>6113.6775</v>
      </c>
      <c r="I57" s="316"/>
      <c r="J57" s="374" t="n">
        <f aca="false">J56*0.9975</f>
        <v>6313.1775</v>
      </c>
      <c r="K57" s="316"/>
      <c r="L57" s="374" t="n">
        <f aca="false">L56*0.9975</f>
        <v>6113.6775</v>
      </c>
      <c r="M57" s="316"/>
      <c r="N57" s="374" t="n">
        <f aca="false">N56*0.9975</f>
        <v>6113.6775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0.10288740268212</v>
      </c>
      <c r="F58" s="386"/>
      <c r="G58" s="314"/>
      <c r="H58" s="423" t="n">
        <f aca="false">H57/H66</f>
        <v>0.135858715038535</v>
      </c>
      <c r="I58" s="316"/>
      <c r="J58" s="423" t="n">
        <f aca="false">J57/J66</f>
        <v>0.132356307922601</v>
      </c>
      <c r="K58" s="316"/>
      <c r="L58" s="423" t="n">
        <f aca="false">L57/L66</f>
        <v>0.175502565504032</v>
      </c>
      <c r="M58" s="316"/>
      <c r="N58" s="423" t="n">
        <f aca="false">N57/N66</f>
        <v>0.175502565504032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46633.26</v>
      </c>
      <c r="F66" s="434"/>
      <c r="G66" s="314"/>
      <c r="H66" s="427" t="n">
        <f aca="false">H29+H44+H56+H61+H62</f>
        <v>45000.26</v>
      </c>
      <c r="I66" s="316"/>
      <c r="J66" s="427" t="n">
        <f aca="false">J29+J44+J56+J61+J62</f>
        <v>47698.35</v>
      </c>
      <c r="K66" s="316"/>
      <c r="L66" s="427" t="n">
        <f aca="false">L29+L44+L56+L61+L62</f>
        <v>34835.26</v>
      </c>
      <c r="M66" s="316"/>
      <c r="N66" s="427" t="n">
        <f aca="false">N29+N44+N56+N61+N62</f>
        <v>34835.26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0.349999999998545</v>
      </c>
      <c r="K68" s="316"/>
      <c r="L68" s="437" t="n">
        <f aca="false">L66-L11</f>
        <v>-12862.74</v>
      </c>
      <c r="M68" s="316"/>
      <c r="N68" s="437" t="n">
        <f aca="false">N66-N11</f>
        <v>-12862.74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E10" activeCellId="0" sqref="E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45926.8985799771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37011</v>
      </c>
      <c r="F4" s="320"/>
      <c r="G4" s="314"/>
      <c r="H4" s="321" t="n">
        <v>37012</v>
      </c>
      <c r="I4" s="322"/>
      <c r="J4" s="321" t="n">
        <v>37013</v>
      </c>
      <c r="K4" s="322"/>
      <c r="L4" s="321" t="n">
        <v>37014</v>
      </c>
      <c r="M4" s="322"/>
      <c r="N4" s="321" t="n">
        <v>37015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70" t="s">
        <v>193</v>
      </c>
      <c r="F5" s="325"/>
      <c r="G5" s="326"/>
      <c r="H5" s="327" t="s">
        <v>129</v>
      </c>
      <c r="I5" s="326"/>
      <c r="J5" s="327" t="s">
        <v>130</v>
      </c>
      <c r="K5" s="326"/>
      <c r="L5" s="327" t="s">
        <v>131</v>
      </c>
      <c r="M5" s="326"/>
      <c r="N5" s="327" t="s">
        <v>132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71</v>
      </c>
      <c r="F8" s="341" t="n">
        <v>41</v>
      </c>
      <c r="G8" s="342"/>
      <c r="H8" s="335" t="n">
        <v>80</v>
      </c>
      <c r="I8" s="342" t="n">
        <v>49</v>
      </c>
      <c r="J8" s="335" t="n">
        <v>81</v>
      </c>
      <c r="K8" s="342" t="n">
        <v>57</v>
      </c>
      <c r="L8" s="335" t="n">
        <v>80</v>
      </c>
      <c r="M8" s="342" t="n">
        <v>61</v>
      </c>
      <c r="N8" s="335" t="n">
        <v>79</v>
      </c>
      <c r="O8" s="342" t="n">
        <v>62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-9</v>
      </c>
      <c r="F9" s="347"/>
      <c r="G9" s="348"/>
      <c r="H9" s="349" t="n">
        <f aca="false">(H8+I8)/2-65</f>
        <v>-0.5</v>
      </c>
      <c r="I9" s="344"/>
      <c r="J9" s="349" t="n">
        <f aca="false">(J8+K8)/2-65</f>
        <v>4</v>
      </c>
      <c r="K9" s="344"/>
      <c r="L9" s="349" t="n">
        <f aca="false">(L8+M8)/2-65</f>
        <v>5.5</v>
      </c>
      <c r="M9" s="344"/>
      <c r="N9" s="349" t="n">
        <f aca="false">(N8+O8)/2-65</f>
        <v>5.5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65296</v>
      </c>
      <c r="F11" s="353"/>
      <c r="G11" s="314"/>
      <c r="H11" s="354" t="n">
        <v>47698</v>
      </c>
      <c r="I11" s="316"/>
      <c r="J11" s="355" t="n">
        <v>47698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55826.32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9469.68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53296</v>
      </c>
      <c r="F16" s="357"/>
      <c r="G16" s="314"/>
      <c r="H16" s="361" t="n">
        <f aca="false">H11-H17</f>
        <v>35698</v>
      </c>
      <c r="I16" s="316"/>
      <c r="J16" s="361" t="n">
        <f aca="false">J11-J17</f>
        <v>35698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12325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10202</v>
      </c>
      <c r="M22" s="373"/>
      <c r="N22" s="355" t="n">
        <v>10202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-3925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-62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24268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24274</v>
      </c>
      <c r="M28" s="379"/>
      <c r="N28" s="378" t="n">
        <f aca="false">SUM(N21:N27)</f>
        <v>24274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24025.32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24031.26</v>
      </c>
      <c r="M29" s="384"/>
      <c r="N29" s="383" t="n">
        <f aca="false">N28*0.99</f>
        <v>24031.26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13677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44770</v>
      </c>
      <c r="F35" s="391"/>
      <c r="G35" s="392"/>
      <c r="H35" s="393" t="n">
        <v>11789</v>
      </c>
      <c r="I35" s="373"/>
      <c r="J35" s="393" t="n">
        <v>4134</v>
      </c>
      <c r="K35" s="373"/>
      <c r="L35" s="393" t="n">
        <v>11789</v>
      </c>
      <c r="M35" s="373"/>
      <c r="N35" s="393" t="n">
        <v>11789</v>
      </c>
      <c r="O35" s="373"/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58447</v>
      </c>
      <c r="F37" s="400" t="s">
        <v>161</v>
      </c>
      <c r="G37" s="388"/>
      <c r="H37" s="401" t="n">
        <f aca="false">SUM(H34:H36)</f>
        <v>11789</v>
      </c>
      <c r="I37" s="402" t="s">
        <v>161</v>
      </c>
      <c r="J37" s="401" t="n">
        <f aca="false">SUM(J34:J36)</f>
        <v>4134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195</v>
      </c>
      <c r="C38" s="355" t="n">
        <f aca="false">49030</f>
        <v>49030</v>
      </c>
      <c r="D38" s="316"/>
      <c r="E38" s="385" t="n">
        <v>-48296</v>
      </c>
      <c r="F38" s="386"/>
      <c r="G38" s="387"/>
      <c r="H38" s="403" t="n">
        <v>-13853</v>
      </c>
      <c r="I38" s="316"/>
      <c r="J38" s="393" t="n">
        <v>-3648</v>
      </c>
      <c r="K38" s="316"/>
      <c r="L38" s="393" t="n">
        <v>-14363</v>
      </c>
      <c r="M38" s="316"/>
      <c r="N38" s="393" t="n">
        <v>-14363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10374</v>
      </c>
      <c r="F39" s="386"/>
      <c r="G39" s="387"/>
      <c r="H39" s="393" t="n">
        <v>10374</v>
      </c>
      <c r="I39" s="316"/>
      <c r="J39" s="393" t="n">
        <v>7824</v>
      </c>
      <c r="K39" s="316"/>
      <c r="L39" s="393" t="n">
        <v>7824</v>
      </c>
      <c r="M39" s="316"/>
      <c r="N39" s="393" t="n">
        <v>7824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-2174</v>
      </c>
      <c r="I42" s="316"/>
      <c r="J42" s="355" t="n">
        <v>-2174</v>
      </c>
      <c r="K42" s="316"/>
      <c r="L42" s="355" t="n">
        <v>-2174</v>
      </c>
      <c r="M42" s="316"/>
      <c r="N42" s="355" t="n">
        <v>-2174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0</v>
      </c>
      <c r="I43" s="401" t="s">
        <v>161</v>
      </c>
      <c r="J43" s="401" t="n">
        <v>0</v>
      </c>
      <c r="K43" s="401" t="s">
        <v>161</v>
      </c>
      <c r="L43" s="401" t="n">
        <v>0</v>
      </c>
      <c r="M43" s="401" t="s">
        <v>161</v>
      </c>
      <c r="N43" s="401" t="n">
        <v>0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20525</v>
      </c>
      <c r="F44" s="407"/>
      <c r="G44" s="408"/>
      <c r="H44" s="378" t="n">
        <f aca="false">SUM(H37:H43)</f>
        <v>6136</v>
      </c>
      <c r="I44" s="409"/>
      <c r="J44" s="378" t="n">
        <f aca="false">SUM(J37:J43)</f>
        <v>6136</v>
      </c>
      <c r="K44" s="409"/>
      <c r="L44" s="378" t="n">
        <f aca="false">SUM(L37:L43)</f>
        <v>3076</v>
      </c>
      <c r="M44" s="409"/>
      <c r="N44" s="378" t="n">
        <f aca="false">SUM(N37:N43)</f>
        <v>3076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14966</v>
      </c>
      <c r="F49" s="391"/>
      <c r="G49" s="392"/>
      <c r="H49" s="410" t="n">
        <v>10935</v>
      </c>
      <c r="I49" s="411"/>
      <c r="J49" s="410" t="n">
        <v>10935</v>
      </c>
      <c r="K49" s="411"/>
      <c r="L49" s="410" t="n">
        <v>10935</v>
      </c>
      <c r="M49" s="411"/>
      <c r="N49" s="410" t="n">
        <v>10935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-9737</v>
      </c>
      <c r="F50" s="386"/>
      <c r="G50" s="387"/>
      <c r="H50" s="415" t="n">
        <v>-10935</v>
      </c>
      <c r="I50" s="316"/>
      <c r="J50" s="415" t="n">
        <v>-10935</v>
      </c>
      <c r="K50" s="316"/>
      <c r="L50" s="415" t="n">
        <v>-10935</v>
      </c>
      <c r="M50" s="316"/>
      <c r="N50" s="415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5229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6047</v>
      </c>
      <c r="F52" s="386"/>
      <c r="G52" s="387"/>
      <c r="H52" s="393" t="n">
        <v>6047</v>
      </c>
      <c r="I52" s="316"/>
      <c r="J52" s="393" t="n">
        <v>6047</v>
      </c>
      <c r="K52" s="316"/>
      <c r="L52" s="393" t="n">
        <v>6047</v>
      </c>
      <c r="M52" s="316"/>
      <c r="N52" s="393" t="n">
        <v>6047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11276</v>
      </c>
      <c r="F56" s="419"/>
      <c r="G56" s="420"/>
      <c r="H56" s="378" t="n">
        <f aca="false">SUM(H51:H55)</f>
        <v>6047</v>
      </c>
      <c r="I56" s="421"/>
      <c r="J56" s="378" t="n">
        <f aca="false">SUM(J51:J55)</f>
        <v>6047</v>
      </c>
      <c r="K56" s="421"/>
      <c r="L56" s="378" t="n">
        <f aca="false">SUM(L51:L55)</f>
        <v>6047</v>
      </c>
      <c r="M56" s="421"/>
      <c r="N56" s="378" t="n">
        <f aca="false">SUM(N51:N55)</f>
        <v>6047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11247.81</v>
      </c>
      <c r="F57" s="386"/>
      <c r="G57" s="314"/>
      <c r="H57" s="374" t="n">
        <f aca="false">H56*0.9975</f>
        <v>6031.8825</v>
      </c>
      <c r="I57" s="316"/>
      <c r="J57" s="374" t="n">
        <f aca="false">J56*0.9975</f>
        <v>6031.8825</v>
      </c>
      <c r="K57" s="316"/>
      <c r="L57" s="374" t="n">
        <f aca="false">L56*0.9975</f>
        <v>6031.8825</v>
      </c>
      <c r="M57" s="316"/>
      <c r="N57" s="374" t="n">
        <f aca="false">N56*0.9975</f>
        <v>6031.8825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0.201478621553418</v>
      </c>
      <c r="F58" s="386"/>
      <c r="G58" s="314"/>
      <c r="H58" s="423" t="n">
        <f aca="false">H57/H66</f>
        <v>0.12645917272454</v>
      </c>
      <c r="I58" s="316"/>
      <c r="J58" s="423" t="n">
        <f aca="false">J57/J66</f>
        <v>0.12645917272454</v>
      </c>
      <c r="K58" s="316"/>
      <c r="L58" s="423" t="n">
        <f aca="false">L57/L66</f>
        <v>0.181933860083139</v>
      </c>
      <c r="M58" s="316"/>
      <c r="N58" s="423" t="n">
        <f aca="false">N57/N66</f>
        <v>0.181933860083139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55826.32</v>
      </c>
      <c r="F66" s="434"/>
      <c r="G66" s="314"/>
      <c r="H66" s="427" t="n">
        <f aca="false">H29+H44+H56+H61+H62</f>
        <v>47698.26</v>
      </c>
      <c r="I66" s="316"/>
      <c r="J66" s="427" t="n">
        <f aca="false">J29+J44+J56+J61+J62</f>
        <v>47698.26</v>
      </c>
      <c r="K66" s="316"/>
      <c r="L66" s="427" t="n">
        <f aca="false">L29+L44+L56+L61+L62</f>
        <v>33154.26</v>
      </c>
      <c r="M66" s="316"/>
      <c r="N66" s="427" t="n">
        <f aca="false">N29+N44+N56+N61+N62</f>
        <v>33154.26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-14543.74</v>
      </c>
      <c r="M68" s="316"/>
      <c r="N68" s="437" t="n">
        <f aca="false">N66-N11</f>
        <v>-14543.74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3" activePane="bottomRight" state="frozen"/>
      <selection pane="topLeft" activeCell="A1" activeCellId="0" sqref="A1"/>
      <selection pane="topRight" activeCell="E1" activeCellId="0" sqref="E1"/>
      <selection pane="bottomLeft" activeCell="A13" activeCellId="0" sqref="A13"/>
      <selection pane="bottomRight" activeCell="A17" activeCellId="0" sqref="A1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45926.8985800001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37010</v>
      </c>
      <c r="F4" s="320"/>
      <c r="G4" s="314"/>
      <c r="H4" s="321" t="n">
        <v>37011</v>
      </c>
      <c r="I4" s="322"/>
      <c r="J4" s="321" t="n">
        <v>37012</v>
      </c>
      <c r="K4" s="322"/>
      <c r="L4" s="321" t="n">
        <v>37013</v>
      </c>
      <c r="M4" s="322"/>
      <c r="N4" s="321" t="n">
        <v>37014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70" t="s">
        <v>194</v>
      </c>
      <c r="F5" s="325"/>
      <c r="G5" s="326"/>
      <c r="H5" s="327" t="s">
        <v>197</v>
      </c>
      <c r="I5" s="326"/>
      <c r="J5" s="327" t="s">
        <v>129</v>
      </c>
      <c r="K5" s="326"/>
      <c r="L5" s="327" t="s">
        <v>130</v>
      </c>
      <c r="M5" s="326"/>
      <c r="N5" s="327" t="s">
        <v>131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60</v>
      </c>
      <c r="F8" s="341" t="n">
        <v>42</v>
      </c>
      <c r="G8" s="342"/>
      <c r="H8" s="335" t="n">
        <v>71</v>
      </c>
      <c r="I8" s="342" t="n">
        <v>42</v>
      </c>
      <c r="J8" s="335" t="n">
        <v>79</v>
      </c>
      <c r="K8" s="342" t="n">
        <v>54</v>
      </c>
      <c r="L8" s="335" t="n">
        <v>79</v>
      </c>
      <c r="M8" s="342" t="n">
        <v>59</v>
      </c>
      <c r="N8" s="335" t="n">
        <v>83</v>
      </c>
      <c r="O8" s="342" t="n">
        <v>60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-14</v>
      </c>
      <c r="F9" s="347"/>
      <c r="G9" s="348"/>
      <c r="H9" s="349" t="n">
        <f aca="false">(H8+I8)/2-65</f>
        <v>-8.5</v>
      </c>
      <c r="I9" s="344"/>
      <c r="J9" s="349" t="n">
        <f aca="false">(J8+K8)/2-65</f>
        <v>1.5</v>
      </c>
      <c r="K9" s="344"/>
      <c r="L9" s="349" t="n">
        <f aca="false">(L8+M8)/2-65</f>
        <v>4</v>
      </c>
      <c r="M9" s="344"/>
      <c r="N9" s="349" t="n">
        <f aca="false">(N8+O8)/2-65</f>
        <v>6.5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52200</v>
      </c>
      <c r="F11" s="353"/>
      <c r="G11" s="314"/>
      <c r="H11" s="354" t="n">
        <v>65296</v>
      </c>
      <c r="I11" s="316"/>
      <c r="J11" s="355" t="n">
        <v>52698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0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52200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40200</v>
      </c>
      <c r="F16" s="357"/>
      <c r="G16" s="314"/>
      <c r="H16" s="361" t="n">
        <f aca="false">H11-H17</f>
        <v>53296</v>
      </c>
      <c r="I16" s="316"/>
      <c r="J16" s="361" t="n">
        <f aca="false">J11-J17</f>
        <v>40698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0</v>
      </c>
      <c r="F22" s="371"/>
      <c r="G22" s="372"/>
      <c r="H22" s="355" t="n">
        <v>12325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0</v>
      </c>
      <c r="F24" s="329"/>
      <c r="G24" s="314"/>
      <c r="H24" s="355" t="n">
        <v>-3925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0</v>
      </c>
      <c r="F26" s="369"/>
      <c r="G26" s="370"/>
      <c r="H26" s="355" t="n">
        <v>-62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0</v>
      </c>
      <c r="F28" s="377"/>
      <c r="G28" s="314"/>
      <c r="H28" s="378" t="n">
        <f aca="false">SUM(H21:H27)</f>
        <v>24268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0</v>
      </c>
      <c r="F29" s="381"/>
      <c r="G29" s="382"/>
      <c r="H29" s="383" t="n">
        <f aca="false">H28*0.99</f>
        <v>24025.32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13677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0</v>
      </c>
      <c r="F35" s="391"/>
      <c r="G35" s="392"/>
      <c r="H35" s="393" t="n">
        <v>44770</v>
      </c>
      <c r="I35" s="373"/>
      <c r="J35" s="393" t="n">
        <v>11789</v>
      </c>
      <c r="K35" s="373"/>
      <c r="L35" s="393" t="n">
        <v>11789</v>
      </c>
      <c r="M35" s="373"/>
      <c r="N35" s="393" t="n">
        <v>11789</v>
      </c>
      <c r="O35" s="373"/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0</v>
      </c>
      <c r="F37" s="400" t="s">
        <v>161</v>
      </c>
      <c r="G37" s="388"/>
      <c r="H37" s="401" t="n">
        <f aca="false">SUM(H34:H36)</f>
        <v>58447</v>
      </c>
      <c r="I37" s="402" t="s">
        <v>161</v>
      </c>
      <c r="J37" s="401" t="n">
        <f aca="false">SUM(J34:J36)</f>
        <v>11789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195</v>
      </c>
      <c r="C38" s="355" t="n">
        <f aca="false">49030</f>
        <v>49030</v>
      </c>
      <c r="D38" s="316"/>
      <c r="E38" s="385" t="n">
        <v>0</v>
      </c>
      <c r="F38" s="386"/>
      <c r="G38" s="387"/>
      <c r="H38" s="403" t="n">
        <v>-38563</v>
      </c>
      <c r="I38" s="316"/>
      <c r="J38" s="393" t="n">
        <f aca="false">-14337+5484</f>
        <v>-8853</v>
      </c>
      <c r="K38" s="316"/>
      <c r="L38" s="393" t="n">
        <v>-9837</v>
      </c>
      <c r="M38" s="316"/>
      <c r="N38" s="393" t="n">
        <v>-14363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0</v>
      </c>
      <c r="F39" s="386"/>
      <c r="G39" s="387"/>
      <c r="H39" s="393" t="n">
        <v>10374</v>
      </c>
      <c r="I39" s="316"/>
      <c r="J39" s="393" t="n">
        <v>10374</v>
      </c>
      <c r="K39" s="316"/>
      <c r="L39" s="393" t="n">
        <v>10374</v>
      </c>
      <c r="M39" s="316"/>
      <c r="N39" s="393" t="n">
        <v>10374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-2174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0</v>
      </c>
      <c r="I43" s="401" t="s">
        <v>161</v>
      </c>
      <c r="J43" s="401" t="n">
        <v>0</v>
      </c>
      <c r="K43" s="401" t="s">
        <v>161</v>
      </c>
      <c r="L43" s="401" t="n">
        <v>0</v>
      </c>
      <c r="M43" s="401" t="s">
        <v>161</v>
      </c>
      <c r="N43" s="401" t="n">
        <v>0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0</v>
      </c>
      <c r="F44" s="407"/>
      <c r="G44" s="408"/>
      <c r="H44" s="378" t="n">
        <f aca="false">SUM(H37:H43)</f>
        <v>30258</v>
      </c>
      <c r="I44" s="409"/>
      <c r="J44" s="378" t="n">
        <f aca="false">SUM(J37:J43)</f>
        <v>11136</v>
      </c>
      <c r="K44" s="409"/>
      <c r="L44" s="378" t="n">
        <f aca="false">SUM(L37:L43)</f>
        <v>12326</v>
      </c>
      <c r="M44" s="409"/>
      <c r="N44" s="378" t="n">
        <f aca="false">SUM(N37:N43)</f>
        <v>7800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0</v>
      </c>
      <c r="F49" s="391"/>
      <c r="G49" s="392"/>
      <c r="H49" s="410" t="n">
        <v>14966</v>
      </c>
      <c r="I49" s="411"/>
      <c r="J49" s="410" t="n">
        <v>10935</v>
      </c>
      <c r="K49" s="411"/>
      <c r="L49" s="410" t="n">
        <v>10935</v>
      </c>
      <c r="M49" s="411"/>
      <c r="N49" s="410" t="n">
        <v>10935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0</v>
      </c>
      <c r="F50" s="386"/>
      <c r="G50" s="387"/>
      <c r="H50" s="469" t="n">
        <v>-10000</v>
      </c>
      <c r="I50" s="316"/>
      <c r="J50" s="415" t="n">
        <v>-10935</v>
      </c>
      <c r="K50" s="316"/>
      <c r="L50" s="415" t="n">
        <v>-10935</v>
      </c>
      <c r="M50" s="316"/>
      <c r="N50" s="415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0</v>
      </c>
      <c r="F51" s="416"/>
      <c r="G51" s="417"/>
      <c r="H51" s="355" t="n">
        <f aca="false">SUM(H49:H50)</f>
        <v>4966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0</v>
      </c>
      <c r="F52" s="386"/>
      <c r="G52" s="387"/>
      <c r="H52" s="393" t="n">
        <v>6047</v>
      </c>
      <c r="I52" s="316"/>
      <c r="J52" s="393" t="n">
        <v>6047</v>
      </c>
      <c r="K52" s="316"/>
      <c r="L52" s="393" t="n">
        <v>6047</v>
      </c>
      <c r="M52" s="316"/>
      <c r="N52" s="393" t="n">
        <v>6047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0</v>
      </c>
      <c r="F56" s="419"/>
      <c r="G56" s="420"/>
      <c r="H56" s="378" t="n">
        <f aca="false">SUM(H51:H55)</f>
        <v>11013</v>
      </c>
      <c r="I56" s="421"/>
      <c r="J56" s="378" t="n">
        <f aca="false">SUM(J51:J55)</f>
        <v>6047</v>
      </c>
      <c r="K56" s="421"/>
      <c r="L56" s="378" t="n">
        <f aca="false">SUM(L51:L55)</f>
        <v>6047</v>
      </c>
      <c r="M56" s="421"/>
      <c r="N56" s="378" t="n">
        <f aca="false">SUM(N51:N55)</f>
        <v>6047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0</v>
      </c>
      <c r="F57" s="386"/>
      <c r="G57" s="314"/>
      <c r="H57" s="374" t="n">
        <f aca="false">H56*0.9975</f>
        <v>10985.4675</v>
      </c>
      <c r="I57" s="316"/>
      <c r="J57" s="374" t="n">
        <f aca="false">J56*0.9975</f>
        <v>6031.8825</v>
      </c>
      <c r="K57" s="316"/>
      <c r="L57" s="374" t="n">
        <f aca="false">L56*0.9975</f>
        <v>6031.8825</v>
      </c>
      <c r="M57" s="316"/>
      <c r="N57" s="374" t="n">
        <f aca="false">N56*0.9975</f>
        <v>6031.8825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e">
        <f aca="false">E57/E66</f>
        <v>#DIV/0!</v>
      </c>
      <c r="F58" s="386"/>
      <c r="G58" s="314"/>
      <c r="H58" s="423" t="n">
        <f aca="false">H57/H66</f>
        <v>0.168240223951365</v>
      </c>
      <c r="I58" s="316"/>
      <c r="J58" s="423" t="n">
        <f aca="false">J57/J66</f>
        <v>0.114460752594108</v>
      </c>
      <c r="K58" s="316"/>
      <c r="L58" s="423" t="n">
        <f aca="false">L57/L66</f>
        <v>0.111933146477544</v>
      </c>
      <c r="M58" s="316"/>
      <c r="N58" s="423" t="n">
        <f aca="false">N57/N66</f>
        <v>0.12219623858389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0</v>
      </c>
      <c r="F66" s="434"/>
      <c r="G66" s="314"/>
      <c r="H66" s="427" t="n">
        <f aca="false">H29+H44+H56+H61+H62</f>
        <v>65296.32</v>
      </c>
      <c r="I66" s="316"/>
      <c r="J66" s="427" t="n">
        <f aca="false">J29+J44+J56+J61+J62</f>
        <v>52698.26</v>
      </c>
      <c r="K66" s="316"/>
      <c r="L66" s="427" t="n">
        <f aca="false">L29+L44+L56+L61+L62</f>
        <v>53888.26</v>
      </c>
      <c r="M66" s="316"/>
      <c r="N66" s="427" t="n">
        <f aca="false">N29+N44+N56+N61+N62</f>
        <v>49362.26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0.319999999999709</v>
      </c>
      <c r="I68" s="316"/>
      <c r="J68" s="437" t="n">
        <f aca="false">J66-J11</f>
        <v>0.260000000002037</v>
      </c>
      <c r="K68" s="316"/>
      <c r="L68" s="437" t="n">
        <f aca="false">L66-L11</f>
        <v>6190.26</v>
      </c>
      <c r="M68" s="316"/>
      <c r="N68" s="437" t="n">
        <f aca="false">N66-N11</f>
        <v>1664.26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45926.8985800236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37007</v>
      </c>
      <c r="F4" s="320"/>
      <c r="G4" s="314"/>
      <c r="H4" s="321" t="n">
        <v>37008</v>
      </c>
      <c r="I4" s="322"/>
      <c r="J4" s="321" t="n">
        <v>37009</v>
      </c>
      <c r="K4" s="322"/>
      <c r="L4" s="321" t="n">
        <v>37010</v>
      </c>
      <c r="M4" s="322"/>
      <c r="N4" s="321" t="n">
        <v>37011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70" t="s">
        <v>131</v>
      </c>
      <c r="F5" s="325"/>
      <c r="G5" s="326"/>
      <c r="H5" s="327" t="s">
        <v>132</v>
      </c>
      <c r="I5" s="326"/>
      <c r="J5" s="327" t="s">
        <v>133</v>
      </c>
      <c r="K5" s="326"/>
      <c r="L5" s="327" t="s">
        <v>194</v>
      </c>
      <c r="M5" s="326"/>
      <c r="N5" s="327" t="s">
        <v>197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59</v>
      </c>
      <c r="F8" s="341" t="n">
        <v>48</v>
      </c>
      <c r="G8" s="342"/>
      <c r="H8" s="335" t="n">
        <v>75</v>
      </c>
      <c r="I8" s="342" t="n">
        <v>44</v>
      </c>
      <c r="J8" s="335" t="n">
        <v>65</v>
      </c>
      <c r="K8" s="342" t="n">
        <v>54</v>
      </c>
      <c r="L8" s="335" t="n">
        <v>66</v>
      </c>
      <c r="M8" s="342" t="n">
        <v>48</v>
      </c>
      <c r="N8" s="335" t="n">
        <v>78</v>
      </c>
      <c r="O8" s="342" t="n">
        <v>50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-11.5</v>
      </c>
      <c r="F9" s="347"/>
      <c r="G9" s="348"/>
      <c r="H9" s="349" t="n">
        <f aca="false">(H8+I8)/2-65</f>
        <v>-5.5</v>
      </c>
      <c r="I9" s="344"/>
      <c r="J9" s="349" t="n">
        <f aca="false">(J8+K8)/2-65</f>
        <v>-5.5</v>
      </c>
      <c r="K9" s="344"/>
      <c r="L9" s="349" t="n">
        <f aca="false">(L8+M8)/2-65</f>
        <v>-8</v>
      </c>
      <c r="M9" s="344"/>
      <c r="N9" s="349" t="n">
        <f aca="false">(N8+O8)/2-65</f>
        <v>-1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79000</v>
      </c>
      <c r="F11" s="353"/>
      <c r="G11" s="314"/>
      <c r="H11" s="354" t="n">
        <v>62200</v>
      </c>
      <c r="I11" s="316"/>
      <c r="J11" s="355" t="n">
        <v>65915</v>
      </c>
      <c r="K11" s="316"/>
      <c r="L11" s="355" t="n">
        <v>52200</v>
      </c>
      <c r="M11" s="316"/>
      <c r="N11" s="355" t="n">
        <v>47700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93019.32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-14019.32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67000</v>
      </c>
      <c r="F16" s="357"/>
      <c r="G16" s="314"/>
      <c r="H16" s="361" t="n">
        <f aca="false">H11-H17</f>
        <v>50200</v>
      </c>
      <c r="I16" s="316"/>
      <c r="J16" s="361" t="n">
        <f aca="false">J11-J17</f>
        <v>53915</v>
      </c>
      <c r="K16" s="316"/>
      <c r="L16" s="361" t="n">
        <f aca="false">L11-L17</f>
        <v>40200</v>
      </c>
      <c r="M16" s="316"/>
      <c r="N16" s="361" t="n">
        <f aca="false">N11-N17</f>
        <v>35700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23925</v>
      </c>
      <c r="F22" s="371"/>
      <c r="G22" s="372"/>
      <c r="H22" s="355" t="n">
        <v>23925</v>
      </c>
      <c r="I22" s="373"/>
      <c r="J22" s="355" t="n">
        <v>12325</v>
      </c>
      <c r="K22" s="373"/>
      <c r="L22" s="355" t="n">
        <v>12325</v>
      </c>
      <c r="M22" s="373"/>
      <c r="N22" s="355" t="n">
        <v>12325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-3925</v>
      </c>
      <c r="F24" s="329"/>
      <c r="G24" s="314"/>
      <c r="H24" s="355" t="n">
        <v>-3925</v>
      </c>
      <c r="I24" s="316"/>
      <c r="J24" s="355" t="n">
        <v>-3925</v>
      </c>
      <c r="K24" s="316"/>
      <c r="L24" s="355" t="n">
        <v>-3925</v>
      </c>
      <c r="M24" s="316"/>
      <c r="N24" s="355" t="n">
        <v>-3925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-62</v>
      </c>
      <c r="F26" s="369"/>
      <c r="G26" s="370"/>
      <c r="H26" s="355" t="n">
        <v>-62</v>
      </c>
      <c r="I26" s="355"/>
      <c r="J26" s="355" t="n">
        <v>-62</v>
      </c>
      <c r="K26" s="355"/>
      <c r="L26" s="355" t="n">
        <v>-62</v>
      </c>
      <c r="M26" s="355"/>
      <c r="N26" s="355" t="n">
        <v>-62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35868</v>
      </c>
      <c r="F28" s="377"/>
      <c r="G28" s="314"/>
      <c r="H28" s="378" t="n">
        <f aca="false">SUM(H21:H27)</f>
        <v>35868</v>
      </c>
      <c r="I28" s="379"/>
      <c r="J28" s="378" t="n">
        <f aca="false">SUM(J21:J27)</f>
        <v>24268</v>
      </c>
      <c r="K28" s="379"/>
      <c r="L28" s="378" t="n">
        <f aca="false">SUM(L21:L27)</f>
        <v>24268</v>
      </c>
      <c r="M28" s="379"/>
      <c r="N28" s="378" t="n">
        <f aca="false">SUM(N21:N27)</f>
        <v>24268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35509.32</v>
      </c>
      <c r="F29" s="381"/>
      <c r="G29" s="382"/>
      <c r="H29" s="383" t="n">
        <f aca="false">H28*0.99</f>
        <v>35509.32</v>
      </c>
      <c r="I29" s="384"/>
      <c r="J29" s="383" t="n">
        <f aca="false">J28*0.99</f>
        <v>24025.32</v>
      </c>
      <c r="K29" s="384"/>
      <c r="L29" s="383" t="n">
        <f aca="false">L28*0.99</f>
        <v>24025.32</v>
      </c>
      <c r="M29" s="384"/>
      <c r="N29" s="383" t="n">
        <f aca="false">N28*0.99</f>
        <v>24025.32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40000</v>
      </c>
      <c r="F35" s="391"/>
      <c r="G35" s="392"/>
      <c r="H35" s="393" t="n">
        <f aca="false">25867-14000+723</f>
        <v>12590</v>
      </c>
      <c r="I35" s="373"/>
      <c r="J35" s="393" t="n">
        <v>17613</v>
      </c>
      <c r="K35" s="373"/>
      <c r="L35" s="393" t="n">
        <v>17613</v>
      </c>
      <c r="M35" s="373"/>
      <c r="N35" s="393" t="n">
        <v>17613</v>
      </c>
      <c r="O35" s="373"/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40000</v>
      </c>
      <c r="F37" s="400" t="s">
        <v>161</v>
      </c>
      <c r="G37" s="388"/>
      <c r="H37" s="401" t="n">
        <f aca="false">SUM(H34:H36)</f>
        <v>12590</v>
      </c>
      <c r="I37" s="402" t="s">
        <v>161</v>
      </c>
      <c r="J37" s="401" t="n">
        <f aca="false">SUM(J34:J36)</f>
        <v>17613</v>
      </c>
      <c r="K37" s="402" t="s">
        <v>161</v>
      </c>
      <c r="L37" s="401" t="n">
        <f aca="false">SUM(L34:L36)</f>
        <v>17613</v>
      </c>
      <c r="M37" s="402" t="s">
        <v>161</v>
      </c>
      <c r="N37" s="401" t="n">
        <f aca="false">SUM(N34:N36)</f>
        <v>17613</v>
      </c>
      <c r="O37" s="402" t="s">
        <v>161</v>
      </c>
    </row>
    <row r="38" customFormat="false" ht="15.75" hidden="false" customHeight="false" outlineLevel="0" collapsed="false">
      <c r="B38" s="317" t="s">
        <v>195</v>
      </c>
      <c r="C38" s="355" t="n">
        <f aca="false">49030</f>
        <v>49030</v>
      </c>
      <c r="D38" s="316"/>
      <c r="E38" s="385" t="n">
        <v>-4873</v>
      </c>
      <c r="F38" s="386"/>
      <c r="G38" s="387"/>
      <c r="H38" s="393" t="n">
        <v>-10458</v>
      </c>
      <c r="I38" s="316"/>
      <c r="J38" s="393" t="n">
        <v>0</v>
      </c>
      <c r="K38" s="316"/>
      <c r="L38" s="393" t="n">
        <v>-9837</v>
      </c>
      <c r="M38" s="316"/>
      <c r="N38" s="393" t="n">
        <v>-14363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7959</v>
      </c>
      <c r="F39" s="386"/>
      <c r="G39" s="387"/>
      <c r="H39" s="393" t="n">
        <v>8580</v>
      </c>
      <c r="I39" s="316"/>
      <c r="J39" s="393" t="n">
        <v>8580</v>
      </c>
      <c r="K39" s="316"/>
      <c r="L39" s="393" t="n">
        <v>8580</v>
      </c>
      <c r="M39" s="316"/>
      <c r="N39" s="393" t="n">
        <v>8580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0</v>
      </c>
      <c r="I43" s="401" t="s">
        <v>161</v>
      </c>
      <c r="J43" s="401" t="n">
        <v>0</v>
      </c>
      <c r="K43" s="401" t="s">
        <v>161</v>
      </c>
      <c r="L43" s="401" t="n">
        <v>0</v>
      </c>
      <c r="M43" s="401" t="s">
        <v>161</v>
      </c>
      <c r="N43" s="401" t="n">
        <v>0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43086</v>
      </c>
      <c r="F44" s="407"/>
      <c r="G44" s="408"/>
      <c r="H44" s="378" t="n">
        <f aca="false">SUM(H37:H43)</f>
        <v>10712</v>
      </c>
      <c r="I44" s="409"/>
      <c r="J44" s="378" t="n">
        <f aca="false">SUM(J37:J43)</f>
        <v>26193</v>
      </c>
      <c r="K44" s="409"/>
      <c r="L44" s="378" t="n">
        <f aca="false">SUM(L37:L43)</f>
        <v>16356</v>
      </c>
      <c r="M44" s="409"/>
      <c r="N44" s="378" t="n">
        <f aca="false">SUM(N37:N43)</f>
        <v>11830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12557</v>
      </c>
      <c r="F49" s="391"/>
      <c r="G49" s="392"/>
      <c r="H49" s="410" t="n">
        <v>16356</v>
      </c>
      <c r="I49" s="411"/>
      <c r="J49" s="410" t="n">
        <v>14860</v>
      </c>
      <c r="K49" s="411"/>
      <c r="L49" s="410" t="n">
        <v>14940</v>
      </c>
      <c r="M49" s="411"/>
      <c r="N49" s="410" t="n">
        <v>14966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-11110</v>
      </c>
      <c r="F50" s="386"/>
      <c r="G50" s="387"/>
      <c r="H50" s="415" t="n">
        <v>-13354</v>
      </c>
      <c r="I50" s="316"/>
      <c r="J50" s="415" t="n">
        <v>-12140</v>
      </c>
      <c r="K50" s="316"/>
      <c r="L50" s="415" t="n">
        <v>-16098</v>
      </c>
      <c r="M50" s="316"/>
      <c r="N50" s="415" t="n">
        <v>-16098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1447</v>
      </c>
      <c r="F51" s="416"/>
      <c r="G51" s="417"/>
      <c r="H51" s="355" t="n">
        <f aca="false">SUM(H49:H50)</f>
        <v>3002</v>
      </c>
      <c r="I51" s="398"/>
      <c r="J51" s="355" t="n">
        <f aca="false">SUM(J49:J50)</f>
        <v>2720</v>
      </c>
      <c r="K51" s="398"/>
      <c r="L51" s="355" t="n">
        <f aca="false">SUM(L49:L50)</f>
        <v>-1158</v>
      </c>
      <c r="M51" s="398"/>
      <c r="N51" s="355" t="n">
        <f aca="false">SUM(N49:N50)</f>
        <v>-1132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12977</v>
      </c>
      <c r="F52" s="386"/>
      <c r="G52" s="387"/>
      <c r="H52" s="393" t="n">
        <v>12977</v>
      </c>
      <c r="I52" s="316"/>
      <c r="J52" s="393" t="n">
        <v>12977</v>
      </c>
      <c r="K52" s="316"/>
      <c r="L52" s="393" t="n">
        <v>12977</v>
      </c>
      <c r="M52" s="316"/>
      <c r="N52" s="393" t="n">
        <v>12977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14424</v>
      </c>
      <c r="F56" s="419"/>
      <c r="G56" s="420"/>
      <c r="H56" s="378" t="n">
        <f aca="false">SUM(H51:H55)</f>
        <v>15979</v>
      </c>
      <c r="I56" s="421"/>
      <c r="J56" s="378" t="n">
        <f aca="false">SUM(J51:J55)</f>
        <v>15697</v>
      </c>
      <c r="K56" s="421"/>
      <c r="L56" s="378" t="n">
        <f aca="false">SUM(L51:L55)</f>
        <v>11819</v>
      </c>
      <c r="M56" s="421"/>
      <c r="N56" s="378" t="n">
        <f aca="false">SUM(N51:N55)</f>
        <v>11845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14387.94</v>
      </c>
      <c r="F57" s="386"/>
      <c r="G57" s="314"/>
      <c r="H57" s="374" t="n">
        <f aca="false">H56*0.9975</f>
        <v>15939.0525</v>
      </c>
      <c r="I57" s="316"/>
      <c r="J57" s="374" t="n">
        <f aca="false">J56*0.9975</f>
        <v>15657.7575</v>
      </c>
      <c r="K57" s="316"/>
      <c r="L57" s="374" t="n">
        <f aca="false">L56*0.9975</f>
        <v>11789.4525</v>
      </c>
      <c r="M57" s="316"/>
      <c r="N57" s="374" t="n">
        <f aca="false">N56*0.9975</f>
        <v>11815.3875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0.154676899379613</v>
      </c>
      <c r="F58" s="386"/>
      <c r="G58" s="314"/>
      <c r="H58" s="423" t="n">
        <f aca="false">H57/H66</f>
        <v>0.256253544997839</v>
      </c>
      <c r="I58" s="316"/>
      <c r="J58" s="423" t="n">
        <f aca="false">J57/J66</f>
        <v>0.237543525541558</v>
      </c>
      <c r="K58" s="316"/>
      <c r="L58" s="423" t="n">
        <f aca="false">L57/L66</f>
        <v>0.225850195937496</v>
      </c>
      <c r="M58" s="316"/>
      <c r="N58" s="423" t="n">
        <f aca="false">N57/N66</f>
        <v>0.247700382303515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93019.32</v>
      </c>
      <c r="F66" s="434"/>
      <c r="G66" s="314"/>
      <c r="H66" s="427" t="n">
        <f aca="false">H29+H44+H56+H61+H62</f>
        <v>62200.32</v>
      </c>
      <c r="I66" s="316"/>
      <c r="J66" s="427" t="n">
        <f aca="false">J29+J44+J56+J61+J62</f>
        <v>65915.32</v>
      </c>
      <c r="K66" s="316"/>
      <c r="L66" s="427" t="n">
        <f aca="false">L29+L44+L56+L61+L62</f>
        <v>52200.32</v>
      </c>
      <c r="M66" s="316"/>
      <c r="N66" s="427" t="n">
        <f aca="false">N29+N44+N56+N61+N62</f>
        <v>47700.32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0.319999999999709</v>
      </c>
      <c r="I68" s="316"/>
      <c r="J68" s="437" t="n">
        <f aca="false">J66-J11</f>
        <v>0.320000000006985</v>
      </c>
      <c r="K68" s="316"/>
      <c r="L68" s="437" t="n">
        <f aca="false">L66-L11</f>
        <v>0.319999999999709</v>
      </c>
      <c r="M68" s="316"/>
      <c r="N68" s="437" t="n">
        <f aca="false">N66-N11</f>
        <v>0.319999999999709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26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G6" activeCellId="0" sqref="G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9.88"/>
    <col collapsed="false" customWidth="true" hidden="false" outlineLevel="0" max="3" min="3" style="1" width="10.32"/>
    <col collapsed="false" customWidth="true" hidden="false" outlineLevel="0" max="5" min="5" style="1" width="9.44"/>
    <col collapsed="false" customWidth="true" hidden="false" outlineLevel="0" max="7" min="7" style="1" width="10.88"/>
    <col collapsed="false" customWidth="true" hidden="false" outlineLevel="0" max="9" min="9" style="1" width="17.21"/>
    <col collapsed="false" customWidth="true" hidden="false" outlineLevel="0" max="12" min="12" style="1" width="2.32"/>
    <col collapsed="false" customWidth="true" hidden="false" outlineLevel="0" max="13" min="13" style="1" width="3.44"/>
    <col collapsed="false" customWidth="true" hidden="false" outlineLevel="0" max="15" min="15" style="1" width="10.11"/>
  </cols>
  <sheetData>
    <row r="1" customFormat="false" ht="8.25" hidden="false" customHeight="true" outlineLevel="0" collapsed="false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customFormat="false" ht="15.75" hidden="false" customHeight="false" outlineLevel="0" collapsed="false">
      <c r="A2" s="260"/>
      <c r="B2" s="261" t="s">
        <v>110</v>
      </c>
      <c r="C2" s="261"/>
      <c r="D2" s="261"/>
      <c r="E2" s="261"/>
      <c r="F2" s="261"/>
      <c r="G2" s="261"/>
      <c r="H2" s="261"/>
      <c r="I2" s="261"/>
      <c r="J2" s="261"/>
      <c r="K2" s="261"/>
      <c r="L2" s="260"/>
      <c r="M2" s="1" t="n">
        <v>1</v>
      </c>
    </row>
    <row r="3" customFormat="false" ht="15.75" hidden="false" customHeight="false" outlineLevel="0" collapsed="false">
      <c r="A3" s="260"/>
      <c r="B3" s="262"/>
      <c r="C3" s="172"/>
      <c r="D3" s="172"/>
      <c r="E3" s="172"/>
      <c r="F3" s="172"/>
      <c r="G3" s="263" t="n">
        <f aca="true">TODAY()</f>
        <v>45926</v>
      </c>
      <c r="H3" s="172"/>
      <c r="I3" s="172"/>
      <c r="J3" s="172"/>
      <c r="K3" s="264"/>
      <c r="L3" s="260"/>
      <c r="M3" s="1" t="n">
        <v>1</v>
      </c>
    </row>
    <row r="4" customFormat="false" ht="15.75" hidden="false" customHeight="false" outlineLevel="0" collapsed="false">
      <c r="A4" s="260"/>
      <c r="B4" s="262"/>
      <c r="C4" s="172"/>
      <c r="D4" s="172"/>
      <c r="E4" s="172"/>
      <c r="F4" s="172"/>
      <c r="G4" s="172"/>
      <c r="H4" s="172"/>
      <c r="I4" s="172"/>
      <c r="J4" s="172"/>
      <c r="K4" s="264"/>
      <c r="L4" s="260"/>
      <c r="M4" s="1" t="n">
        <v>1</v>
      </c>
    </row>
    <row r="5" customFormat="false" ht="15" hidden="false" customHeight="true" outlineLevel="0" collapsed="false">
      <c r="A5" s="260"/>
      <c r="B5" s="265" t="s">
        <v>111</v>
      </c>
      <c r="C5" s="265"/>
      <c r="D5" s="265"/>
      <c r="E5" s="265"/>
      <c r="F5" s="265"/>
      <c r="G5" s="265"/>
      <c r="H5" s="265"/>
      <c r="I5" s="265"/>
      <c r="J5" s="265"/>
      <c r="K5" s="265"/>
      <c r="L5" s="260"/>
      <c r="M5" s="1" t="n">
        <v>1</v>
      </c>
    </row>
    <row r="6" customFormat="false" ht="15" hidden="false" customHeight="true" outlineLevel="0" collapsed="false">
      <c r="A6" s="260"/>
      <c r="B6" s="266"/>
      <c r="C6" s="267"/>
      <c r="D6" s="267"/>
      <c r="E6" s="267"/>
      <c r="F6" s="268" t="s">
        <v>112</v>
      </c>
      <c r="G6" s="269" t="n">
        <v>37012</v>
      </c>
      <c r="H6" s="268" t="s">
        <v>113</v>
      </c>
      <c r="I6" s="270" t="n">
        <f aca="false">G6+1</f>
        <v>37013</v>
      </c>
      <c r="J6" s="267"/>
      <c r="K6" s="271"/>
      <c r="L6" s="260"/>
      <c r="M6" s="1" t="n">
        <v>1</v>
      </c>
    </row>
    <row r="7" customFormat="false" ht="15.75" hidden="false" customHeight="false" outlineLevel="0" collapsed="false">
      <c r="A7" s="260"/>
      <c r="B7" s="262" t="s">
        <v>114</v>
      </c>
      <c r="C7" s="172"/>
      <c r="D7" s="172"/>
      <c r="E7" s="172"/>
      <c r="F7" s="272" t="s">
        <v>115</v>
      </c>
      <c r="G7" s="273"/>
      <c r="H7" s="274"/>
      <c r="I7" s="273"/>
      <c r="J7" s="172" t="s">
        <v>116</v>
      </c>
      <c r="K7" s="264"/>
      <c r="L7" s="260"/>
      <c r="M7" s="1" t="n">
        <v>1</v>
      </c>
    </row>
    <row r="8" customFormat="false" ht="15.75" hidden="false" customHeight="false" outlineLevel="0" collapsed="false">
      <c r="A8" s="260"/>
      <c r="B8" s="275" t="s">
        <v>117</v>
      </c>
      <c r="C8" s="276"/>
      <c r="D8" s="276" t="s">
        <v>118</v>
      </c>
      <c r="E8" s="172"/>
      <c r="F8" s="277" t="s">
        <v>119</v>
      </c>
      <c r="G8" s="273"/>
      <c r="H8" s="274"/>
      <c r="I8" s="273"/>
      <c r="J8" s="172" t="s">
        <v>120</v>
      </c>
      <c r="K8" s="264"/>
      <c r="L8" s="260"/>
      <c r="M8" s="1" t="n">
        <v>1</v>
      </c>
    </row>
    <row r="9" customFormat="false" ht="15.75" hidden="false" customHeight="false" outlineLevel="0" collapsed="false">
      <c r="A9" s="260"/>
      <c r="B9" s="278" t="s">
        <v>121</v>
      </c>
      <c r="C9" s="198"/>
      <c r="D9" s="198" t="n">
        <v>65066</v>
      </c>
      <c r="E9" s="198"/>
      <c r="F9" s="279" t="n">
        <v>0</v>
      </c>
      <c r="G9" s="273"/>
      <c r="H9" s="280" t="n">
        <v>0</v>
      </c>
      <c r="I9" s="273"/>
      <c r="J9" s="172"/>
      <c r="K9" s="264"/>
      <c r="L9" s="260"/>
      <c r="M9" s="1" t="n">
        <v>1</v>
      </c>
    </row>
    <row r="10" customFormat="false" ht="15.75" hidden="false" customHeight="false" outlineLevel="0" collapsed="false">
      <c r="A10" s="260"/>
      <c r="B10" s="278" t="s">
        <v>121</v>
      </c>
      <c r="C10" s="198"/>
      <c r="D10" s="198" t="n">
        <v>60536</v>
      </c>
      <c r="E10" s="198"/>
      <c r="F10" s="279" t="n">
        <v>0</v>
      </c>
      <c r="G10" s="273"/>
      <c r="H10" s="280" t="n">
        <v>0</v>
      </c>
      <c r="I10" s="273"/>
      <c r="J10" s="172"/>
      <c r="K10" s="264"/>
      <c r="L10" s="260"/>
      <c r="M10" s="1" t="n">
        <v>1</v>
      </c>
    </row>
    <row r="11" customFormat="false" ht="15.75" hidden="false" customHeight="false" outlineLevel="0" collapsed="false">
      <c r="A11" s="260"/>
      <c r="B11" s="278" t="s">
        <v>121</v>
      </c>
      <c r="C11" s="198"/>
      <c r="D11" s="198" t="n">
        <v>38115</v>
      </c>
      <c r="E11" s="198" t="s">
        <v>86</v>
      </c>
      <c r="F11" s="281" t="n">
        <v>0</v>
      </c>
      <c r="G11" s="273"/>
      <c r="H11" s="280" t="n">
        <v>0</v>
      </c>
      <c r="I11" s="273"/>
      <c r="J11" s="172"/>
      <c r="K11" s="264"/>
      <c r="L11" s="260"/>
      <c r="M11" s="1" t="n">
        <v>1</v>
      </c>
    </row>
    <row r="12" customFormat="false" ht="15.75" hidden="false" customHeight="false" outlineLevel="0" collapsed="false">
      <c r="A12" s="260"/>
      <c r="B12" s="278" t="s">
        <v>121</v>
      </c>
      <c r="C12" s="198"/>
      <c r="D12" s="198" t="n">
        <f aca="false">38023-38023+62077</f>
        <v>62077</v>
      </c>
      <c r="E12" s="198" t="s">
        <v>122</v>
      </c>
      <c r="F12" s="281" t="n">
        <v>0</v>
      </c>
      <c r="G12" s="273"/>
      <c r="H12" s="280" t="n">
        <v>0</v>
      </c>
      <c r="I12" s="273"/>
      <c r="J12" s="172"/>
      <c r="K12" s="264"/>
      <c r="L12" s="260"/>
      <c r="M12" s="1" t="n">
        <v>1</v>
      </c>
    </row>
    <row r="13" customFormat="false" ht="15.75" hidden="false" customHeight="false" outlineLevel="0" collapsed="false">
      <c r="A13" s="260"/>
      <c r="B13" s="278" t="s">
        <v>121</v>
      </c>
      <c r="C13" s="198"/>
      <c r="D13" s="282" t="n">
        <f aca="false">38088</f>
        <v>38088</v>
      </c>
      <c r="E13" s="198" t="s">
        <v>79</v>
      </c>
      <c r="F13" s="283" t="n">
        <v>0</v>
      </c>
      <c r="G13" s="273"/>
      <c r="H13" s="280" t="n">
        <v>0</v>
      </c>
      <c r="I13" s="284"/>
      <c r="J13" s="172"/>
      <c r="K13" s="264"/>
      <c r="L13" s="260"/>
      <c r="M13" s="1" t="n">
        <v>1</v>
      </c>
    </row>
    <row r="14" customFormat="false" ht="15.75" hidden="false" customHeight="false" outlineLevel="0" collapsed="false">
      <c r="A14" s="260"/>
      <c r="B14" s="278"/>
      <c r="C14" s="198"/>
      <c r="D14" s="198"/>
      <c r="E14" s="198"/>
      <c r="F14" s="280" t="n">
        <f aca="false">SUM(F9:F13)</f>
        <v>0</v>
      </c>
      <c r="G14" s="273" t="s">
        <v>123</v>
      </c>
      <c r="H14" s="285" t="n">
        <f aca="false">SUM(H9:H13)</f>
        <v>0</v>
      </c>
      <c r="I14" s="273"/>
      <c r="J14" s="172" t="n">
        <f aca="false">SUM(J9:J13)</f>
        <v>0</v>
      </c>
      <c r="K14" s="264"/>
      <c r="L14" s="260"/>
      <c r="M14" s="1" t="n">
        <v>1</v>
      </c>
    </row>
    <row r="15" customFormat="false" ht="15.75" hidden="false" customHeight="false" outlineLevel="0" collapsed="false">
      <c r="A15" s="260"/>
      <c r="B15" s="262"/>
      <c r="C15" s="172"/>
      <c r="D15" s="172"/>
      <c r="E15" s="172"/>
      <c r="F15" s="280"/>
      <c r="G15" s="273"/>
      <c r="H15" s="274"/>
      <c r="I15" s="273"/>
      <c r="J15" s="172"/>
      <c r="K15" s="264"/>
      <c r="L15" s="260"/>
      <c r="M15" s="1" t="n">
        <v>1</v>
      </c>
    </row>
    <row r="16" customFormat="false" ht="16.5" hidden="false" customHeight="false" outlineLevel="0" collapsed="false">
      <c r="A16" s="260"/>
      <c r="B16" s="262"/>
      <c r="C16" s="172"/>
      <c r="D16" s="172"/>
      <c r="E16" s="172"/>
      <c r="F16" s="286"/>
      <c r="G16" s="287"/>
      <c r="H16" s="286"/>
      <c r="I16" s="287"/>
      <c r="J16" s="172"/>
      <c r="K16" s="264"/>
      <c r="L16" s="260"/>
      <c r="M16" s="1" t="n">
        <v>1</v>
      </c>
    </row>
    <row r="17" customFormat="false" ht="15.75" hidden="false" customHeight="false" outlineLevel="0" collapsed="false">
      <c r="A17" s="260"/>
      <c r="B17" s="262"/>
      <c r="C17" s="172"/>
      <c r="D17" s="172"/>
      <c r="E17" s="172"/>
      <c r="F17" s="172"/>
      <c r="G17" s="172"/>
      <c r="H17" s="172"/>
      <c r="I17" s="172"/>
      <c r="J17" s="172"/>
      <c r="K17" s="264"/>
      <c r="L17" s="260"/>
      <c r="M17" s="1" t="n">
        <v>1</v>
      </c>
    </row>
    <row r="18" customFormat="false" ht="16.5" hidden="false" customHeight="false" outlineLevel="0" collapsed="false">
      <c r="A18" s="260"/>
      <c r="B18" s="265" t="s">
        <v>23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0"/>
      <c r="M18" s="1" t="n">
        <v>1</v>
      </c>
    </row>
    <row r="19" customFormat="false" ht="15.75" hidden="false" customHeight="false" outlineLevel="0" collapsed="false">
      <c r="A19" s="260"/>
      <c r="B19" s="266"/>
      <c r="C19" s="267"/>
      <c r="D19" s="267"/>
      <c r="E19" s="267"/>
      <c r="F19" s="268" t="s">
        <v>112</v>
      </c>
      <c r="G19" s="270" t="n">
        <f aca="false">G6</f>
        <v>37012</v>
      </c>
      <c r="H19" s="268" t="s">
        <v>113</v>
      </c>
      <c r="I19" s="270" t="n">
        <f aca="false">I6</f>
        <v>37013</v>
      </c>
      <c r="J19" s="267"/>
      <c r="K19" s="271"/>
      <c r="L19" s="260"/>
      <c r="M19" s="1" t="n">
        <v>1</v>
      </c>
    </row>
    <row r="20" customFormat="false" ht="15.75" hidden="false" customHeight="false" outlineLevel="0" collapsed="false">
      <c r="A20" s="260"/>
      <c r="B20" s="262" t="s">
        <v>114</v>
      </c>
      <c r="C20" s="172"/>
      <c r="D20" s="172"/>
      <c r="E20" s="172"/>
      <c r="F20" s="272" t="s">
        <v>115</v>
      </c>
      <c r="G20" s="273"/>
      <c r="H20" s="274"/>
      <c r="I20" s="273"/>
      <c r="J20" s="172" t="s">
        <v>116</v>
      </c>
      <c r="K20" s="264"/>
      <c r="L20" s="260"/>
      <c r="M20" s="1" t="n">
        <v>1</v>
      </c>
    </row>
    <row r="21" customFormat="false" ht="15.75" hidden="false" customHeight="false" outlineLevel="0" collapsed="false">
      <c r="A21" s="260"/>
      <c r="B21" s="275" t="s">
        <v>117</v>
      </c>
      <c r="C21" s="276"/>
      <c r="D21" s="276" t="s">
        <v>118</v>
      </c>
      <c r="E21" s="172"/>
      <c r="F21" s="277" t="s">
        <v>119</v>
      </c>
      <c r="G21" s="273"/>
      <c r="H21" s="274"/>
      <c r="I21" s="273"/>
      <c r="J21" s="172" t="s">
        <v>120</v>
      </c>
      <c r="K21" s="264"/>
      <c r="L21" s="260"/>
      <c r="M21" s="1" t="n">
        <v>1</v>
      </c>
    </row>
    <row r="22" customFormat="false" ht="15.75" hidden="false" customHeight="false" outlineLevel="0" collapsed="false">
      <c r="A22" s="260"/>
      <c r="B22" s="278" t="s">
        <v>67</v>
      </c>
      <c r="C22" s="198"/>
      <c r="D22" s="198" t="n">
        <v>523666</v>
      </c>
      <c r="E22" s="198"/>
      <c r="F22" s="288" t="n">
        <v>0</v>
      </c>
      <c r="G22" s="273"/>
      <c r="H22" s="280" t="n">
        <v>0</v>
      </c>
      <c r="I22" s="273"/>
      <c r="J22" s="172"/>
      <c r="K22" s="264"/>
      <c r="L22" s="260"/>
      <c r="M22" s="1" t="n">
        <v>1</v>
      </c>
    </row>
    <row r="23" customFormat="false" ht="15.75" hidden="false" customHeight="false" outlineLevel="0" collapsed="false">
      <c r="A23" s="260"/>
      <c r="B23" s="278" t="s">
        <v>67</v>
      </c>
      <c r="C23" s="198"/>
      <c r="D23" s="198" t="n">
        <v>100007</v>
      </c>
      <c r="E23" s="198"/>
      <c r="F23" s="288" t="n">
        <v>0</v>
      </c>
      <c r="G23" s="273"/>
      <c r="H23" s="280" t="n">
        <v>0</v>
      </c>
      <c r="I23" s="273"/>
      <c r="J23" s="172" t="n">
        <f aca="false">SUM(J22)</f>
        <v>0</v>
      </c>
      <c r="K23" s="264"/>
      <c r="L23" s="260"/>
      <c r="M23" s="1" t="n">
        <v>1</v>
      </c>
    </row>
    <row r="24" customFormat="false" ht="15.75" hidden="false" customHeight="false" outlineLevel="0" collapsed="false">
      <c r="A24" s="260"/>
      <c r="B24" s="278" t="s">
        <v>67</v>
      </c>
      <c r="C24" s="198"/>
      <c r="D24" s="198" t="n">
        <v>100104</v>
      </c>
      <c r="E24" s="198"/>
      <c r="F24" s="289" t="n">
        <v>0</v>
      </c>
      <c r="G24" s="273"/>
      <c r="H24" s="290" t="n">
        <f aca="false">5796-5796</f>
        <v>0</v>
      </c>
      <c r="I24" s="273"/>
      <c r="J24" s="172"/>
      <c r="K24" s="264"/>
      <c r="L24" s="260"/>
      <c r="M24" s="1" t="n">
        <v>1</v>
      </c>
    </row>
    <row r="25" customFormat="false" ht="15.75" hidden="false" customHeight="false" outlineLevel="0" collapsed="false">
      <c r="A25" s="260"/>
      <c r="B25" s="278"/>
      <c r="C25" s="198"/>
      <c r="D25" s="198"/>
      <c r="E25" s="198"/>
      <c r="F25" s="280" t="n">
        <f aca="false">SUM(F22:F24)</f>
        <v>0</v>
      </c>
      <c r="G25" s="273" t="s">
        <v>123</v>
      </c>
      <c r="H25" s="280" t="n">
        <f aca="false">SUM(H22:H24)</f>
        <v>0</v>
      </c>
      <c r="I25" s="273"/>
      <c r="J25" s="172"/>
      <c r="K25" s="264"/>
      <c r="L25" s="260"/>
      <c r="M25" s="1" t="n">
        <v>1</v>
      </c>
    </row>
    <row r="26" customFormat="false" ht="16.5" hidden="false" customHeight="false" outlineLevel="0" collapsed="false">
      <c r="A26" s="260"/>
      <c r="B26" s="278"/>
      <c r="C26" s="198"/>
      <c r="D26" s="198"/>
      <c r="E26" s="198"/>
      <c r="F26" s="291"/>
      <c r="G26" s="287"/>
      <c r="H26" s="286"/>
      <c r="I26" s="287"/>
      <c r="J26" s="172"/>
      <c r="K26" s="264"/>
      <c r="L26" s="260"/>
      <c r="M26" s="1" t="n">
        <v>1</v>
      </c>
    </row>
    <row r="27" customFormat="false" ht="15.75" hidden="false" customHeight="false" outlineLevel="0" collapsed="false">
      <c r="A27" s="260"/>
      <c r="B27" s="278"/>
      <c r="C27" s="198"/>
      <c r="D27" s="198"/>
      <c r="E27" s="198"/>
      <c r="F27" s="206"/>
      <c r="G27" s="172"/>
      <c r="H27" s="172"/>
      <c r="I27" s="172"/>
      <c r="J27" s="172"/>
      <c r="K27" s="264"/>
      <c r="L27" s="260"/>
      <c r="M27" s="1" t="n">
        <v>1</v>
      </c>
    </row>
    <row r="28" customFormat="false" ht="15.75" hidden="false" customHeight="false" outlineLevel="0" collapsed="false">
      <c r="A28" s="260"/>
      <c r="B28" s="262" t="s">
        <v>124</v>
      </c>
      <c r="C28" s="172"/>
      <c r="D28" s="172"/>
      <c r="E28" s="172"/>
      <c r="F28" s="206" t="n">
        <f aca="false">F14+F25</f>
        <v>0</v>
      </c>
      <c r="G28" s="172"/>
      <c r="H28" s="206" t="n">
        <f aca="false">H14+H25</f>
        <v>0</v>
      </c>
      <c r="I28" s="172"/>
      <c r="J28" s="172"/>
      <c r="K28" s="264"/>
      <c r="L28" s="260"/>
      <c r="M28" s="1" t="n">
        <v>1</v>
      </c>
    </row>
    <row r="29" customFormat="false" ht="16.5" hidden="false" customHeight="false" outlineLevel="0" collapsed="false">
      <c r="A29" s="260"/>
      <c r="B29" s="292"/>
      <c r="C29" s="293"/>
      <c r="D29" s="293"/>
      <c r="E29" s="293"/>
      <c r="F29" s="293"/>
      <c r="G29" s="293"/>
      <c r="H29" s="293"/>
      <c r="I29" s="293"/>
      <c r="J29" s="293"/>
      <c r="K29" s="294"/>
      <c r="L29" s="260"/>
      <c r="M29" s="1" t="n">
        <v>1</v>
      </c>
    </row>
    <row r="30" customFormat="false" ht="15.75" hidden="false" customHeight="false" outlineLevel="0" collapsed="false">
      <c r="A30" s="260"/>
      <c r="B30" s="295"/>
      <c r="C30" s="296"/>
      <c r="D30" s="296"/>
      <c r="E30" s="296"/>
      <c r="F30" s="296"/>
      <c r="G30" s="296"/>
      <c r="H30" s="296"/>
      <c r="I30" s="296"/>
      <c r="J30" s="296"/>
      <c r="K30" s="297"/>
      <c r="L30" s="260"/>
    </row>
    <row r="31" customFormat="false" ht="16.5" hidden="false" customHeight="false" outlineLevel="0" collapsed="false">
      <c r="A31" s="298"/>
      <c r="B31" s="299"/>
      <c r="C31" s="300"/>
      <c r="D31" s="300"/>
      <c r="E31" s="300"/>
      <c r="F31" s="300"/>
      <c r="G31" s="300"/>
      <c r="H31" s="300"/>
      <c r="I31" s="300"/>
      <c r="J31" s="300"/>
      <c r="K31" s="301"/>
      <c r="L31" s="298"/>
    </row>
    <row r="32" customFormat="false" ht="15.75" hidden="false" customHeight="false" outlineLevel="0" collapsed="false">
      <c r="A32" s="298"/>
      <c r="B32" s="261" t="s">
        <v>110</v>
      </c>
      <c r="C32" s="261"/>
      <c r="D32" s="261"/>
      <c r="E32" s="261"/>
      <c r="F32" s="261"/>
      <c r="G32" s="261"/>
      <c r="H32" s="261"/>
      <c r="I32" s="261"/>
      <c r="J32" s="261"/>
      <c r="K32" s="261"/>
      <c r="L32" s="298"/>
      <c r="M32" s="1" t="n">
        <v>2</v>
      </c>
    </row>
    <row r="33" customFormat="false" ht="15.75" hidden="false" customHeight="false" outlineLevel="0" collapsed="false">
      <c r="A33" s="298"/>
      <c r="B33" s="262"/>
      <c r="C33" s="172"/>
      <c r="D33" s="172"/>
      <c r="E33" s="172"/>
      <c r="F33" s="172"/>
      <c r="G33" s="263" t="n">
        <f aca="true">TODAY()+1</f>
        <v>45927</v>
      </c>
      <c r="H33" s="172"/>
      <c r="I33" s="172"/>
      <c r="J33" s="172"/>
      <c r="K33" s="264"/>
      <c r="L33" s="298"/>
      <c r="M33" s="1" t="n">
        <v>2</v>
      </c>
    </row>
    <row r="34" customFormat="false" ht="15.75" hidden="false" customHeight="false" outlineLevel="0" collapsed="false">
      <c r="A34" s="298"/>
      <c r="B34" s="262"/>
      <c r="C34" s="172"/>
      <c r="D34" s="172"/>
      <c r="E34" s="172"/>
      <c r="F34" s="172"/>
      <c r="G34" s="172"/>
      <c r="H34" s="172"/>
      <c r="I34" s="172"/>
      <c r="J34" s="172"/>
      <c r="K34" s="264"/>
      <c r="L34" s="298"/>
      <c r="M34" s="1" t="n">
        <v>2</v>
      </c>
    </row>
    <row r="35" customFormat="false" ht="16.5" hidden="false" customHeight="false" outlineLevel="0" collapsed="false">
      <c r="A35" s="298"/>
      <c r="B35" s="265" t="s">
        <v>111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98"/>
      <c r="M35" s="1" t="n">
        <v>2</v>
      </c>
    </row>
    <row r="36" customFormat="false" ht="15.75" hidden="false" customHeight="false" outlineLevel="0" collapsed="false">
      <c r="A36" s="298"/>
      <c r="B36" s="266"/>
      <c r="C36" s="267"/>
      <c r="D36" s="267"/>
      <c r="E36" s="267"/>
      <c r="F36" s="268" t="s">
        <v>112</v>
      </c>
      <c r="G36" s="270" t="n">
        <f aca="false">I6</f>
        <v>37013</v>
      </c>
      <c r="H36" s="268" t="s">
        <v>113</v>
      </c>
      <c r="I36" s="270" t="n">
        <f aca="false">G36+1</f>
        <v>37014</v>
      </c>
      <c r="J36" s="267"/>
      <c r="K36" s="271"/>
      <c r="L36" s="298"/>
      <c r="M36" s="1" t="n">
        <v>2</v>
      </c>
    </row>
    <row r="37" customFormat="false" ht="15.75" hidden="false" customHeight="false" outlineLevel="0" collapsed="false">
      <c r="A37" s="298"/>
      <c r="B37" s="262" t="s">
        <v>114</v>
      </c>
      <c r="C37" s="172"/>
      <c r="D37" s="172"/>
      <c r="E37" s="172"/>
      <c r="F37" s="272" t="s">
        <v>115</v>
      </c>
      <c r="G37" s="273"/>
      <c r="H37" s="274"/>
      <c r="I37" s="273"/>
      <c r="J37" s="172" t="s">
        <v>116</v>
      </c>
      <c r="K37" s="264"/>
      <c r="L37" s="298"/>
      <c r="M37" s="1" t="n">
        <v>2</v>
      </c>
    </row>
    <row r="38" customFormat="false" ht="15.75" hidden="false" customHeight="false" outlineLevel="0" collapsed="false">
      <c r="A38" s="298"/>
      <c r="B38" s="275" t="s">
        <v>117</v>
      </c>
      <c r="C38" s="276"/>
      <c r="D38" s="276" t="s">
        <v>118</v>
      </c>
      <c r="E38" s="172"/>
      <c r="F38" s="277" t="s">
        <v>119</v>
      </c>
      <c r="G38" s="273"/>
      <c r="H38" s="274"/>
      <c r="I38" s="273"/>
      <c r="J38" s="172" t="s">
        <v>120</v>
      </c>
      <c r="K38" s="264"/>
      <c r="L38" s="298"/>
      <c r="M38" s="1" t="n">
        <v>2</v>
      </c>
    </row>
    <row r="39" customFormat="false" ht="15.75" hidden="false" customHeight="false" outlineLevel="0" collapsed="false">
      <c r="A39" s="298"/>
      <c r="B39" s="278" t="s">
        <v>121</v>
      </c>
      <c r="C39" s="198"/>
      <c r="D39" s="198" t="n">
        <f aca="false">D9</f>
        <v>65066</v>
      </c>
      <c r="E39" s="198"/>
      <c r="F39" s="279" t="n">
        <f aca="false">H9</f>
        <v>0</v>
      </c>
      <c r="G39" s="273"/>
      <c r="H39" s="280" t="n">
        <v>0</v>
      </c>
      <c r="I39" s="273"/>
      <c r="J39" s="172"/>
      <c r="K39" s="264"/>
      <c r="L39" s="298"/>
      <c r="M39" s="1" t="n">
        <v>2</v>
      </c>
    </row>
    <row r="40" customFormat="false" ht="15.75" hidden="false" customHeight="false" outlineLevel="0" collapsed="false">
      <c r="A40" s="298"/>
      <c r="B40" s="278" t="s">
        <v>121</v>
      </c>
      <c r="C40" s="198"/>
      <c r="D40" s="198" t="n">
        <f aca="false">D10</f>
        <v>60536</v>
      </c>
      <c r="E40" s="198"/>
      <c r="F40" s="279" t="n">
        <f aca="false">H10</f>
        <v>0</v>
      </c>
      <c r="G40" s="273"/>
      <c r="H40" s="280" t="n">
        <v>0</v>
      </c>
      <c r="I40" s="273"/>
      <c r="J40" s="172"/>
      <c r="K40" s="264"/>
      <c r="L40" s="298"/>
      <c r="M40" s="1" t="n">
        <v>2</v>
      </c>
    </row>
    <row r="41" customFormat="false" ht="15.75" hidden="false" customHeight="false" outlineLevel="0" collapsed="false">
      <c r="A41" s="298"/>
      <c r="B41" s="278" t="s">
        <v>121</v>
      </c>
      <c r="C41" s="198"/>
      <c r="D41" s="198" t="n">
        <f aca="false">D11</f>
        <v>38115</v>
      </c>
      <c r="E41" s="198" t="str">
        <f aca="false">E11</f>
        <v>FTS</v>
      </c>
      <c r="F41" s="281" t="n">
        <f aca="false">H11</f>
        <v>0</v>
      </c>
      <c r="G41" s="273"/>
      <c r="H41" s="280" t="n">
        <v>0</v>
      </c>
      <c r="I41" s="273"/>
      <c r="J41" s="172"/>
      <c r="K41" s="264"/>
      <c r="L41" s="298"/>
      <c r="M41" s="1" t="n">
        <v>2</v>
      </c>
    </row>
    <row r="42" customFormat="false" ht="15.75" hidden="false" customHeight="false" outlineLevel="0" collapsed="false">
      <c r="A42" s="298"/>
      <c r="B42" s="278" t="s">
        <v>121</v>
      </c>
      <c r="C42" s="198"/>
      <c r="D42" s="198" t="n">
        <f aca="false">D12</f>
        <v>62077</v>
      </c>
      <c r="E42" s="198" t="str">
        <f aca="false">E12</f>
        <v>Alliance</v>
      </c>
      <c r="F42" s="281" t="n">
        <f aca="false">H12</f>
        <v>0</v>
      </c>
      <c r="G42" s="273"/>
      <c r="H42" s="280" t="n">
        <v>0</v>
      </c>
      <c r="I42" s="273"/>
      <c r="J42" s="172"/>
      <c r="K42" s="264"/>
      <c r="L42" s="298"/>
      <c r="M42" s="1" t="n">
        <v>2</v>
      </c>
    </row>
    <row r="43" customFormat="false" ht="15.75" hidden="false" customHeight="false" outlineLevel="0" collapsed="false">
      <c r="A43" s="298"/>
      <c r="B43" s="278" t="s">
        <v>121</v>
      </c>
      <c r="C43" s="198"/>
      <c r="D43" s="198" t="n">
        <f aca="false">D13</f>
        <v>38088</v>
      </c>
      <c r="E43" s="198" t="str">
        <f aca="false">E13</f>
        <v>SST</v>
      </c>
      <c r="F43" s="283" t="n">
        <f aca="false">H13</f>
        <v>0</v>
      </c>
      <c r="G43" s="273"/>
      <c r="H43" s="280" t="n">
        <v>0</v>
      </c>
      <c r="I43" s="273"/>
      <c r="J43" s="172"/>
      <c r="K43" s="264"/>
      <c r="L43" s="298"/>
      <c r="M43" s="1" t="n">
        <v>2</v>
      </c>
    </row>
    <row r="44" customFormat="false" ht="15.75" hidden="false" customHeight="false" outlineLevel="0" collapsed="false">
      <c r="A44" s="298"/>
      <c r="B44" s="278"/>
      <c r="C44" s="198"/>
      <c r="D44" s="198"/>
      <c r="E44" s="198"/>
      <c r="F44" s="280" t="n">
        <f aca="false">SUM(F39:F43)</f>
        <v>0</v>
      </c>
      <c r="G44" s="273" t="s">
        <v>123</v>
      </c>
      <c r="H44" s="285" t="n">
        <f aca="false">SUM(H39:H43)</f>
        <v>0</v>
      </c>
      <c r="I44" s="273"/>
      <c r="J44" s="172" t="n">
        <f aca="false">SUM(J39:J43)</f>
        <v>0</v>
      </c>
      <c r="K44" s="264"/>
      <c r="L44" s="298"/>
      <c r="M44" s="1" t="n">
        <v>2</v>
      </c>
    </row>
    <row r="45" customFormat="false" ht="15.75" hidden="false" customHeight="false" outlineLevel="0" collapsed="false">
      <c r="A45" s="298"/>
      <c r="B45" s="262"/>
      <c r="C45" s="172"/>
      <c r="D45" s="172"/>
      <c r="E45" s="172"/>
      <c r="F45" s="280"/>
      <c r="G45" s="273"/>
      <c r="H45" s="274"/>
      <c r="I45" s="273"/>
      <c r="J45" s="172"/>
      <c r="K45" s="264"/>
      <c r="L45" s="298"/>
      <c r="M45" s="1" t="n">
        <v>2</v>
      </c>
    </row>
    <row r="46" customFormat="false" ht="16.5" hidden="false" customHeight="false" outlineLevel="0" collapsed="false">
      <c r="A46" s="298"/>
      <c r="B46" s="262"/>
      <c r="C46" s="172"/>
      <c r="D46" s="172"/>
      <c r="E46" s="172"/>
      <c r="F46" s="286"/>
      <c r="G46" s="287"/>
      <c r="H46" s="286"/>
      <c r="I46" s="287"/>
      <c r="J46" s="172"/>
      <c r="K46" s="264"/>
      <c r="L46" s="298"/>
      <c r="M46" s="1" t="n">
        <v>2</v>
      </c>
    </row>
    <row r="47" customFormat="false" ht="15.75" hidden="false" customHeight="false" outlineLevel="0" collapsed="false">
      <c r="A47" s="298"/>
      <c r="B47" s="262"/>
      <c r="C47" s="172"/>
      <c r="D47" s="172"/>
      <c r="E47" s="172"/>
      <c r="F47" s="172"/>
      <c r="G47" s="172"/>
      <c r="H47" s="172"/>
      <c r="I47" s="172"/>
      <c r="J47" s="172"/>
      <c r="K47" s="264"/>
      <c r="L47" s="298"/>
      <c r="M47" s="1" t="n">
        <v>2</v>
      </c>
    </row>
    <row r="48" customFormat="false" ht="16.5" hidden="false" customHeight="false" outlineLevel="0" collapsed="false">
      <c r="A48" s="298"/>
      <c r="B48" s="265" t="s">
        <v>23</v>
      </c>
      <c r="C48" s="265"/>
      <c r="D48" s="265"/>
      <c r="E48" s="265"/>
      <c r="F48" s="265"/>
      <c r="G48" s="265"/>
      <c r="H48" s="265"/>
      <c r="I48" s="265"/>
      <c r="J48" s="265"/>
      <c r="K48" s="265"/>
      <c r="L48" s="298"/>
      <c r="M48" s="1" t="n">
        <v>2</v>
      </c>
    </row>
    <row r="49" customFormat="false" ht="15.75" hidden="false" customHeight="false" outlineLevel="0" collapsed="false">
      <c r="A49" s="298"/>
      <c r="B49" s="266"/>
      <c r="C49" s="267"/>
      <c r="D49" s="267"/>
      <c r="E49" s="267"/>
      <c r="F49" s="268" t="s">
        <v>112</v>
      </c>
      <c r="G49" s="270" t="n">
        <f aca="false">G36</f>
        <v>37013</v>
      </c>
      <c r="H49" s="268" t="s">
        <v>113</v>
      </c>
      <c r="I49" s="270" t="n">
        <f aca="false">G49+1</f>
        <v>37014</v>
      </c>
      <c r="J49" s="267"/>
      <c r="K49" s="271"/>
      <c r="L49" s="298"/>
      <c r="M49" s="1" t="n">
        <v>2</v>
      </c>
    </row>
    <row r="50" customFormat="false" ht="15.75" hidden="false" customHeight="false" outlineLevel="0" collapsed="false">
      <c r="A50" s="298"/>
      <c r="B50" s="262" t="s">
        <v>114</v>
      </c>
      <c r="C50" s="172"/>
      <c r="D50" s="172"/>
      <c r="E50" s="172"/>
      <c r="F50" s="272" t="s">
        <v>115</v>
      </c>
      <c r="G50" s="273"/>
      <c r="H50" s="274"/>
      <c r="I50" s="273"/>
      <c r="J50" s="172" t="s">
        <v>116</v>
      </c>
      <c r="K50" s="264"/>
      <c r="L50" s="298"/>
      <c r="M50" s="1" t="n">
        <v>2</v>
      </c>
    </row>
    <row r="51" customFormat="false" ht="15.75" hidden="false" customHeight="false" outlineLevel="0" collapsed="false">
      <c r="A51" s="298"/>
      <c r="B51" s="275" t="s">
        <v>117</v>
      </c>
      <c r="C51" s="276"/>
      <c r="D51" s="276" t="s">
        <v>118</v>
      </c>
      <c r="E51" s="172"/>
      <c r="F51" s="277" t="s">
        <v>119</v>
      </c>
      <c r="G51" s="273"/>
      <c r="H51" s="274"/>
      <c r="I51" s="273"/>
      <c r="J51" s="172" t="s">
        <v>120</v>
      </c>
      <c r="K51" s="264"/>
      <c r="L51" s="298"/>
      <c r="M51" s="1" t="n">
        <v>2</v>
      </c>
    </row>
    <row r="52" customFormat="false" ht="15.75" hidden="false" customHeight="false" outlineLevel="0" collapsed="false">
      <c r="A52" s="298"/>
      <c r="B52" s="278" t="s">
        <v>67</v>
      </c>
      <c r="C52" s="198"/>
      <c r="D52" s="198" t="n">
        <f aca="false">D22</f>
        <v>523666</v>
      </c>
      <c r="E52" s="198"/>
      <c r="F52" s="288" t="n">
        <f aca="false">H22</f>
        <v>0</v>
      </c>
      <c r="G52" s="273"/>
      <c r="H52" s="280" t="n">
        <v>0</v>
      </c>
      <c r="I52" s="273"/>
      <c r="J52" s="172"/>
      <c r="K52" s="264"/>
      <c r="L52" s="298"/>
      <c r="M52" s="1" t="n">
        <v>2</v>
      </c>
    </row>
    <row r="53" customFormat="false" ht="15.75" hidden="false" customHeight="false" outlineLevel="0" collapsed="false">
      <c r="A53" s="298"/>
      <c r="B53" s="278" t="s">
        <v>67</v>
      </c>
      <c r="C53" s="198"/>
      <c r="D53" s="198" t="n">
        <f aca="false">D23</f>
        <v>100007</v>
      </c>
      <c r="E53" s="198"/>
      <c r="F53" s="288" t="n">
        <f aca="false">H23</f>
        <v>0</v>
      </c>
      <c r="G53" s="273"/>
      <c r="H53" s="302" t="n">
        <v>0</v>
      </c>
      <c r="I53" s="273"/>
      <c r="J53" s="172" t="n">
        <f aca="false">SUM(J52)</f>
        <v>0</v>
      </c>
      <c r="K53" s="264"/>
      <c r="L53" s="298"/>
      <c r="M53" s="1" t="n">
        <v>2</v>
      </c>
    </row>
    <row r="54" customFormat="false" ht="15.75" hidden="false" customHeight="false" outlineLevel="0" collapsed="false">
      <c r="A54" s="298"/>
      <c r="B54" s="278" t="s">
        <v>67</v>
      </c>
      <c r="C54" s="198"/>
      <c r="D54" s="198" t="n">
        <f aca="false">D24</f>
        <v>100104</v>
      </c>
      <c r="E54" s="198"/>
      <c r="F54" s="289" t="n">
        <f aca="false">H24</f>
        <v>0</v>
      </c>
      <c r="G54" s="273"/>
      <c r="H54" s="290" t="n">
        <v>0</v>
      </c>
      <c r="I54" s="273"/>
      <c r="J54" s="172"/>
      <c r="K54" s="264"/>
      <c r="L54" s="298"/>
      <c r="M54" s="1" t="n">
        <v>2</v>
      </c>
    </row>
    <row r="55" customFormat="false" ht="15.75" hidden="false" customHeight="false" outlineLevel="0" collapsed="false">
      <c r="A55" s="298"/>
      <c r="B55" s="278"/>
      <c r="C55" s="198"/>
      <c r="D55" s="198"/>
      <c r="E55" s="198"/>
      <c r="F55" s="280" t="n">
        <f aca="false">SUM(F52:F54)</f>
        <v>0</v>
      </c>
      <c r="G55" s="273" t="s">
        <v>123</v>
      </c>
      <c r="H55" s="280" t="n">
        <f aca="false">SUM(H52:H54)</f>
        <v>0</v>
      </c>
      <c r="I55" s="273"/>
      <c r="J55" s="172"/>
      <c r="K55" s="264"/>
      <c r="L55" s="298"/>
      <c r="M55" s="1" t="n">
        <v>2</v>
      </c>
    </row>
    <row r="56" customFormat="false" ht="16.5" hidden="false" customHeight="false" outlineLevel="0" collapsed="false">
      <c r="A56" s="298"/>
      <c r="B56" s="278"/>
      <c r="C56" s="198"/>
      <c r="D56" s="198"/>
      <c r="E56" s="198"/>
      <c r="F56" s="291"/>
      <c r="G56" s="287"/>
      <c r="H56" s="286"/>
      <c r="I56" s="287"/>
      <c r="J56" s="172"/>
      <c r="K56" s="264"/>
      <c r="L56" s="298"/>
      <c r="M56" s="1" t="n">
        <v>2</v>
      </c>
    </row>
    <row r="57" customFormat="false" ht="15.75" hidden="false" customHeight="false" outlineLevel="0" collapsed="false">
      <c r="A57" s="298"/>
      <c r="B57" s="278"/>
      <c r="C57" s="198"/>
      <c r="D57" s="198"/>
      <c r="E57" s="198"/>
      <c r="F57" s="206"/>
      <c r="G57" s="172"/>
      <c r="H57" s="172"/>
      <c r="I57" s="172"/>
      <c r="J57" s="172"/>
      <c r="K57" s="264"/>
      <c r="L57" s="298"/>
      <c r="M57" s="1" t="n">
        <v>2</v>
      </c>
    </row>
    <row r="58" customFormat="false" ht="15.75" hidden="false" customHeight="false" outlineLevel="0" collapsed="false">
      <c r="A58" s="298"/>
      <c r="B58" s="262" t="s">
        <v>124</v>
      </c>
      <c r="C58" s="172"/>
      <c r="D58" s="172"/>
      <c r="E58" s="172"/>
      <c r="F58" s="206" t="n">
        <f aca="false">F44+F55</f>
        <v>0</v>
      </c>
      <c r="G58" s="172"/>
      <c r="H58" s="206" t="n">
        <f aca="false">H44+H55</f>
        <v>0</v>
      </c>
      <c r="I58" s="172"/>
      <c r="J58" s="172"/>
      <c r="K58" s="264"/>
      <c r="L58" s="298"/>
      <c r="M58" s="1" t="n">
        <v>2</v>
      </c>
    </row>
    <row r="59" customFormat="false" ht="16.5" hidden="false" customHeight="false" outlineLevel="0" collapsed="false">
      <c r="A59" s="298"/>
      <c r="B59" s="292"/>
      <c r="C59" s="293"/>
      <c r="D59" s="293"/>
      <c r="E59" s="293"/>
      <c r="F59" s="293"/>
      <c r="G59" s="293"/>
      <c r="H59" s="293"/>
      <c r="I59" s="293"/>
      <c r="J59" s="293"/>
      <c r="K59" s="294"/>
      <c r="L59" s="298"/>
      <c r="M59" s="1" t="n">
        <v>2</v>
      </c>
    </row>
    <row r="60" customFormat="false" ht="15.75" hidden="false" customHeight="false" outlineLevel="0" collapsed="false">
      <c r="A60" s="298"/>
      <c r="B60" s="299"/>
      <c r="C60" s="300"/>
      <c r="D60" s="300"/>
      <c r="E60" s="300"/>
      <c r="F60" s="300"/>
      <c r="G60" s="300"/>
      <c r="H60" s="300"/>
      <c r="I60" s="300"/>
      <c r="J60" s="300"/>
      <c r="K60" s="301"/>
      <c r="L60" s="298"/>
    </row>
    <row r="61" customFormat="false" ht="16.5" hidden="false" customHeight="false" outlineLevel="0" collapsed="false">
      <c r="A61" s="303"/>
      <c r="B61" s="304"/>
      <c r="C61" s="305"/>
      <c r="D61" s="305"/>
      <c r="E61" s="305"/>
      <c r="F61" s="305"/>
      <c r="G61" s="305"/>
      <c r="H61" s="305"/>
      <c r="I61" s="305"/>
      <c r="J61" s="305"/>
      <c r="K61" s="306"/>
      <c r="L61" s="303"/>
    </row>
    <row r="62" customFormat="false" ht="15.75" hidden="false" customHeight="false" outlineLevel="0" collapsed="false">
      <c r="A62" s="303"/>
      <c r="B62" s="261" t="s">
        <v>125</v>
      </c>
      <c r="C62" s="261"/>
      <c r="D62" s="261"/>
      <c r="E62" s="261"/>
      <c r="F62" s="261"/>
      <c r="G62" s="261"/>
      <c r="H62" s="261"/>
      <c r="I62" s="261"/>
      <c r="J62" s="261"/>
      <c r="K62" s="261"/>
      <c r="L62" s="303"/>
      <c r="M62" s="1" t="n">
        <v>3</v>
      </c>
    </row>
    <row r="63" customFormat="false" ht="15.75" hidden="false" customHeight="false" outlineLevel="0" collapsed="false">
      <c r="A63" s="303"/>
      <c r="B63" s="262"/>
      <c r="C63" s="172"/>
      <c r="D63" s="172"/>
      <c r="E63" s="172"/>
      <c r="F63" s="172"/>
      <c r="G63" s="263" t="n">
        <f aca="true">TODAY()+2</f>
        <v>45928</v>
      </c>
      <c r="H63" s="172"/>
      <c r="I63" s="172"/>
      <c r="J63" s="172"/>
      <c r="K63" s="264"/>
      <c r="L63" s="303"/>
      <c r="M63" s="1" t="n">
        <v>3</v>
      </c>
    </row>
    <row r="64" customFormat="false" ht="15.75" hidden="false" customHeight="false" outlineLevel="0" collapsed="false">
      <c r="A64" s="303"/>
      <c r="B64" s="262"/>
      <c r="C64" s="172"/>
      <c r="D64" s="172"/>
      <c r="E64" s="172"/>
      <c r="F64" s="172"/>
      <c r="G64" s="172"/>
      <c r="H64" s="172"/>
      <c r="I64" s="172"/>
      <c r="J64" s="172"/>
      <c r="K64" s="264"/>
      <c r="L64" s="303"/>
      <c r="M64" s="1" t="n">
        <v>3</v>
      </c>
    </row>
    <row r="65" customFormat="false" ht="16.5" hidden="false" customHeight="false" outlineLevel="0" collapsed="false">
      <c r="A65" s="303"/>
      <c r="B65" s="265" t="s">
        <v>111</v>
      </c>
      <c r="C65" s="265"/>
      <c r="D65" s="265"/>
      <c r="E65" s="265"/>
      <c r="F65" s="265"/>
      <c r="G65" s="265"/>
      <c r="H65" s="265"/>
      <c r="I65" s="265"/>
      <c r="J65" s="265"/>
      <c r="K65" s="265"/>
      <c r="L65" s="303"/>
      <c r="M65" s="1" t="n">
        <v>3</v>
      </c>
    </row>
    <row r="66" customFormat="false" ht="15.75" hidden="false" customHeight="false" outlineLevel="0" collapsed="false">
      <c r="A66" s="303"/>
      <c r="B66" s="266"/>
      <c r="C66" s="267"/>
      <c r="D66" s="267"/>
      <c r="E66" s="267"/>
      <c r="F66" s="268" t="s">
        <v>112</v>
      </c>
      <c r="G66" s="270" t="n">
        <f aca="false">I36</f>
        <v>37014</v>
      </c>
      <c r="H66" s="268" t="s">
        <v>113</v>
      </c>
      <c r="I66" s="270" t="n">
        <f aca="false">G66+1</f>
        <v>37015</v>
      </c>
      <c r="J66" s="267"/>
      <c r="K66" s="271"/>
      <c r="L66" s="303"/>
      <c r="M66" s="1" t="n">
        <v>3</v>
      </c>
    </row>
    <row r="67" customFormat="false" ht="15.75" hidden="false" customHeight="false" outlineLevel="0" collapsed="false">
      <c r="A67" s="303"/>
      <c r="B67" s="262" t="s">
        <v>114</v>
      </c>
      <c r="C67" s="172"/>
      <c r="D67" s="172"/>
      <c r="E67" s="172"/>
      <c r="F67" s="272" t="s">
        <v>115</v>
      </c>
      <c r="G67" s="273"/>
      <c r="H67" s="274"/>
      <c r="I67" s="273"/>
      <c r="J67" s="172" t="s">
        <v>116</v>
      </c>
      <c r="K67" s="264"/>
      <c r="L67" s="303"/>
      <c r="M67" s="1" t="n">
        <v>3</v>
      </c>
    </row>
    <row r="68" customFormat="false" ht="15.75" hidden="false" customHeight="false" outlineLevel="0" collapsed="false">
      <c r="A68" s="303"/>
      <c r="B68" s="275" t="s">
        <v>117</v>
      </c>
      <c r="C68" s="276"/>
      <c r="D68" s="276" t="s">
        <v>118</v>
      </c>
      <c r="E68" s="172"/>
      <c r="F68" s="277" t="s">
        <v>119</v>
      </c>
      <c r="G68" s="273"/>
      <c r="H68" s="274"/>
      <c r="I68" s="273"/>
      <c r="J68" s="172" t="s">
        <v>120</v>
      </c>
      <c r="K68" s="264"/>
      <c r="L68" s="303"/>
      <c r="M68" s="1" t="n">
        <v>3</v>
      </c>
    </row>
    <row r="69" customFormat="false" ht="15.75" hidden="false" customHeight="false" outlineLevel="0" collapsed="false">
      <c r="A69" s="303"/>
      <c r="B69" s="278" t="s">
        <v>121</v>
      </c>
      <c r="C69" s="198"/>
      <c r="D69" s="198" t="n">
        <f aca="false">D9</f>
        <v>65066</v>
      </c>
      <c r="E69" s="198"/>
      <c r="F69" s="279" t="n">
        <f aca="false">H39</f>
        <v>0</v>
      </c>
      <c r="G69" s="273"/>
      <c r="H69" s="280" t="n">
        <v>0</v>
      </c>
      <c r="I69" s="273"/>
      <c r="J69" s="172"/>
      <c r="K69" s="264"/>
      <c r="L69" s="303"/>
      <c r="M69" s="1" t="n">
        <v>3</v>
      </c>
    </row>
    <row r="70" customFormat="false" ht="15.75" hidden="false" customHeight="false" outlineLevel="0" collapsed="false">
      <c r="A70" s="303"/>
      <c r="B70" s="278" t="s">
        <v>121</v>
      </c>
      <c r="C70" s="198"/>
      <c r="D70" s="198" t="n">
        <f aca="false">D10</f>
        <v>60536</v>
      </c>
      <c r="E70" s="198"/>
      <c r="F70" s="279" t="n">
        <f aca="false">H40</f>
        <v>0</v>
      </c>
      <c r="G70" s="273"/>
      <c r="H70" s="280" t="n">
        <v>0</v>
      </c>
      <c r="I70" s="273"/>
      <c r="J70" s="172"/>
      <c r="K70" s="264"/>
      <c r="L70" s="303"/>
      <c r="M70" s="1" t="n">
        <v>3</v>
      </c>
    </row>
    <row r="71" customFormat="false" ht="15.75" hidden="false" customHeight="false" outlineLevel="0" collapsed="false">
      <c r="A71" s="303"/>
      <c r="B71" s="278" t="s">
        <v>121</v>
      </c>
      <c r="C71" s="198"/>
      <c r="D71" s="198" t="n">
        <f aca="false">D11</f>
        <v>38115</v>
      </c>
      <c r="E71" s="198" t="str">
        <f aca="false">E11</f>
        <v>FTS</v>
      </c>
      <c r="F71" s="281" t="n">
        <f aca="false">H41</f>
        <v>0</v>
      </c>
      <c r="G71" s="273"/>
      <c r="H71" s="280" t="n">
        <v>0</v>
      </c>
      <c r="I71" s="273"/>
      <c r="J71" s="172"/>
      <c r="K71" s="264"/>
      <c r="L71" s="303"/>
      <c r="M71" s="1" t="n">
        <v>3</v>
      </c>
    </row>
    <row r="72" customFormat="false" ht="15.75" hidden="false" customHeight="false" outlineLevel="0" collapsed="false">
      <c r="A72" s="303"/>
      <c r="B72" s="278" t="s">
        <v>121</v>
      </c>
      <c r="C72" s="198"/>
      <c r="D72" s="198" t="n">
        <f aca="false">D12</f>
        <v>62077</v>
      </c>
      <c r="E72" s="198" t="str">
        <f aca="false">E12</f>
        <v>Alliance</v>
      </c>
      <c r="F72" s="281" t="n">
        <f aca="false">H42</f>
        <v>0</v>
      </c>
      <c r="G72" s="273"/>
      <c r="H72" s="280" t="n">
        <v>0</v>
      </c>
      <c r="I72" s="273"/>
      <c r="J72" s="172"/>
      <c r="K72" s="264"/>
      <c r="L72" s="303"/>
      <c r="M72" s="1" t="n">
        <v>3</v>
      </c>
    </row>
    <row r="73" customFormat="false" ht="15.75" hidden="false" customHeight="false" outlineLevel="0" collapsed="false">
      <c r="A73" s="303"/>
      <c r="B73" s="278" t="s">
        <v>121</v>
      </c>
      <c r="C73" s="198"/>
      <c r="D73" s="198" t="n">
        <f aca="false">D13</f>
        <v>38088</v>
      </c>
      <c r="E73" s="198" t="str">
        <f aca="false">E13</f>
        <v>SST</v>
      </c>
      <c r="F73" s="283" t="n">
        <f aca="false">H43</f>
        <v>0</v>
      </c>
      <c r="G73" s="273"/>
      <c r="H73" s="280" t="n">
        <v>0</v>
      </c>
      <c r="I73" s="273"/>
      <c r="J73" s="172"/>
      <c r="K73" s="264"/>
      <c r="L73" s="303"/>
      <c r="M73" s="1" t="n">
        <v>3</v>
      </c>
    </row>
    <row r="74" customFormat="false" ht="15.75" hidden="false" customHeight="false" outlineLevel="0" collapsed="false">
      <c r="A74" s="303"/>
      <c r="B74" s="278"/>
      <c r="C74" s="198"/>
      <c r="D74" s="198"/>
      <c r="E74" s="198"/>
      <c r="F74" s="280" t="n">
        <f aca="false">SUM(F69:F73)</f>
        <v>0</v>
      </c>
      <c r="G74" s="273" t="s">
        <v>123</v>
      </c>
      <c r="H74" s="285" t="n">
        <f aca="false">SUM(H69:H73)</f>
        <v>0</v>
      </c>
      <c r="I74" s="273"/>
      <c r="J74" s="172" t="n">
        <f aca="false">SUM(J69:J73)</f>
        <v>0</v>
      </c>
      <c r="K74" s="264"/>
      <c r="L74" s="303"/>
      <c r="M74" s="1" t="n">
        <v>3</v>
      </c>
    </row>
    <row r="75" customFormat="false" ht="15.75" hidden="false" customHeight="false" outlineLevel="0" collapsed="false">
      <c r="A75" s="303"/>
      <c r="B75" s="262"/>
      <c r="C75" s="172"/>
      <c r="D75" s="172"/>
      <c r="E75" s="172"/>
      <c r="F75" s="280"/>
      <c r="G75" s="273"/>
      <c r="H75" s="274"/>
      <c r="I75" s="273"/>
      <c r="J75" s="172"/>
      <c r="K75" s="264"/>
      <c r="L75" s="303"/>
      <c r="M75" s="1" t="n">
        <v>3</v>
      </c>
    </row>
    <row r="76" customFormat="false" ht="16.5" hidden="false" customHeight="false" outlineLevel="0" collapsed="false">
      <c r="A76" s="303"/>
      <c r="B76" s="262"/>
      <c r="C76" s="172"/>
      <c r="D76" s="172"/>
      <c r="E76" s="172"/>
      <c r="F76" s="286"/>
      <c r="G76" s="287"/>
      <c r="H76" s="286"/>
      <c r="I76" s="287"/>
      <c r="J76" s="172"/>
      <c r="K76" s="264"/>
      <c r="L76" s="303"/>
      <c r="M76" s="1" t="n">
        <v>3</v>
      </c>
    </row>
    <row r="77" customFormat="false" ht="15.75" hidden="false" customHeight="false" outlineLevel="0" collapsed="false">
      <c r="A77" s="303"/>
      <c r="B77" s="262"/>
      <c r="C77" s="172"/>
      <c r="D77" s="172"/>
      <c r="E77" s="172"/>
      <c r="F77" s="172"/>
      <c r="G77" s="172"/>
      <c r="H77" s="172"/>
      <c r="I77" s="172"/>
      <c r="J77" s="172"/>
      <c r="K77" s="264"/>
      <c r="L77" s="303"/>
      <c r="M77" s="1" t="n">
        <v>3</v>
      </c>
    </row>
    <row r="78" customFormat="false" ht="16.5" hidden="false" customHeight="false" outlineLevel="0" collapsed="false">
      <c r="A78" s="303"/>
      <c r="B78" s="265" t="s">
        <v>23</v>
      </c>
      <c r="C78" s="265"/>
      <c r="D78" s="265"/>
      <c r="E78" s="265"/>
      <c r="F78" s="265"/>
      <c r="G78" s="265"/>
      <c r="H78" s="265"/>
      <c r="I78" s="265"/>
      <c r="J78" s="265"/>
      <c r="K78" s="265"/>
      <c r="L78" s="303"/>
      <c r="M78" s="1" t="n">
        <v>3</v>
      </c>
    </row>
    <row r="79" customFormat="false" ht="15.75" hidden="false" customHeight="false" outlineLevel="0" collapsed="false">
      <c r="A79" s="303"/>
      <c r="B79" s="266"/>
      <c r="C79" s="267"/>
      <c r="D79" s="267"/>
      <c r="E79" s="267"/>
      <c r="F79" s="268" t="s">
        <v>112</v>
      </c>
      <c r="G79" s="270" t="n">
        <f aca="false">G66</f>
        <v>37014</v>
      </c>
      <c r="H79" s="268" t="s">
        <v>113</v>
      </c>
      <c r="I79" s="270" t="n">
        <f aca="false">G79+1</f>
        <v>37015</v>
      </c>
      <c r="J79" s="267"/>
      <c r="K79" s="271"/>
      <c r="L79" s="303"/>
      <c r="M79" s="1" t="n">
        <v>3</v>
      </c>
    </row>
    <row r="80" customFormat="false" ht="15.75" hidden="false" customHeight="false" outlineLevel="0" collapsed="false">
      <c r="A80" s="303"/>
      <c r="B80" s="262" t="s">
        <v>114</v>
      </c>
      <c r="C80" s="172"/>
      <c r="D80" s="172"/>
      <c r="E80" s="172"/>
      <c r="F80" s="272" t="s">
        <v>115</v>
      </c>
      <c r="G80" s="273"/>
      <c r="H80" s="274"/>
      <c r="I80" s="273"/>
      <c r="J80" s="172" t="s">
        <v>116</v>
      </c>
      <c r="K80" s="264"/>
      <c r="L80" s="303"/>
      <c r="M80" s="1" t="n">
        <v>3</v>
      </c>
    </row>
    <row r="81" customFormat="false" ht="15.75" hidden="false" customHeight="false" outlineLevel="0" collapsed="false">
      <c r="A81" s="303"/>
      <c r="B81" s="275" t="s">
        <v>117</v>
      </c>
      <c r="C81" s="276"/>
      <c r="D81" s="276" t="s">
        <v>118</v>
      </c>
      <c r="E81" s="172"/>
      <c r="F81" s="277" t="s">
        <v>119</v>
      </c>
      <c r="G81" s="273"/>
      <c r="H81" s="274"/>
      <c r="I81" s="273"/>
      <c r="J81" s="172" t="s">
        <v>120</v>
      </c>
      <c r="K81" s="264"/>
      <c r="L81" s="303"/>
      <c r="M81" s="1" t="n">
        <v>3</v>
      </c>
    </row>
    <row r="82" customFormat="false" ht="15.75" hidden="false" customHeight="false" outlineLevel="0" collapsed="false">
      <c r="A82" s="303"/>
      <c r="B82" s="278" t="s">
        <v>67</v>
      </c>
      <c r="C82" s="198"/>
      <c r="D82" s="198" t="n">
        <f aca="false">D22</f>
        <v>523666</v>
      </c>
      <c r="E82" s="198"/>
      <c r="F82" s="288" t="n">
        <f aca="false">H52</f>
        <v>0</v>
      </c>
      <c r="G82" s="273"/>
      <c r="H82" s="280" t="n">
        <v>0</v>
      </c>
      <c r="I82" s="273"/>
      <c r="J82" s="172"/>
      <c r="K82" s="264"/>
      <c r="L82" s="303"/>
      <c r="M82" s="1" t="n">
        <v>3</v>
      </c>
    </row>
    <row r="83" customFormat="false" ht="15.75" hidden="false" customHeight="false" outlineLevel="0" collapsed="false">
      <c r="A83" s="303"/>
      <c r="B83" s="278" t="s">
        <v>67</v>
      </c>
      <c r="C83" s="198"/>
      <c r="D83" s="198" t="n">
        <f aca="false">D23</f>
        <v>100007</v>
      </c>
      <c r="E83" s="198"/>
      <c r="F83" s="307" t="n">
        <f aca="false">H53</f>
        <v>0</v>
      </c>
      <c r="G83" s="273"/>
      <c r="H83" s="280" t="n">
        <v>0</v>
      </c>
      <c r="I83" s="273"/>
      <c r="J83" s="172" t="n">
        <f aca="false">SUM(J82)</f>
        <v>0</v>
      </c>
      <c r="K83" s="264"/>
      <c r="L83" s="303"/>
      <c r="M83" s="1" t="n">
        <v>3</v>
      </c>
    </row>
    <row r="84" customFormat="false" ht="15.75" hidden="false" customHeight="false" outlineLevel="0" collapsed="false">
      <c r="A84" s="303"/>
      <c r="B84" s="278" t="s">
        <v>67</v>
      </c>
      <c r="C84" s="198"/>
      <c r="D84" s="198" t="n">
        <f aca="false">D24</f>
        <v>100104</v>
      </c>
      <c r="E84" s="198"/>
      <c r="F84" s="289" t="n">
        <f aca="false">H54</f>
        <v>0</v>
      </c>
      <c r="G84" s="273"/>
      <c r="H84" s="290" t="n">
        <v>0</v>
      </c>
      <c r="I84" s="273"/>
      <c r="J84" s="172"/>
      <c r="K84" s="264"/>
      <c r="L84" s="303"/>
      <c r="M84" s="1" t="n">
        <v>3</v>
      </c>
    </row>
    <row r="85" customFormat="false" ht="15.75" hidden="false" customHeight="false" outlineLevel="0" collapsed="false">
      <c r="A85" s="303"/>
      <c r="B85" s="278"/>
      <c r="C85" s="198"/>
      <c r="D85" s="198"/>
      <c r="E85" s="198"/>
      <c r="F85" s="280" t="n">
        <f aca="false">SUM(F82:F84)</f>
        <v>0</v>
      </c>
      <c r="G85" s="273" t="s">
        <v>123</v>
      </c>
      <c r="H85" s="280" t="n">
        <f aca="false">SUM(H82:H84)</f>
        <v>0</v>
      </c>
      <c r="I85" s="273"/>
      <c r="J85" s="172"/>
      <c r="K85" s="264"/>
      <c r="L85" s="303"/>
      <c r="M85" s="1" t="n">
        <v>3</v>
      </c>
    </row>
    <row r="86" customFormat="false" ht="16.5" hidden="false" customHeight="false" outlineLevel="0" collapsed="false">
      <c r="A86" s="303"/>
      <c r="B86" s="278"/>
      <c r="C86" s="198"/>
      <c r="D86" s="198"/>
      <c r="E86" s="198"/>
      <c r="F86" s="291"/>
      <c r="G86" s="287"/>
      <c r="H86" s="286"/>
      <c r="I86" s="287"/>
      <c r="J86" s="172"/>
      <c r="K86" s="264"/>
      <c r="L86" s="303"/>
      <c r="M86" s="1" t="n">
        <v>3</v>
      </c>
    </row>
    <row r="87" customFormat="false" ht="15.75" hidden="false" customHeight="false" outlineLevel="0" collapsed="false">
      <c r="A87" s="303"/>
      <c r="B87" s="278"/>
      <c r="C87" s="198"/>
      <c r="D87" s="198"/>
      <c r="E87" s="198"/>
      <c r="F87" s="206"/>
      <c r="G87" s="172"/>
      <c r="H87" s="172"/>
      <c r="I87" s="172"/>
      <c r="J87" s="172"/>
      <c r="K87" s="264"/>
      <c r="L87" s="303"/>
      <c r="M87" s="1" t="n">
        <v>3</v>
      </c>
    </row>
    <row r="88" customFormat="false" ht="15.75" hidden="false" customHeight="false" outlineLevel="0" collapsed="false">
      <c r="A88" s="303"/>
      <c r="B88" s="262" t="s">
        <v>124</v>
      </c>
      <c r="C88" s="172"/>
      <c r="D88" s="172"/>
      <c r="E88" s="172"/>
      <c r="F88" s="206" t="n">
        <f aca="false">F74+F85</f>
        <v>0</v>
      </c>
      <c r="G88" s="172"/>
      <c r="H88" s="206" t="n">
        <f aca="false">H74+H85</f>
        <v>0</v>
      </c>
      <c r="I88" s="172"/>
      <c r="J88" s="172"/>
      <c r="K88" s="264"/>
      <c r="L88" s="303"/>
      <c r="M88" s="1" t="n">
        <v>3</v>
      </c>
    </row>
    <row r="89" customFormat="false" ht="16.5" hidden="false" customHeight="false" outlineLevel="0" collapsed="false">
      <c r="A89" s="303"/>
      <c r="B89" s="292"/>
      <c r="C89" s="293"/>
      <c r="D89" s="293"/>
      <c r="E89" s="293"/>
      <c r="F89" s="293"/>
      <c r="G89" s="293"/>
      <c r="H89" s="293"/>
      <c r="I89" s="293"/>
      <c r="J89" s="293"/>
      <c r="K89" s="294"/>
      <c r="L89" s="303"/>
      <c r="M89" s="1" t="n">
        <v>3</v>
      </c>
    </row>
    <row r="90" customFormat="false" ht="15.75" hidden="false" customHeight="false" outlineLevel="0" collapsed="false">
      <c r="A90" s="303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</row>
    <row r="96" customFormat="false" ht="15.75" hidden="false" customHeight="false" outlineLevel="0" collapsed="false">
      <c r="A96" s="172"/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</row>
    <row r="97" customFormat="false" ht="15.75" hidden="false" customHeight="false" outlineLevel="0" collapsed="false">
      <c r="A97" s="172"/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</row>
    <row r="98" customFormat="false" ht="15.75" hidden="false" customHeight="false" outlineLevel="0" collapsed="false">
      <c r="A98" s="172"/>
      <c r="B98" s="172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</row>
    <row r="99" customFormat="false" ht="15.75" hidden="false" customHeight="false" outlineLevel="0" collapsed="false">
      <c r="A99" s="172"/>
      <c r="B99" s="172"/>
      <c r="C99" s="172"/>
      <c r="D99" s="172"/>
      <c r="E99" s="175"/>
      <c r="F99" s="175"/>
      <c r="G99" s="172"/>
      <c r="H99" s="172"/>
      <c r="I99" s="172"/>
      <c r="J99" s="172"/>
      <c r="K99" s="172"/>
      <c r="L99" s="172"/>
      <c r="M99" s="172"/>
      <c r="N99" s="175"/>
      <c r="O99" s="175"/>
    </row>
    <row r="100" customFormat="false" ht="11.25" hidden="false" customHeight="false" outlineLevel="0" collapsed="false">
      <c r="A100" s="175"/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</row>
    <row r="101" customFormat="false" ht="15.75" hidden="false" customHeight="false" outlineLevel="0" collapsed="false">
      <c r="A101" s="198"/>
      <c r="B101" s="181"/>
      <c r="C101" s="181"/>
      <c r="D101" s="181"/>
      <c r="E101" s="181"/>
      <c r="F101" s="181"/>
      <c r="G101" s="184"/>
      <c r="H101" s="184"/>
      <c r="I101" s="184"/>
      <c r="J101" s="198"/>
      <c r="K101" s="181"/>
      <c r="L101" s="181"/>
      <c r="M101" s="182"/>
      <c r="N101" s="183"/>
      <c r="O101" s="181"/>
      <c r="P101" s="184"/>
      <c r="Q101" s="184"/>
      <c r="R101" s="184"/>
    </row>
    <row r="102" customFormat="false" ht="15" hidden="false" customHeight="false" outlineLevel="0" collapsed="false">
      <c r="A102" s="198"/>
      <c r="B102" s="181"/>
      <c r="C102" s="181"/>
      <c r="D102" s="181"/>
      <c r="E102" s="181"/>
      <c r="F102" s="181"/>
      <c r="G102" s="184"/>
      <c r="H102" s="184"/>
      <c r="I102" s="184"/>
      <c r="J102" s="198"/>
      <c r="K102" s="181"/>
      <c r="L102" s="181"/>
      <c r="M102" s="182"/>
      <c r="N102" s="183"/>
      <c r="O102" s="181"/>
      <c r="P102" s="184"/>
      <c r="Q102" s="184"/>
      <c r="R102" s="184"/>
    </row>
    <row r="103" customFormat="false" ht="15" hidden="false" customHeight="false" outlineLevel="0" collapsed="false">
      <c r="A103" s="198"/>
      <c r="B103" s="181"/>
      <c r="C103" s="181"/>
      <c r="D103" s="181"/>
      <c r="E103" s="181"/>
      <c r="F103" s="181"/>
      <c r="G103" s="184"/>
      <c r="H103" s="184"/>
      <c r="I103" s="184"/>
      <c r="J103" s="198"/>
      <c r="K103" s="181"/>
      <c r="L103" s="181"/>
      <c r="M103" s="182"/>
      <c r="N103" s="183"/>
      <c r="O103" s="181"/>
      <c r="P103" s="184"/>
      <c r="Q103" s="184"/>
      <c r="R103" s="184"/>
    </row>
    <row r="104" customFormat="false" ht="15" hidden="false" customHeight="false" outlineLevel="0" collapsed="false">
      <c r="A104" s="198"/>
      <c r="B104" s="194"/>
      <c r="C104" s="194"/>
      <c r="D104" s="194"/>
      <c r="E104" s="194"/>
      <c r="F104" s="194"/>
      <c r="G104" s="197"/>
      <c r="H104" s="197"/>
      <c r="I104" s="197"/>
      <c r="J104" s="198"/>
      <c r="K104" s="181"/>
      <c r="L104" s="181"/>
      <c r="M104" s="182"/>
      <c r="N104" s="183"/>
      <c r="O104" s="181"/>
      <c r="P104" s="184"/>
      <c r="Q104" s="184"/>
      <c r="R104" s="184"/>
    </row>
    <row r="105" customFormat="false" ht="15" hidden="false" customHeight="false" outlineLevel="0" collapsed="false">
      <c r="A105" s="198"/>
      <c r="B105" s="194"/>
      <c r="C105" s="194"/>
      <c r="D105" s="194"/>
      <c r="E105" s="194"/>
      <c r="F105" s="194"/>
      <c r="G105" s="197"/>
      <c r="H105" s="197"/>
      <c r="I105" s="197"/>
      <c r="J105" s="198"/>
      <c r="K105" s="181"/>
      <c r="L105" s="181"/>
      <c r="M105" s="182"/>
      <c r="N105" s="183"/>
      <c r="O105" s="181"/>
      <c r="P105" s="184"/>
      <c r="Q105" s="184"/>
      <c r="R105" s="184"/>
    </row>
    <row r="106" customFormat="false" ht="15" hidden="false" customHeight="false" outlineLevel="0" collapsed="false">
      <c r="A106" s="198"/>
      <c r="B106" s="194"/>
      <c r="C106" s="194"/>
      <c r="D106" s="194"/>
      <c r="E106" s="194"/>
      <c r="F106" s="194"/>
      <c r="G106" s="197"/>
      <c r="H106" s="197"/>
      <c r="I106" s="197"/>
      <c r="J106" s="198"/>
      <c r="K106" s="181"/>
      <c r="L106" s="181"/>
      <c r="M106" s="182"/>
      <c r="N106" s="183"/>
      <c r="O106" s="181"/>
      <c r="P106" s="184"/>
      <c r="Q106" s="184"/>
      <c r="R106" s="184"/>
    </row>
    <row r="107" customFormat="false" ht="15" hidden="false" customHeight="false" outlineLevel="0" collapsed="false">
      <c r="A107" s="198"/>
      <c r="B107" s="198"/>
      <c r="C107" s="198"/>
      <c r="D107" s="198"/>
      <c r="E107" s="198"/>
      <c r="F107" s="198"/>
      <c r="G107" s="201"/>
      <c r="H107" s="201"/>
      <c r="I107" s="201"/>
      <c r="J107" s="198"/>
      <c r="K107" s="194"/>
      <c r="L107" s="194"/>
      <c r="M107" s="195"/>
      <c r="N107" s="196"/>
      <c r="O107" s="194"/>
      <c r="P107" s="194"/>
      <c r="Q107" s="197"/>
      <c r="R107" s="197"/>
    </row>
    <row r="108" customFormat="false" ht="15" hidden="false" customHeight="false" outlineLevel="0" collapsed="false">
      <c r="A108" s="198"/>
      <c r="B108" s="198"/>
      <c r="C108" s="198"/>
      <c r="D108" s="198"/>
      <c r="E108" s="198"/>
      <c r="F108" s="198"/>
      <c r="G108" s="201"/>
      <c r="H108" s="201"/>
      <c r="I108" s="201"/>
      <c r="J108" s="198"/>
      <c r="K108" s="194"/>
      <c r="L108" s="194"/>
      <c r="M108" s="195"/>
      <c r="N108" s="196"/>
      <c r="O108" s="194"/>
      <c r="P108" s="197"/>
      <c r="Q108" s="197"/>
      <c r="R108" s="197"/>
    </row>
    <row r="109" customFormat="false" ht="15" hidden="false" customHeight="false" outlineLevel="0" collapsed="false">
      <c r="A109" s="198"/>
      <c r="B109" s="198"/>
      <c r="C109" s="198"/>
      <c r="D109" s="198"/>
      <c r="E109" s="198"/>
      <c r="F109" s="198"/>
      <c r="G109" s="201"/>
      <c r="H109" s="201"/>
      <c r="I109" s="201"/>
      <c r="J109" s="198"/>
      <c r="K109" s="194"/>
      <c r="L109" s="194"/>
      <c r="M109" s="195"/>
      <c r="N109" s="196"/>
      <c r="O109" s="194"/>
      <c r="P109" s="197"/>
      <c r="Q109" s="197"/>
      <c r="R109" s="197"/>
    </row>
    <row r="110" customFormat="false" ht="15" hidden="false" customHeight="false" outlineLevel="0" collapsed="false">
      <c r="A110" s="198"/>
      <c r="B110" s="198"/>
      <c r="C110" s="198"/>
      <c r="D110" s="198"/>
      <c r="E110" s="198"/>
      <c r="F110" s="198"/>
      <c r="G110" s="201"/>
      <c r="H110" s="201"/>
      <c r="I110" s="201"/>
      <c r="J110" s="198"/>
      <c r="K110" s="194"/>
      <c r="L110" s="194"/>
      <c r="M110" s="195"/>
      <c r="N110" s="196"/>
      <c r="O110" s="194"/>
      <c r="P110" s="197"/>
      <c r="Q110" s="197"/>
      <c r="R110" s="197"/>
    </row>
    <row r="111" customFormat="false" ht="15" hidden="false" customHeight="false" outlineLevel="0" collapsed="false">
      <c r="A111" s="198"/>
      <c r="B111" s="198"/>
      <c r="C111" s="198"/>
      <c r="D111" s="198"/>
      <c r="E111" s="198"/>
      <c r="F111" s="198"/>
      <c r="G111" s="201"/>
      <c r="H111" s="201"/>
      <c r="I111" s="201"/>
      <c r="J111" s="198"/>
      <c r="K111" s="194"/>
      <c r="L111" s="194"/>
      <c r="M111" s="195"/>
      <c r="N111" s="196"/>
      <c r="O111" s="194"/>
      <c r="P111" s="197"/>
      <c r="Q111" s="197"/>
      <c r="R111" s="197"/>
    </row>
    <row r="112" customFormat="false" ht="15" hidden="false" customHeight="false" outlineLevel="0" collapsed="false">
      <c r="A112" s="198"/>
      <c r="B112" s="198"/>
      <c r="C112" s="198"/>
      <c r="D112" s="198"/>
      <c r="E112" s="198"/>
      <c r="F112" s="198"/>
      <c r="G112" s="201"/>
      <c r="H112" s="201"/>
      <c r="I112" s="201"/>
      <c r="J112" s="198"/>
      <c r="K112" s="194"/>
      <c r="L112" s="194"/>
      <c r="M112" s="195"/>
      <c r="N112" s="196"/>
      <c r="O112" s="194"/>
      <c r="P112" s="197"/>
      <c r="Q112" s="197"/>
      <c r="R112" s="197"/>
    </row>
    <row r="113" customFormat="false" ht="15" hidden="false" customHeight="false" outlineLevel="0" collapsed="false">
      <c r="A113" s="198"/>
      <c r="B113" s="198"/>
      <c r="C113" s="198"/>
      <c r="D113" s="198"/>
      <c r="E113" s="198"/>
      <c r="F113" s="198"/>
      <c r="G113" s="201"/>
      <c r="H113" s="201"/>
      <c r="I113" s="201"/>
      <c r="J113" s="198"/>
      <c r="K113" s="198"/>
      <c r="L113" s="198"/>
      <c r="M113" s="199"/>
      <c r="N113" s="200"/>
      <c r="O113" s="198"/>
      <c r="P113" s="201"/>
      <c r="Q113" s="201"/>
      <c r="R113" s="201"/>
    </row>
    <row r="114" customFormat="false" ht="15.75" hidden="false" customHeight="false" outlineLevel="0" collapsed="false">
      <c r="A114" s="198"/>
      <c r="B114" s="198"/>
      <c r="C114" s="198"/>
      <c r="D114" s="198"/>
      <c r="E114" s="198"/>
      <c r="F114" s="198"/>
      <c r="G114" s="206"/>
      <c r="H114" s="206"/>
      <c r="I114" s="206"/>
      <c r="J114" s="198"/>
      <c r="K114" s="198"/>
      <c r="L114" s="198"/>
      <c r="M114" s="199"/>
      <c r="N114" s="200"/>
      <c r="O114" s="198"/>
      <c r="P114" s="201"/>
      <c r="Q114" s="201"/>
      <c r="R114" s="201"/>
    </row>
    <row r="115" customFormat="false" ht="15" hidden="false" customHeight="false" outlineLevel="0" collapsed="false">
      <c r="A115" s="198"/>
      <c r="B115" s="198"/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199"/>
      <c r="N115" s="200"/>
      <c r="O115" s="198"/>
      <c r="P115" s="201"/>
      <c r="Q115" s="201"/>
      <c r="R115" s="201"/>
      <c r="S115" s="201"/>
      <c r="T115" s="201"/>
    </row>
    <row r="116" customFormat="false" ht="15.75" hidden="false" customHeight="false" outlineLevel="0" collapsed="false">
      <c r="A116" s="198"/>
      <c r="B116" s="172"/>
      <c r="C116" s="172"/>
      <c r="D116" s="172"/>
      <c r="E116" s="172"/>
      <c r="F116" s="172"/>
      <c r="G116" s="172"/>
      <c r="H116" s="172"/>
      <c r="I116" s="172"/>
      <c r="J116" s="172"/>
      <c r="K116" s="198"/>
      <c r="L116" s="198"/>
      <c r="M116" s="199"/>
      <c r="N116" s="200"/>
      <c r="O116" s="198"/>
      <c r="P116" s="201"/>
      <c r="Q116" s="201"/>
      <c r="R116" s="201"/>
      <c r="S116" s="201"/>
      <c r="T116" s="201"/>
    </row>
    <row r="117" customFormat="false" ht="15.75" hidden="false" customHeight="false" outlineLevel="0" collapsed="false">
      <c r="A117" s="172"/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206"/>
      <c r="Q117" s="206"/>
      <c r="R117" s="206"/>
      <c r="S117" s="206"/>
      <c r="T117" s="206"/>
    </row>
    <row r="118" customFormat="false" ht="15.75" hidden="false" customHeight="false" outlineLevel="0" collapsed="false">
      <c r="A118" s="172"/>
      <c r="B118" s="172"/>
      <c r="C118" s="172"/>
      <c r="D118" s="172"/>
      <c r="E118" s="172"/>
      <c r="F118" s="172"/>
      <c r="G118" s="172"/>
      <c r="H118" s="172"/>
      <c r="I118" s="172"/>
      <c r="J118" s="172"/>
      <c r="K118" s="208"/>
      <c r="L118" s="198"/>
      <c r="M118" s="172"/>
      <c r="N118" s="172"/>
      <c r="O118" s="172"/>
    </row>
    <row r="119" customFormat="false" ht="15.75" hidden="false" customHeight="false" outlineLevel="0" collapsed="false">
      <c r="A119" s="172"/>
      <c r="B119" s="172"/>
      <c r="C119" s="172"/>
      <c r="D119" s="172"/>
      <c r="E119" s="172"/>
      <c r="F119" s="172"/>
      <c r="G119" s="172"/>
      <c r="H119" s="172"/>
      <c r="I119" s="172"/>
      <c r="J119" s="172"/>
      <c r="K119" s="209"/>
      <c r="L119" s="172"/>
      <c r="M119" s="206"/>
      <c r="N119" s="172"/>
      <c r="O119" s="172"/>
    </row>
    <row r="120" customFormat="false" ht="15.75" hidden="false" customHeight="false" outlineLevel="0" collapsed="false">
      <c r="A120" s="172"/>
      <c r="B120" s="172"/>
      <c r="C120" s="172"/>
      <c r="D120" s="172"/>
      <c r="E120" s="172"/>
      <c r="F120" s="172"/>
      <c r="G120" s="172"/>
      <c r="H120" s="172"/>
      <c r="I120" s="172"/>
      <c r="J120" s="172"/>
      <c r="K120" s="208"/>
      <c r="L120" s="172"/>
      <c r="M120" s="206"/>
      <c r="N120" s="172"/>
      <c r="O120" s="172"/>
    </row>
    <row r="121" customFormat="false" ht="15.75" hidden="false" customHeight="false" outlineLevel="0" collapsed="false">
      <c r="A121" s="172"/>
      <c r="B121" s="172"/>
      <c r="C121" s="172"/>
      <c r="D121" s="172"/>
      <c r="E121" s="172"/>
      <c r="F121" s="172"/>
      <c r="G121" s="172"/>
      <c r="H121" s="172"/>
      <c r="I121" s="172"/>
      <c r="J121" s="172"/>
      <c r="K121" s="208"/>
      <c r="L121" s="172"/>
      <c r="M121" s="206"/>
      <c r="N121" s="172"/>
      <c r="O121" s="172"/>
    </row>
    <row r="122" customFormat="false" ht="15.75" hidden="false" customHeight="false" outlineLevel="0" collapsed="false">
      <c r="A122" s="172"/>
      <c r="B122" s="172"/>
      <c r="C122" s="172"/>
      <c r="D122" s="172"/>
      <c r="E122" s="172"/>
      <c r="F122" s="172"/>
      <c r="G122" s="172"/>
      <c r="H122" s="172"/>
      <c r="I122" s="172"/>
      <c r="J122" s="172"/>
      <c r="K122" s="208"/>
      <c r="L122" s="172"/>
      <c r="M122" s="206"/>
      <c r="N122" s="172"/>
      <c r="O122" s="172"/>
    </row>
    <row r="123" customFormat="false" ht="15.75" hidden="false" customHeight="false" outlineLevel="0" collapsed="false">
      <c r="A123" s="172"/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</row>
    <row r="124" customFormat="false" ht="15.75" hidden="false" customHeight="false" outlineLevel="0" collapsed="false">
      <c r="A124" s="172"/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</row>
    <row r="125" customFormat="false" ht="15.75" hidden="false" customHeight="false" outlineLevel="0" collapsed="false">
      <c r="A125" s="172"/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</row>
    <row r="126" customFormat="false" ht="15.75" hidden="false" customHeight="false" outlineLevel="0" collapsed="false">
      <c r="A126" s="172"/>
      <c r="B126" s="172"/>
      <c r="C126" s="172"/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</row>
  </sheetData>
  <mergeCells count="9">
    <mergeCell ref="B2:K2"/>
    <mergeCell ref="B5:K5"/>
    <mergeCell ref="B18:K18"/>
    <mergeCell ref="B32:K32"/>
    <mergeCell ref="B35:K35"/>
    <mergeCell ref="B48:K48"/>
    <mergeCell ref="B62:K62"/>
    <mergeCell ref="B65:K65"/>
    <mergeCell ref="B78:K7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E35" activeCellId="0" sqref="E3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45926.898579461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37040</v>
      </c>
      <c r="F4" s="320"/>
      <c r="G4" s="314"/>
      <c r="H4" s="321" t="n">
        <v>37041</v>
      </c>
      <c r="I4" s="322"/>
      <c r="J4" s="321" t="n">
        <v>37042</v>
      </c>
      <c r="K4" s="322"/>
      <c r="L4" s="321" t="n">
        <v>37043</v>
      </c>
      <c r="M4" s="322"/>
      <c r="N4" s="321" t="n">
        <v>37044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129</v>
      </c>
      <c r="F5" s="325"/>
      <c r="G5" s="326"/>
      <c r="H5" s="327" t="s">
        <v>130</v>
      </c>
      <c r="I5" s="326"/>
      <c r="J5" s="327" t="s">
        <v>131</v>
      </c>
      <c r="K5" s="326"/>
      <c r="L5" s="327" t="s">
        <v>132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72</v>
      </c>
      <c r="F8" s="341" t="n">
        <v>61</v>
      </c>
      <c r="G8" s="342"/>
      <c r="H8" s="335" t="n">
        <v>78</v>
      </c>
      <c r="I8" s="342" t="n">
        <v>58</v>
      </c>
      <c r="J8" s="335" t="n">
        <v>72</v>
      </c>
      <c r="K8" s="342" t="n">
        <v>54</v>
      </c>
      <c r="L8" s="335" t="n">
        <v>82</v>
      </c>
      <c r="M8" s="342" t="n">
        <v>59</v>
      </c>
      <c r="N8" s="335" t="n">
        <v>75</v>
      </c>
      <c r="O8" s="342" t="n">
        <v>63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1.5</v>
      </c>
      <c r="F9" s="347"/>
      <c r="G9" s="348"/>
      <c r="H9" s="349" t="n">
        <f aca="false">(H8+I8)/2-65</f>
        <v>3</v>
      </c>
      <c r="I9" s="344"/>
      <c r="J9" s="349" t="n">
        <f aca="false">(J8+K8)/2-65</f>
        <v>-2</v>
      </c>
      <c r="K9" s="344"/>
      <c r="L9" s="349" t="n">
        <f aca="false">(L8+M8)/2-65</f>
        <v>5.5</v>
      </c>
      <c r="M9" s="344"/>
      <c r="N9" s="349" t="n">
        <f aca="false">(N8+O8)/2-65</f>
        <v>4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4" t="n">
        <v>42698</v>
      </c>
      <c r="I11" s="316"/>
      <c r="J11" s="355" t="n">
        <v>43000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45744.26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-3045.26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30699</v>
      </c>
      <c r="F16" s="357"/>
      <c r="G16" s="314"/>
      <c r="H16" s="361" t="n">
        <f aca="false">H11-H17</f>
        <v>30698</v>
      </c>
      <c r="I16" s="316"/>
      <c r="J16" s="361" t="n">
        <f aca="false">J11-J17</f>
        <v>31000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2571</v>
      </c>
      <c r="F35" s="391"/>
      <c r="G35" s="392"/>
      <c r="H35" s="393" t="n">
        <v>2571</v>
      </c>
      <c r="I35" s="394" t="n">
        <f aca="false">H35+H43</f>
        <v>0</v>
      </c>
      <c r="J35" s="393" t="n">
        <v>2571</v>
      </c>
      <c r="K35" s="394" t="n">
        <f aca="false">J35+J43</f>
        <v>0</v>
      </c>
      <c r="L35" s="393" t="n">
        <v>17352</v>
      </c>
      <c r="M35" s="394" t="n">
        <f aca="false">L35+L43</f>
        <v>14781</v>
      </c>
      <c r="N35" s="393" t="n">
        <v>17352</v>
      </c>
      <c r="O35" s="394" t="n">
        <f aca="false">N35+N43</f>
        <v>14781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2571</v>
      </c>
      <c r="F37" s="400" t="s">
        <v>161</v>
      </c>
      <c r="G37" s="388"/>
      <c r="H37" s="401" t="n">
        <f aca="false">SUM(H34:H36)</f>
        <v>2571</v>
      </c>
      <c r="I37" s="402" t="s">
        <v>161</v>
      </c>
      <c r="J37" s="401" t="n">
        <f aca="false">SUM(J34:J36)</f>
        <v>2571</v>
      </c>
      <c r="K37" s="402" t="s">
        <v>161</v>
      </c>
      <c r="L37" s="401" t="n">
        <f aca="false">SUM(L34:L36)</f>
        <v>17352</v>
      </c>
      <c r="M37" s="402" t="s">
        <v>161</v>
      </c>
      <c r="N37" s="401" t="n">
        <f aca="false">SUM(N34:N36)</f>
        <v>17352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-7174</v>
      </c>
      <c r="F38" s="386"/>
      <c r="G38" s="387"/>
      <c r="H38" s="403" t="n">
        <v>-9470</v>
      </c>
      <c r="I38" s="316"/>
      <c r="J38" s="393" t="n">
        <v>-9168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10399</v>
      </c>
      <c r="F39" s="386"/>
      <c r="G39" s="387"/>
      <c r="H39" s="393" t="n">
        <v>10399</v>
      </c>
      <c r="I39" s="316"/>
      <c r="J39" s="393" t="n">
        <v>10399</v>
      </c>
      <c r="K39" s="316"/>
      <c r="L39" s="393" t="n">
        <v>10399</v>
      </c>
      <c r="M39" s="316"/>
      <c r="N39" s="393" t="n">
        <v>10399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3225</v>
      </c>
      <c r="F44" s="407"/>
      <c r="G44" s="408"/>
      <c r="H44" s="378" t="n">
        <f aca="false">SUM(H37:H43)</f>
        <v>929</v>
      </c>
      <c r="I44" s="409"/>
      <c r="J44" s="378" t="n">
        <f aca="false">SUM(J37:J43)</f>
        <v>1231</v>
      </c>
      <c r="K44" s="409"/>
      <c r="L44" s="378" t="n">
        <f aca="false">SUM(L37:L43)</f>
        <v>25180</v>
      </c>
      <c r="M44" s="409"/>
      <c r="N44" s="378" t="n">
        <f aca="false">SUM(N37:N43)</f>
        <v>25180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4163</v>
      </c>
      <c r="F49" s="391"/>
      <c r="G49" s="392"/>
      <c r="H49" s="410" t="n">
        <v>11091</v>
      </c>
      <c r="I49" s="411"/>
      <c r="J49" s="410" t="n">
        <v>11385</v>
      </c>
      <c r="K49" s="411"/>
      <c r="L49" s="410" t="n">
        <v>9933</v>
      </c>
      <c r="M49" s="411"/>
      <c r="N49" s="410" t="n">
        <v>9933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-3413</v>
      </c>
      <c r="F50" s="386"/>
      <c r="G50" s="387"/>
      <c r="H50" s="415" t="n">
        <v>-11091</v>
      </c>
      <c r="I50" s="316"/>
      <c r="J50" s="415" t="n">
        <v>-11385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750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9933</v>
      </c>
      <c r="M51" s="398"/>
      <c r="N51" s="355" t="n">
        <f aca="false">SUM(N49:N50)</f>
        <v>9933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6254</v>
      </c>
      <c r="F52" s="386"/>
      <c r="G52" s="387"/>
      <c r="H52" s="393" t="n">
        <v>6254</v>
      </c>
      <c r="I52" s="316"/>
      <c r="J52" s="393" t="n">
        <v>6254</v>
      </c>
      <c r="K52" s="316"/>
      <c r="L52" s="393" t="n">
        <v>6254</v>
      </c>
      <c r="M52" s="316"/>
      <c r="N52" s="393" t="n">
        <v>6254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7004</v>
      </c>
      <c r="F56" s="419"/>
      <c r="G56" s="420"/>
      <c r="H56" s="378" t="n">
        <f aca="false">SUM(H51:H55)</f>
        <v>6254</v>
      </c>
      <c r="I56" s="421"/>
      <c r="J56" s="378" t="n">
        <f aca="false">SUM(J51:J55)</f>
        <v>6254</v>
      </c>
      <c r="K56" s="421"/>
      <c r="L56" s="378" t="n">
        <f aca="false">SUM(L51:L55)</f>
        <v>16187</v>
      </c>
      <c r="M56" s="421"/>
      <c r="N56" s="378" t="n">
        <f aca="false">SUM(N51:N55)</f>
        <v>16187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6986.49</v>
      </c>
      <c r="F57" s="386"/>
      <c r="G57" s="314"/>
      <c r="H57" s="374" t="n">
        <f aca="false">H56*0.9975</f>
        <v>6238.365</v>
      </c>
      <c r="I57" s="316"/>
      <c r="J57" s="374" t="n">
        <f aca="false">J56*0.9975</f>
        <v>6238.365</v>
      </c>
      <c r="K57" s="316"/>
      <c r="L57" s="374" t="n">
        <f aca="false">L56*0.9975</f>
        <v>16146.5325</v>
      </c>
      <c r="M57" s="316"/>
      <c r="N57" s="374" t="n">
        <f aca="false">N56*0.9975</f>
        <v>16146.5325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0.152729326040032</v>
      </c>
      <c r="F58" s="386"/>
      <c r="G58" s="314"/>
      <c r="H58" s="423" t="n">
        <f aca="false">H57/H66</f>
        <v>0.146103494615471</v>
      </c>
      <c r="I58" s="316"/>
      <c r="J58" s="423" t="n">
        <f aca="false">J57/J66</f>
        <v>0.145077378601897</v>
      </c>
      <c r="K58" s="316"/>
      <c r="L58" s="423" t="n">
        <f aca="false">L57/L66</f>
        <v>0.210016361381676</v>
      </c>
      <c r="M58" s="316"/>
      <c r="N58" s="423" t="n">
        <f aca="false">N57/N66</f>
        <v>0.210016361381676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45744.26</v>
      </c>
      <c r="F66" s="434"/>
      <c r="G66" s="314"/>
      <c r="H66" s="427" t="n">
        <f aca="false">H29+H44+H56+H61+H62</f>
        <v>42698.26</v>
      </c>
      <c r="I66" s="316"/>
      <c r="J66" s="427" t="n">
        <f aca="false">J29+J44+J56+J61+J62</f>
        <v>43000.26</v>
      </c>
      <c r="K66" s="316"/>
      <c r="L66" s="427" t="n">
        <f aca="false">L29+L44+L56+L61+L62</f>
        <v>76882.26</v>
      </c>
      <c r="M66" s="316"/>
      <c r="N66" s="427" t="n">
        <f aca="false">N29+N44+N56+N61+N62</f>
        <v>76882.26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29184.26</v>
      </c>
      <c r="M68" s="316"/>
      <c r="N68" s="437" t="n">
        <f aca="false">N66-N11</f>
        <v>29184.26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45926.8985794831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37039</v>
      </c>
      <c r="F4" s="320"/>
      <c r="G4" s="314"/>
      <c r="H4" s="321" t="n">
        <v>37040</v>
      </c>
      <c r="I4" s="322"/>
      <c r="J4" s="321" t="n">
        <v>37041</v>
      </c>
      <c r="K4" s="322"/>
      <c r="L4" s="321" t="n">
        <v>37042</v>
      </c>
      <c r="M4" s="322"/>
      <c r="N4" s="321" t="n">
        <v>37043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193</v>
      </c>
      <c r="F5" s="325"/>
      <c r="G5" s="326"/>
      <c r="H5" s="327" t="s">
        <v>129</v>
      </c>
      <c r="I5" s="326"/>
      <c r="J5" s="327" t="s">
        <v>130</v>
      </c>
      <c r="K5" s="326"/>
      <c r="L5" s="327" t="s">
        <v>131</v>
      </c>
      <c r="M5" s="326"/>
      <c r="N5" s="327" t="s">
        <v>132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71</v>
      </c>
      <c r="F8" s="341" t="n">
        <v>63</v>
      </c>
      <c r="G8" s="342"/>
      <c r="H8" s="335" t="n">
        <v>83</v>
      </c>
      <c r="I8" s="342" t="n">
        <v>58</v>
      </c>
      <c r="J8" s="335" t="n">
        <v>76</v>
      </c>
      <c r="K8" s="342" t="n">
        <v>58</v>
      </c>
      <c r="L8" s="335" t="n">
        <v>72</v>
      </c>
      <c r="M8" s="342" t="n">
        <v>50</v>
      </c>
      <c r="N8" s="335" t="n">
        <v>76</v>
      </c>
      <c r="O8" s="342" t="n">
        <v>58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2</v>
      </c>
      <c r="F9" s="347"/>
      <c r="G9" s="348"/>
      <c r="H9" s="349" t="n">
        <f aca="false">(H8+I8)/2-65</f>
        <v>5.5</v>
      </c>
      <c r="I9" s="344"/>
      <c r="J9" s="349" t="n">
        <f aca="false">(J8+K8)/2-65</f>
        <v>2</v>
      </c>
      <c r="K9" s="344"/>
      <c r="L9" s="349" t="n">
        <f aca="false">(L8+M8)/2-65</f>
        <v>-4</v>
      </c>
      <c r="M9" s="344"/>
      <c r="N9" s="349" t="n">
        <f aca="false">(N8+O8)/2-65</f>
        <v>2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5" t="n">
        <v>42699</v>
      </c>
      <c r="I11" s="316"/>
      <c r="J11" s="355" t="n">
        <v>42699</v>
      </c>
      <c r="K11" s="316"/>
      <c r="L11" s="355" t="n">
        <v>42699</v>
      </c>
      <c r="M11" s="316"/>
      <c r="N11" s="355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40368.26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2330.74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30699</v>
      </c>
      <c r="F16" s="357"/>
      <c r="G16" s="314"/>
      <c r="H16" s="361" t="n">
        <f aca="false">H11-H17</f>
        <v>30699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14781+2571</f>
        <v>17352</v>
      </c>
      <c r="F35" s="391"/>
      <c r="G35" s="392"/>
      <c r="H35" s="393" t="n">
        <v>2571</v>
      </c>
      <c r="I35" s="394" t="n">
        <f aca="false">H35+H43</f>
        <v>0</v>
      </c>
      <c r="J35" s="393" t="n">
        <v>2571</v>
      </c>
      <c r="K35" s="394" t="n">
        <f aca="false">J35+J43</f>
        <v>0</v>
      </c>
      <c r="L35" s="393" t="n">
        <v>17352</v>
      </c>
      <c r="M35" s="394" t="n">
        <f aca="false">L35+L43</f>
        <v>14781</v>
      </c>
      <c r="N35" s="393" t="n">
        <v>17352</v>
      </c>
      <c r="O35" s="394" t="n">
        <f aca="false">N35+N43</f>
        <v>14781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17352</v>
      </c>
      <c r="F37" s="400" t="s">
        <v>161</v>
      </c>
      <c r="G37" s="388"/>
      <c r="H37" s="401" t="n">
        <f aca="false">SUM(H34:H36)</f>
        <v>2571</v>
      </c>
      <c r="I37" s="402" t="s">
        <v>161</v>
      </c>
      <c r="J37" s="401" t="n">
        <f aca="false">SUM(J34:J36)</f>
        <v>2571</v>
      </c>
      <c r="K37" s="402" t="s">
        <v>161</v>
      </c>
      <c r="L37" s="401" t="n">
        <f aca="false">SUM(L34:L36)</f>
        <v>17352</v>
      </c>
      <c r="M37" s="402" t="s">
        <v>161</v>
      </c>
      <c r="N37" s="401" t="n">
        <f aca="false">SUM(N34:N36)</f>
        <v>17352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-22556</v>
      </c>
      <c r="F38" s="386"/>
      <c r="G38" s="387"/>
      <c r="H38" s="393" t="n">
        <v>-9469</v>
      </c>
      <c r="I38" s="316"/>
      <c r="J38" s="393" t="n">
        <v>-9469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10399</v>
      </c>
      <c r="F39" s="386"/>
      <c r="G39" s="387"/>
      <c r="H39" s="393" t="n">
        <v>10399</v>
      </c>
      <c r="I39" s="316"/>
      <c r="J39" s="393" t="n">
        <v>10399</v>
      </c>
      <c r="K39" s="316"/>
      <c r="L39" s="393" t="n">
        <v>10399</v>
      </c>
      <c r="M39" s="316"/>
      <c r="N39" s="393" t="n">
        <v>10399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2624</v>
      </c>
      <c r="F44" s="407"/>
      <c r="G44" s="408"/>
      <c r="H44" s="378" t="n">
        <f aca="false">SUM(H37:H43)</f>
        <v>930</v>
      </c>
      <c r="I44" s="409"/>
      <c r="J44" s="378" t="n">
        <f aca="false">SUM(J37:J43)</f>
        <v>930</v>
      </c>
      <c r="K44" s="409"/>
      <c r="L44" s="378" t="n">
        <f aca="false">SUM(L37:L43)</f>
        <v>25180</v>
      </c>
      <c r="M44" s="409"/>
      <c r="N44" s="378" t="n">
        <f aca="false">SUM(N37:N43)</f>
        <v>25180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4206</v>
      </c>
      <c r="F49" s="391"/>
      <c r="G49" s="392"/>
      <c r="H49" s="410" t="n">
        <f aca="false">9049-4886</f>
        <v>4163</v>
      </c>
      <c r="I49" s="411"/>
      <c r="J49" s="410" t="n">
        <v>11091</v>
      </c>
      <c r="K49" s="411"/>
      <c r="L49" s="410" t="n">
        <v>9933</v>
      </c>
      <c r="M49" s="411"/>
      <c r="N49" s="410" t="n">
        <v>9933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-8231</v>
      </c>
      <c r="F50" s="386"/>
      <c r="G50" s="387"/>
      <c r="H50" s="415" t="n">
        <v>-4163</v>
      </c>
      <c r="I50" s="316"/>
      <c r="J50" s="415" t="n">
        <v>-11091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-4025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9933</v>
      </c>
      <c r="M51" s="398"/>
      <c r="N51" s="355" t="n">
        <f aca="false">SUM(N49:N50)</f>
        <v>9933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6254</v>
      </c>
      <c r="F52" s="386"/>
      <c r="G52" s="387"/>
      <c r="H52" s="393" t="n">
        <v>6254</v>
      </c>
      <c r="I52" s="316"/>
      <c r="J52" s="393" t="n">
        <v>6254</v>
      </c>
      <c r="K52" s="316"/>
      <c r="L52" s="393" t="n">
        <v>6254</v>
      </c>
      <c r="M52" s="316"/>
      <c r="N52" s="393" t="n">
        <v>6254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2229</v>
      </c>
      <c r="F56" s="419"/>
      <c r="G56" s="420"/>
      <c r="H56" s="378" t="n">
        <f aca="false">SUM(H51:H55)</f>
        <v>6254</v>
      </c>
      <c r="I56" s="421"/>
      <c r="J56" s="378" t="n">
        <f aca="false">SUM(J51:J55)</f>
        <v>6254</v>
      </c>
      <c r="K56" s="421"/>
      <c r="L56" s="378" t="n">
        <f aca="false">SUM(L51:L55)</f>
        <v>16187</v>
      </c>
      <c r="M56" s="421"/>
      <c r="N56" s="378" t="n">
        <f aca="false">SUM(N51:N55)</f>
        <v>16187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2223.4275</v>
      </c>
      <c r="F57" s="386"/>
      <c r="G57" s="314"/>
      <c r="H57" s="374" t="n">
        <f aca="false">H56*0.9975</f>
        <v>6238.365</v>
      </c>
      <c r="I57" s="316"/>
      <c r="J57" s="374" t="n">
        <f aca="false">J56*0.9975</f>
        <v>6238.365</v>
      </c>
      <c r="K57" s="316"/>
      <c r="L57" s="374" t="n">
        <f aca="false">L56*0.9975</f>
        <v>16146.5325</v>
      </c>
      <c r="M57" s="316"/>
      <c r="N57" s="374" t="n">
        <f aca="false">N56*0.9975</f>
        <v>16146.5325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0.0550786063109978</v>
      </c>
      <c r="F58" s="386"/>
      <c r="G58" s="314"/>
      <c r="H58" s="423" t="n">
        <f aca="false">H57/H66</f>
        <v>0.146100072928664</v>
      </c>
      <c r="I58" s="316"/>
      <c r="J58" s="423" t="n">
        <f aca="false">J57/J66</f>
        <v>0.146100072928664</v>
      </c>
      <c r="K58" s="316"/>
      <c r="L58" s="423" t="n">
        <f aca="false">L57/L66</f>
        <v>0.210016361381676</v>
      </c>
      <c r="M58" s="316"/>
      <c r="N58" s="423" t="n">
        <f aca="false">N57/N66</f>
        <v>0.210016361381676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40368.26</v>
      </c>
      <c r="F66" s="434"/>
      <c r="G66" s="314"/>
      <c r="H66" s="427" t="n">
        <f aca="false">H29+H44+H56+H61+H62</f>
        <v>42699.26</v>
      </c>
      <c r="I66" s="316"/>
      <c r="J66" s="427" t="n">
        <f aca="false">J29+J44+J56+J61+J62</f>
        <v>42699.26</v>
      </c>
      <c r="K66" s="316"/>
      <c r="L66" s="427" t="n">
        <f aca="false">L29+L44+L56+L61+L62</f>
        <v>76882.26</v>
      </c>
      <c r="M66" s="316"/>
      <c r="N66" s="427" t="n">
        <f aca="false">N29+N44+N56+N61+N62</f>
        <v>76882.26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34183.26</v>
      </c>
      <c r="M68" s="316"/>
      <c r="N68" s="437" t="n">
        <f aca="false">N66-N11</f>
        <v>34183.26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45926.8985795048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37038</v>
      </c>
      <c r="F4" s="320"/>
      <c r="G4" s="314"/>
      <c r="H4" s="321" t="n">
        <v>37039</v>
      </c>
      <c r="I4" s="322"/>
      <c r="J4" s="321" t="n">
        <v>37040</v>
      </c>
      <c r="K4" s="322"/>
      <c r="L4" s="321" t="n">
        <v>37041</v>
      </c>
      <c r="M4" s="322"/>
      <c r="N4" s="321" t="n">
        <v>37042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194</v>
      </c>
      <c r="F5" s="325"/>
      <c r="G5" s="326"/>
      <c r="H5" s="327" t="s">
        <v>193</v>
      </c>
      <c r="I5" s="326"/>
      <c r="J5" s="327" t="s">
        <v>129</v>
      </c>
      <c r="K5" s="326"/>
      <c r="L5" s="327" t="s">
        <v>130</v>
      </c>
      <c r="M5" s="326"/>
      <c r="N5" s="327" t="s">
        <v>131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78</v>
      </c>
      <c r="F8" s="341" t="n">
        <v>57</v>
      </c>
      <c r="G8" s="342"/>
      <c r="H8" s="335" t="n">
        <v>78</v>
      </c>
      <c r="I8" s="342" t="n">
        <v>61</v>
      </c>
      <c r="J8" s="335" t="n">
        <v>80</v>
      </c>
      <c r="K8" s="342" t="n">
        <v>64</v>
      </c>
      <c r="L8" s="335" t="n">
        <v>83</v>
      </c>
      <c r="M8" s="342" t="n">
        <v>62</v>
      </c>
      <c r="N8" s="335" t="n">
        <v>78</v>
      </c>
      <c r="O8" s="342" t="n">
        <v>61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2.5</v>
      </c>
      <c r="F9" s="347"/>
      <c r="G9" s="348"/>
      <c r="H9" s="349" t="n">
        <f aca="false">(H8+I8)/2-65</f>
        <v>4.5</v>
      </c>
      <c r="I9" s="344"/>
      <c r="J9" s="349" t="n">
        <f aca="false">(J8+K8)/2-65</f>
        <v>7</v>
      </c>
      <c r="K9" s="344"/>
      <c r="L9" s="349" t="n">
        <f aca="false">(L8+M8)/2-65</f>
        <v>7.5</v>
      </c>
      <c r="M9" s="344"/>
      <c r="N9" s="349" t="n">
        <f aca="false">(N8+O8)/2-65</f>
        <v>4.5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5" t="n">
        <v>39629</v>
      </c>
      <c r="I11" s="316"/>
      <c r="J11" s="355" t="n">
        <v>42699</v>
      </c>
      <c r="K11" s="316"/>
      <c r="L11" s="355" t="n">
        <v>42699</v>
      </c>
      <c r="M11" s="316"/>
      <c r="N11" s="355" t="n">
        <v>39629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0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42699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30699</v>
      </c>
      <c r="F16" s="357"/>
      <c r="G16" s="314"/>
      <c r="H16" s="361" t="n">
        <f aca="false">H11-H17</f>
        <v>27629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27629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0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0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0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0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0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0</v>
      </c>
      <c r="F35" s="391"/>
      <c r="G35" s="392"/>
      <c r="H35" s="393" t="n">
        <v>17352</v>
      </c>
      <c r="I35" s="394" t="n">
        <f aca="false">H35+H43</f>
        <v>14781</v>
      </c>
      <c r="J35" s="393" t="n">
        <v>2571</v>
      </c>
      <c r="K35" s="394" t="n">
        <f aca="false">J35+J43</f>
        <v>0</v>
      </c>
      <c r="L35" s="393" t="n">
        <v>18102</v>
      </c>
      <c r="M35" s="394" t="n">
        <f aca="false">L35+L43</f>
        <v>15531</v>
      </c>
      <c r="N35" s="393" t="n">
        <v>17352</v>
      </c>
      <c r="O35" s="394" t="n">
        <f aca="false">N35+N43</f>
        <v>14781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0</v>
      </c>
      <c r="F37" s="400" t="s">
        <v>161</v>
      </c>
      <c r="G37" s="388"/>
      <c r="H37" s="401" t="n">
        <f aca="false">SUM(H34:H36)</f>
        <v>17352</v>
      </c>
      <c r="I37" s="402" t="s">
        <v>161</v>
      </c>
      <c r="J37" s="401" t="n">
        <f aca="false">SUM(J34:J36)</f>
        <v>2571</v>
      </c>
      <c r="K37" s="402" t="s">
        <v>161</v>
      </c>
      <c r="L37" s="401" t="n">
        <f aca="false">SUM(L34:L36)</f>
        <v>18102</v>
      </c>
      <c r="M37" s="402" t="s">
        <v>161</v>
      </c>
      <c r="N37" s="401" t="n">
        <f aca="false">SUM(N34:N36)</f>
        <v>17352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0</v>
      </c>
      <c r="F38" s="386"/>
      <c r="G38" s="387"/>
      <c r="H38" s="393" t="n">
        <v>-27320</v>
      </c>
      <c r="I38" s="316"/>
      <c r="J38" s="393" t="n">
        <v>-9469</v>
      </c>
      <c r="K38" s="316"/>
      <c r="L38" s="393" t="n">
        <v>-25000</v>
      </c>
      <c r="M38" s="316"/>
      <c r="N38" s="393" t="n">
        <v>-27320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0</v>
      </c>
      <c r="F39" s="386"/>
      <c r="G39" s="387"/>
      <c r="H39" s="393" t="n">
        <v>10399</v>
      </c>
      <c r="I39" s="316"/>
      <c r="J39" s="393" t="n">
        <v>10399</v>
      </c>
      <c r="K39" s="316"/>
      <c r="L39" s="393" t="n">
        <v>10399</v>
      </c>
      <c r="M39" s="316"/>
      <c r="N39" s="393" t="n">
        <v>10399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0</v>
      </c>
      <c r="F44" s="407"/>
      <c r="G44" s="408"/>
      <c r="H44" s="378" t="n">
        <f aca="false">SUM(H37:H43)</f>
        <v>-2140</v>
      </c>
      <c r="I44" s="409"/>
      <c r="J44" s="378" t="n">
        <f aca="false">SUM(J37:J43)</f>
        <v>930</v>
      </c>
      <c r="K44" s="409"/>
      <c r="L44" s="378" t="n">
        <f aca="false">SUM(L37:L43)</f>
        <v>930</v>
      </c>
      <c r="M44" s="409"/>
      <c r="N44" s="378" t="n">
        <f aca="false">SUM(N37:N43)</f>
        <v>-2140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0</v>
      </c>
      <c r="F49" s="391"/>
      <c r="G49" s="392"/>
      <c r="H49" s="410" t="n">
        <v>9092</v>
      </c>
      <c r="I49" s="411"/>
      <c r="J49" s="410" t="n">
        <f aca="false">9049-4886</f>
        <v>4163</v>
      </c>
      <c r="K49" s="411"/>
      <c r="L49" s="410" t="n">
        <v>9082</v>
      </c>
      <c r="M49" s="411"/>
      <c r="N49" s="410" t="n">
        <v>9092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0</v>
      </c>
      <c r="F50" s="386"/>
      <c r="G50" s="387"/>
      <c r="H50" s="415" t="n">
        <v>-9092</v>
      </c>
      <c r="I50" s="316"/>
      <c r="J50" s="415" t="n">
        <v>-4163</v>
      </c>
      <c r="K50" s="316"/>
      <c r="L50" s="415" t="n">
        <v>-9082</v>
      </c>
      <c r="M50" s="316"/>
      <c r="N50" s="415" t="n">
        <v>-9092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0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0</v>
      </c>
      <c r="F52" s="386"/>
      <c r="G52" s="387"/>
      <c r="H52" s="393" t="n">
        <v>6254</v>
      </c>
      <c r="I52" s="316"/>
      <c r="J52" s="393" t="n">
        <v>6254</v>
      </c>
      <c r="K52" s="316"/>
      <c r="L52" s="393" t="n">
        <v>6254</v>
      </c>
      <c r="M52" s="316"/>
      <c r="N52" s="393" t="n">
        <v>6254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0</v>
      </c>
      <c r="F56" s="419"/>
      <c r="G56" s="420"/>
      <c r="H56" s="378" t="n">
        <f aca="false">SUM(H51:H55)</f>
        <v>6254</v>
      </c>
      <c r="I56" s="421"/>
      <c r="J56" s="378" t="n">
        <f aca="false">SUM(J51:J55)</f>
        <v>6254</v>
      </c>
      <c r="K56" s="421"/>
      <c r="L56" s="378" t="n">
        <f aca="false">SUM(L51:L55)</f>
        <v>6254</v>
      </c>
      <c r="M56" s="421"/>
      <c r="N56" s="378" t="n">
        <f aca="false">SUM(N51:N55)</f>
        <v>6254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0</v>
      </c>
      <c r="F57" s="386"/>
      <c r="G57" s="314"/>
      <c r="H57" s="374" t="n">
        <f aca="false">H56*0.9975</f>
        <v>6238.365</v>
      </c>
      <c r="I57" s="316"/>
      <c r="J57" s="374" t="n">
        <f aca="false">J56*0.9975</f>
        <v>6238.365</v>
      </c>
      <c r="K57" s="316"/>
      <c r="L57" s="374" t="n">
        <f aca="false">L56*0.9975</f>
        <v>6238.365</v>
      </c>
      <c r="M57" s="316"/>
      <c r="N57" s="374" t="n">
        <f aca="false">N56*0.9975</f>
        <v>6238.365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e">
        <f aca="false">E57/E66</f>
        <v>#DIV/0!</v>
      </c>
      <c r="F58" s="386"/>
      <c r="G58" s="314"/>
      <c r="H58" s="423" t="n">
        <f aca="false">H57/H66</f>
        <v>0.157418155171204</v>
      </c>
      <c r="I58" s="316"/>
      <c r="J58" s="423" t="n">
        <f aca="false">J57/J66</f>
        <v>0.146100072928664</v>
      </c>
      <c r="K58" s="316"/>
      <c r="L58" s="423" t="n">
        <f aca="false">L57/L66</f>
        <v>0.146100072928664</v>
      </c>
      <c r="M58" s="316"/>
      <c r="N58" s="423" t="n">
        <f aca="false">N57/N66</f>
        <v>0.157418155171204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0</v>
      </c>
      <c r="F66" s="434"/>
      <c r="G66" s="314"/>
      <c r="H66" s="427" t="n">
        <f aca="false">H29+H44+H56+H61+H62</f>
        <v>39629.26</v>
      </c>
      <c r="I66" s="316"/>
      <c r="J66" s="427" t="n">
        <f aca="false">J29+J44+J56+J61+J62</f>
        <v>42699.26</v>
      </c>
      <c r="K66" s="316"/>
      <c r="L66" s="427" t="n">
        <f aca="false">L29+L44+L56+L61+L62</f>
        <v>42699.26</v>
      </c>
      <c r="M66" s="316"/>
      <c r="N66" s="427" t="n">
        <f aca="false">N29+N44+N56+N61+N62</f>
        <v>39629.26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0.260000000002037</v>
      </c>
      <c r="M68" s="316"/>
      <c r="N68" s="437" t="n">
        <f aca="false">N66-N11</f>
        <v>0.260000000002037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N51" activeCellId="0" sqref="N5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45926.898579548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37035</v>
      </c>
      <c r="F4" s="320"/>
      <c r="G4" s="314"/>
      <c r="H4" s="321" t="n">
        <v>37036</v>
      </c>
      <c r="I4" s="322"/>
      <c r="J4" s="321" t="n">
        <v>37037</v>
      </c>
      <c r="K4" s="322"/>
      <c r="L4" s="321" t="n">
        <v>37038</v>
      </c>
      <c r="M4" s="322"/>
      <c r="N4" s="321" t="n">
        <v>37039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131</v>
      </c>
      <c r="F5" s="325"/>
      <c r="G5" s="326"/>
      <c r="H5" s="327" t="s">
        <v>132</v>
      </c>
      <c r="I5" s="326"/>
      <c r="J5" s="327" t="s">
        <v>133</v>
      </c>
      <c r="K5" s="326"/>
      <c r="L5" s="327" t="s">
        <v>194</v>
      </c>
      <c r="M5" s="326"/>
      <c r="N5" s="327" t="s">
        <v>193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78</v>
      </c>
      <c r="F8" s="341" t="n">
        <v>57</v>
      </c>
      <c r="G8" s="342"/>
      <c r="H8" s="335" t="n">
        <v>86</v>
      </c>
      <c r="I8" s="342" t="n">
        <v>57</v>
      </c>
      <c r="J8" s="335" t="n">
        <v>80</v>
      </c>
      <c r="K8" s="342" t="n">
        <v>64</v>
      </c>
      <c r="L8" s="335" t="n">
        <v>83</v>
      </c>
      <c r="M8" s="342" t="n">
        <v>62</v>
      </c>
      <c r="N8" s="335" t="n">
        <v>78</v>
      </c>
      <c r="O8" s="342" t="n">
        <v>61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2.5</v>
      </c>
      <c r="F9" s="347"/>
      <c r="G9" s="348"/>
      <c r="H9" s="349" t="n">
        <f aca="false">(H8+I8)/2-65</f>
        <v>6.5</v>
      </c>
      <c r="I9" s="344"/>
      <c r="J9" s="349" t="n">
        <f aca="false">(J8+K8)/2-65</f>
        <v>7</v>
      </c>
      <c r="K9" s="344"/>
      <c r="L9" s="349" t="n">
        <f aca="false">(L8+M8)/2-65</f>
        <v>7.5</v>
      </c>
      <c r="M9" s="344"/>
      <c r="N9" s="349" t="n">
        <f aca="false">(N8+O8)/2-65</f>
        <v>4.5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5" t="n">
        <v>42699</v>
      </c>
      <c r="I11" s="316"/>
      <c r="J11" s="355" t="n">
        <v>42699</v>
      </c>
      <c r="K11" s="316"/>
      <c r="L11" s="355" t="n">
        <v>42699</v>
      </c>
      <c r="M11" s="316"/>
      <c r="N11" s="355" t="n">
        <v>39629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49007.26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-6308.26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30699</v>
      </c>
      <c r="F16" s="357"/>
      <c r="G16" s="314"/>
      <c r="H16" s="361" t="n">
        <f aca="false">H11-H17</f>
        <v>30699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27629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1179+2571</f>
        <v>3750</v>
      </c>
      <c r="F35" s="391"/>
      <c r="G35" s="392"/>
      <c r="H35" s="393" t="n">
        <v>4398</v>
      </c>
      <c r="I35" s="394" t="n">
        <f aca="false">H35+H43</f>
        <v>1827</v>
      </c>
      <c r="J35" s="393" t="n">
        <v>18102</v>
      </c>
      <c r="K35" s="394" t="n">
        <f aca="false">J35+J43</f>
        <v>15531</v>
      </c>
      <c r="L35" s="393" t="n">
        <v>18102</v>
      </c>
      <c r="M35" s="394" t="n">
        <f aca="false">L35+L43</f>
        <v>15531</v>
      </c>
      <c r="N35" s="393" t="n">
        <v>17352</v>
      </c>
      <c r="O35" s="394" t="n">
        <f aca="false">N35+N43</f>
        <v>14781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3750</v>
      </c>
      <c r="F37" s="400" t="s">
        <v>161</v>
      </c>
      <c r="G37" s="388"/>
      <c r="H37" s="401" t="n">
        <f aca="false">SUM(H34:H36)</f>
        <v>4398</v>
      </c>
      <c r="I37" s="402" t="s">
        <v>161</v>
      </c>
      <c r="J37" s="401" t="n">
        <f aca="false">SUM(J34:J36)</f>
        <v>18102</v>
      </c>
      <c r="K37" s="402" t="s">
        <v>161</v>
      </c>
      <c r="L37" s="401" t="n">
        <f aca="false">SUM(L34:L36)</f>
        <v>18102</v>
      </c>
      <c r="M37" s="402" t="s">
        <v>161</v>
      </c>
      <c r="N37" s="401" t="n">
        <f aca="false">SUM(N34:N36)</f>
        <v>17352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-5196</v>
      </c>
      <c r="F38" s="386"/>
      <c r="G38" s="387"/>
      <c r="H38" s="403" t="n">
        <v>-11296</v>
      </c>
      <c r="I38" s="316"/>
      <c r="J38" s="393" t="n">
        <v>-25000</v>
      </c>
      <c r="K38" s="316"/>
      <c r="L38" s="393" t="n">
        <v>-25000</v>
      </c>
      <c r="M38" s="316"/>
      <c r="N38" s="393" t="n">
        <v>-27320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10399</v>
      </c>
      <c r="F39" s="386"/>
      <c r="G39" s="387"/>
      <c r="H39" s="393" t="n">
        <v>10399</v>
      </c>
      <c r="I39" s="316"/>
      <c r="J39" s="393" t="n">
        <v>10399</v>
      </c>
      <c r="K39" s="316"/>
      <c r="L39" s="393" t="n">
        <v>10399</v>
      </c>
      <c r="M39" s="316"/>
      <c r="N39" s="393" t="n">
        <v>10399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6382</v>
      </c>
      <c r="F44" s="407"/>
      <c r="G44" s="408"/>
      <c r="H44" s="378" t="n">
        <f aca="false">SUM(H37:H43)</f>
        <v>930</v>
      </c>
      <c r="I44" s="409"/>
      <c r="J44" s="378" t="n">
        <f aca="false">SUM(J37:J43)</f>
        <v>930</v>
      </c>
      <c r="K44" s="409"/>
      <c r="L44" s="378" t="n">
        <f aca="false">SUM(L37:L43)</f>
        <v>930</v>
      </c>
      <c r="M44" s="409"/>
      <c r="N44" s="378" t="n">
        <f aca="false">SUM(N37:N43)</f>
        <v>-2140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11135</v>
      </c>
      <c r="F49" s="391"/>
      <c r="G49" s="392"/>
      <c r="H49" s="410" t="n">
        <f aca="false">11065+2443</f>
        <v>13508</v>
      </c>
      <c r="I49" s="411"/>
      <c r="J49" s="410" t="n">
        <f aca="false">9135-4886</f>
        <v>4249</v>
      </c>
      <c r="K49" s="411"/>
      <c r="L49" s="410" t="n">
        <f aca="false">9082-4886</f>
        <v>4196</v>
      </c>
      <c r="M49" s="411"/>
      <c r="N49" s="410" t="n">
        <f aca="false">9092-4886</f>
        <v>4206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-10351</v>
      </c>
      <c r="F50" s="386"/>
      <c r="G50" s="387"/>
      <c r="H50" s="415" t="n">
        <v>-13508</v>
      </c>
      <c r="I50" s="316"/>
      <c r="J50" s="415" t="n">
        <v>-4249</v>
      </c>
      <c r="K50" s="316"/>
      <c r="L50" s="415" t="n">
        <v>-4196</v>
      </c>
      <c r="M50" s="316"/>
      <c r="N50" s="415" t="n">
        <v>-4206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784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403" t="n">
        <v>6254</v>
      </c>
      <c r="I52" s="316"/>
      <c r="J52" s="393" t="n">
        <v>6254</v>
      </c>
      <c r="K52" s="316"/>
      <c r="L52" s="393" t="n">
        <v>6254</v>
      </c>
      <c r="M52" s="316"/>
      <c r="N52" s="393" t="n">
        <v>6254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7110</v>
      </c>
      <c r="F56" s="419"/>
      <c r="G56" s="420"/>
      <c r="H56" s="378" t="n">
        <f aca="false">SUM(H51:H55)</f>
        <v>6254</v>
      </c>
      <c r="I56" s="421"/>
      <c r="J56" s="378" t="n">
        <f aca="false">SUM(J51:J55)</f>
        <v>6254</v>
      </c>
      <c r="K56" s="421"/>
      <c r="L56" s="378" t="n">
        <f aca="false">SUM(L51:L55)</f>
        <v>6254</v>
      </c>
      <c r="M56" s="421"/>
      <c r="N56" s="378" t="n">
        <f aca="false">SUM(N51:N55)</f>
        <v>6254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7092.225</v>
      </c>
      <c r="F57" s="386"/>
      <c r="G57" s="314"/>
      <c r="H57" s="374" t="n">
        <f aca="false">H56*0.9975</f>
        <v>6238.365</v>
      </c>
      <c r="I57" s="316"/>
      <c r="J57" s="374" t="n">
        <f aca="false">J56*0.9975</f>
        <v>6238.365</v>
      </c>
      <c r="K57" s="316"/>
      <c r="L57" s="374" t="n">
        <f aca="false">L56*0.9975</f>
        <v>6238.365</v>
      </c>
      <c r="M57" s="316"/>
      <c r="N57" s="374" t="n">
        <f aca="false">N56*0.9975</f>
        <v>6238.365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0.144717843845993</v>
      </c>
      <c r="F58" s="386"/>
      <c r="G58" s="314"/>
      <c r="H58" s="423" t="n">
        <f aca="false">H57/H66</f>
        <v>0.146100072928664</v>
      </c>
      <c r="I58" s="316"/>
      <c r="J58" s="423" t="n">
        <f aca="false">J57/J66</f>
        <v>0.146100072928664</v>
      </c>
      <c r="K58" s="316"/>
      <c r="L58" s="423" t="n">
        <f aca="false">L57/L66</f>
        <v>0.146100072928664</v>
      </c>
      <c r="M58" s="316"/>
      <c r="N58" s="423" t="n">
        <f aca="false">N57/N66</f>
        <v>0.157418155171204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49007.26</v>
      </c>
      <c r="F66" s="434"/>
      <c r="G66" s="314"/>
      <c r="H66" s="427" t="n">
        <f aca="false">H29+H44+H56+H61+H62</f>
        <v>42699.26</v>
      </c>
      <c r="I66" s="316"/>
      <c r="J66" s="427" t="n">
        <f aca="false">J29+J44+J56+J61+J62</f>
        <v>42699.26</v>
      </c>
      <c r="K66" s="316"/>
      <c r="L66" s="427" t="n">
        <f aca="false">L29+L44+L56+L61+L62</f>
        <v>42699.26</v>
      </c>
      <c r="M66" s="316"/>
      <c r="N66" s="427" t="n">
        <f aca="false">N29+N44+N56+N61+N62</f>
        <v>39629.26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0.260000000002037</v>
      </c>
      <c r="M68" s="316"/>
      <c r="N68" s="437" t="n">
        <f aca="false">N66-N11</f>
        <v>0.260000000002037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45926.8985795748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37034</v>
      </c>
      <c r="F4" s="320"/>
      <c r="G4" s="314"/>
      <c r="H4" s="321" t="n">
        <v>37035</v>
      </c>
      <c r="I4" s="322"/>
      <c r="J4" s="321" t="n">
        <v>37036</v>
      </c>
      <c r="K4" s="322"/>
      <c r="L4" s="321" t="n">
        <v>37037</v>
      </c>
      <c r="M4" s="322"/>
      <c r="N4" s="321" t="n">
        <v>37038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130</v>
      </c>
      <c r="F5" s="325"/>
      <c r="G5" s="326"/>
      <c r="H5" s="327" t="s">
        <v>131</v>
      </c>
      <c r="I5" s="326"/>
      <c r="J5" s="327" t="s">
        <v>132</v>
      </c>
      <c r="K5" s="326"/>
      <c r="L5" s="327" t="s">
        <v>133</v>
      </c>
      <c r="M5" s="326"/>
      <c r="N5" s="327" t="s">
        <v>194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74</v>
      </c>
      <c r="F8" s="341" t="n">
        <v>63</v>
      </c>
      <c r="G8" s="342"/>
      <c r="H8" s="335" t="n">
        <v>77</v>
      </c>
      <c r="I8" s="342" t="n">
        <v>57</v>
      </c>
      <c r="J8" s="335" t="n">
        <v>78</v>
      </c>
      <c r="K8" s="342" t="n">
        <v>61</v>
      </c>
      <c r="L8" s="335" t="n">
        <v>77</v>
      </c>
      <c r="M8" s="342" t="n">
        <v>59</v>
      </c>
      <c r="N8" s="335" t="n">
        <v>75</v>
      </c>
      <c r="O8" s="342" t="n">
        <v>59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3.5</v>
      </c>
      <c r="F9" s="347"/>
      <c r="G9" s="348"/>
      <c r="H9" s="349" t="n">
        <f aca="false">(H8+I8)/2-65</f>
        <v>2</v>
      </c>
      <c r="I9" s="344"/>
      <c r="J9" s="349" t="n">
        <f aca="false">(J8+K8)/2-65</f>
        <v>4.5</v>
      </c>
      <c r="K9" s="344"/>
      <c r="L9" s="349" t="n">
        <f aca="false">(L8+M8)/2-65</f>
        <v>3</v>
      </c>
      <c r="M9" s="344"/>
      <c r="N9" s="349" t="n">
        <f aca="false">(N8+O8)/2-65</f>
        <v>2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5" t="n">
        <v>42699</v>
      </c>
      <c r="I11" s="316"/>
      <c r="J11" s="355" t="n">
        <v>42699</v>
      </c>
      <c r="K11" s="316"/>
      <c r="L11" s="355" t="n">
        <v>42699</v>
      </c>
      <c r="M11" s="316"/>
      <c r="N11" s="355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45736.26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-3037.26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30699</v>
      </c>
      <c r="F16" s="357"/>
      <c r="G16" s="314"/>
      <c r="H16" s="361" t="n">
        <f aca="false">H11-H17</f>
        <v>30699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9968+2571</f>
        <v>12539</v>
      </c>
      <c r="F35" s="391"/>
      <c r="G35" s="392"/>
      <c r="H35" s="393" t="n">
        <v>3750</v>
      </c>
      <c r="I35" s="394" t="n">
        <f aca="false">H35+H43</f>
        <v>1179</v>
      </c>
      <c r="J35" s="393" t="n">
        <v>4398</v>
      </c>
      <c r="K35" s="394" t="n">
        <f aca="false">J35+J43</f>
        <v>1827</v>
      </c>
      <c r="L35" s="393" t="n">
        <v>3750</v>
      </c>
      <c r="M35" s="394" t="n">
        <f aca="false">L35+L43</f>
        <v>1179</v>
      </c>
      <c r="N35" s="393" t="n">
        <v>3750</v>
      </c>
      <c r="O35" s="394" t="n">
        <f aca="false">N35+N43</f>
        <v>1179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12539</v>
      </c>
      <c r="F37" s="400" t="s">
        <v>161</v>
      </c>
      <c r="G37" s="388"/>
      <c r="H37" s="401" t="n">
        <f aca="false">SUM(H34:H36)</f>
        <v>3750</v>
      </c>
      <c r="I37" s="402" t="s">
        <v>161</v>
      </c>
      <c r="J37" s="401" t="n">
        <f aca="false">SUM(J34:J36)</f>
        <v>4398</v>
      </c>
      <c r="K37" s="402" t="s">
        <v>161</v>
      </c>
      <c r="L37" s="401" t="n">
        <f aca="false">SUM(L34:L36)</f>
        <v>3750</v>
      </c>
      <c r="M37" s="402" t="s">
        <v>161</v>
      </c>
      <c r="N37" s="401" t="n">
        <f aca="false">SUM(N34:N36)</f>
        <v>3750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-17441</v>
      </c>
      <c r="F38" s="386"/>
      <c r="G38" s="387"/>
      <c r="H38" s="393" t="n">
        <v>-10720</v>
      </c>
      <c r="I38" s="316"/>
      <c r="J38" s="393" t="n">
        <v>-11368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10399</v>
      </c>
      <c r="F39" s="386"/>
      <c r="G39" s="387"/>
      <c r="H39" s="393" t="n">
        <v>10399</v>
      </c>
      <c r="I39" s="316"/>
      <c r="J39" s="393" t="n">
        <v>10399</v>
      </c>
      <c r="K39" s="316"/>
      <c r="L39" s="393" t="n">
        <v>10399</v>
      </c>
      <c r="M39" s="316"/>
      <c r="N39" s="393" t="n">
        <v>10399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2926</v>
      </c>
      <c r="F44" s="407"/>
      <c r="G44" s="408"/>
      <c r="H44" s="378" t="n">
        <f aca="false">SUM(H37:H43)</f>
        <v>858</v>
      </c>
      <c r="I44" s="409"/>
      <c r="J44" s="378" t="n">
        <f aca="false">SUM(J37:J43)</f>
        <v>858</v>
      </c>
      <c r="K44" s="409"/>
      <c r="L44" s="378" t="n">
        <f aca="false">SUM(L37:L43)</f>
        <v>11578</v>
      </c>
      <c r="M44" s="409"/>
      <c r="N44" s="378" t="n">
        <f aca="false">SUM(N37:N43)</f>
        <v>11578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10974</v>
      </c>
      <c r="F49" s="391"/>
      <c r="G49" s="392"/>
      <c r="H49" s="410" t="n">
        <v>11135</v>
      </c>
      <c r="I49" s="411"/>
      <c r="J49" s="410" t="n">
        <f aca="false">11065+2443</f>
        <v>13508</v>
      </c>
      <c r="K49" s="411"/>
      <c r="L49" s="410" t="n">
        <v>11065</v>
      </c>
      <c r="M49" s="411"/>
      <c r="N49" s="410" t="n">
        <v>11065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-10005</v>
      </c>
      <c r="F50" s="386"/>
      <c r="G50" s="387"/>
      <c r="H50" s="415" t="n">
        <v>-11135</v>
      </c>
      <c r="I50" s="316"/>
      <c r="J50" s="415" t="n">
        <v>-13508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969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11065</v>
      </c>
      <c r="M51" s="398"/>
      <c r="N51" s="355" t="n">
        <f aca="false">SUM(N49:N50)</f>
        <v>11065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39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7295</v>
      </c>
      <c r="F56" s="419"/>
      <c r="G56" s="420"/>
      <c r="H56" s="378" t="n">
        <f aca="false">SUM(H51:H55)</f>
        <v>6326</v>
      </c>
      <c r="I56" s="421"/>
      <c r="J56" s="378" t="n">
        <f aca="false">SUM(J51:J55)</f>
        <v>6326</v>
      </c>
      <c r="K56" s="421"/>
      <c r="L56" s="378" t="n">
        <f aca="false">SUM(L51:L55)</f>
        <v>17391</v>
      </c>
      <c r="M56" s="421"/>
      <c r="N56" s="378" t="n">
        <f aca="false">SUM(N51:N55)</f>
        <v>17391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7276.7625</v>
      </c>
      <c r="F57" s="386"/>
      <c r="G57" s="314"/>
      <c r="H57" s="374" t="n">
        <f aca="false">H56*0.9975</f>
        <v>6310.185</v>
      </c>
      <c r="I57" s="316"/>
      <c r="J57" s="374" t="n">
        <f aca="false">J56*0.9975</f>
        <v>6310.185</v>
      </c>
      <c r="K57" s="316"/>
      <c r="L57" s="374" t="n">
        <f aca="false">L56*0.9975</f>
        <v>17347.5225</v>
      </c>
      <c r="M57" s="316"/>
      <c r="N57" s="374" t="n">
        <f aca="false">N56*0.9975</f>
        <v>17347.5225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0.159102701007909</v>
      </c>
      <c r="F58" s="386"/>
      <c r="G58" s="314"/>
      <c r="H58" s="423" t="n">
        <f aca="false">H57/H66</f>
        <v>0.147782069291131</v>
      </c>
      <c r="I58" s="316"/>
      <c r="J58" s="423" t="n">
        <f aca="false">J57/J66</f>
        <v>0.147782069291131</v>
      </c>
      <c r="K58" s="316"/>
      <c r="L58" s="423" t="n">
        <f aca="false">L57/L66</f>
        <v>0.26901948630565</v>
      </c>
      <c r="M58" s="316"/>
      <c r="N58" s="423" t="n">
        <f aca="false">N57/N66</f>
        <v>0.26901948630565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45736.26</v>
      </c>
      <c r="F66" s="434"/>
      <c r="G66" s="314"/>
      <c r="H66" s="427" t="n">
        <f aca="false">H29+H44+H56+H61+H62</f>
        <v>42699.26</v>
      </c>
      <c r="I66" s="316"/>
      <c r="J66" s="427" t="n">
        <f aca="false">J29+J44+J56+J61+J62</f>
        <v>42699.26</v>
      </c>
      <c r="K66" s="316"/>
      <c r="L66" s="427" t="n">
        <f aca="false">L29+L44+L56+L61+L62</f>
        <v>64484.26</v>
      </c>
      <c r="M66" s="316"/>
      <c r="N66" s="427" t="n">
        <f aca="false">N29+N44+N56+N61+N62</f>
        <v>64484.26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21785.26</v>
      </c>
      <c r="M68" s="316"/>
      <c r="N68" s="437" t="n">
        <f aca="false">N66-N11</f>
        <v>21785.26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2000-09-28T10:39:50Z</dcterms:created>
  <dc:creator>Atlanta Gas Light</dc:creator>
  <dc:description/>
  <dc:language>en-US</dc:language>
  <cp:lastModifiedBy>Steve Gillespie</cp:lastModifiedBy>
  <cp:lastPrinted>2001-05-30T13:07:39Z</cp:lastPrinted>
  <dcterms:modified xsi:type="dcterms:W3CDTF">2001-05-30T18:44:47Z</dcterms:modified>
  <cp:revision>0</cp:revision>
  <dc:subject/>
  <dc:title/>
</cp:coreProperties>
</file>