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-Invoice" sheetId="1" state="visible" r:id="rId3"/>
    <sheet name="VNG Sheet" sheetId="2" state="visible" r:id="rId4"/>
    <sheet name="Tier Volume Calc" sheetId="3" state="visible" r:id="rId5"/>
    <sheet name="Tier Schedule" sheetId="4" state="visible" r:id="rId6"/>
    <sheet name="Input Gas Prices" sheetId="5" state="visible" r:id="rId7"/>
    <sheet name="Demand" sheetId="6" state="visible" r:id="rId8"/>
    <sheet name="Weightings" sheetId="7" state="visible" r:id="rId9"/>
    <sheet name="Williams FS Price" sheetId="8" state="visible" r:id="rId10"/>
    <sheet name="Baseload - Tier 1" sheetId="9" state="visible" r:id="rId11"/>
    <sheet name="Tier 2 Cost Calculator" sheetId="10" state="visible" r:id="rId12"/>
    <sheet name="Gas Daily - Tier 2" sheetId="11" state="visible" r:id="rId13"/>
    <sheet name="Strg WD - Tier 3" sheetId="12" state="visible" r:id="rId14"/>
    <sheet name="Strg Activity" sheetId="13" state="visible" r:id="rId15"/>
    <sheet name="Strg Refill Quantity" sheetId="14" state="visible" r:id="rId16"/>
    <sheet name="Storage Fill Price" sheetId="15" state="visible" r:id="rId17"/>
  </sheets>
  <externalReferences>
    <externalReference r:id="rId18"/>
  </externalReferences>
  <definedNames>
    <definedName function="false" hidden="false" localSheetId="8" name="_xlnm.Print_Area" vbProcedure="false">'Baseload - Tier 1'!$A$2:$T$29</definedName>
    <definedName function="false" hidden="false" localSheetId="8" name="_xlnm.Print_Titles" vbProcedure="false">'Baseload - Tier 1'!$A:$A</definedName>
    <definedName function="false" hidden="false" localSheetId="5" name="_xlnm.Print_Area" vbProcedure="false">Demand!$A$1:$O$98</definedName>
    <definedName function="false" hidden="false" localSheetId="14" name="_xlnm.Print_Titles" vbProcedure="false">'Storage Fill Price'!$A:$B</definedName>
    <definedName function="false" hidden="false" localSheetId="13" name="_xlnm.Print_Area" vbProcedure="false">'Strg Refill Quantity'!$A$1:$J$28</definedName>
    <definedName function="false" hidden="false" localSheetId="1" name="_xlnm.Print_Area" vbProcedure="false">'VNG Sheet'!$A$1:$Y$81</definedName>
    <definedName function="false" hidden="false" name="2Q97" vbProcedure="false">#REF!</definedName>
    <definedName function="false" hidden="false" name="APR" vbProcedure="false">#REF!</definedName>
    <definedName function="false" hidden="false" name="JUN" vbProcedure="false">#REF!</definedName>
    <definedName function="false" hidden="false" name="MAY" vbProcedure="false">#REF!</definedName>
    <definedName function="false" hidden="false" name="SHEET" vbProcedure="false">'VNG Sheet'!$B$1:$X$56</definedName>
    <definedName function="false" hidden="false" localSheetId="2" name="SHEET" vbProcedure="false">'Tier Volume Calc'!$B$1:$B$56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</xdr:row>
                <xdr:rowOff>59</xdr:rowOff>
              </xdr:from>
              <xdr:to>
                <xdr:col>6</xdr:col>
                <xdr:colOff>56</xdr:colOff>
                <xdr:row>11</xdr:row>
                <xdr:rowOff>10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4</xdr:rowOff>
              </xdr:from>
              <xdr:to>
                <xdr:col>6</xdr:col>
                <xdr:colOff>56</xdr:colOff>
                <xdr:row>12</xdr:row>
                <xdr:rowOff>10</xdr:rowOff>
              </xdr:to>
            </anchor>
          </commentPr>
        </mc:Choice>
        <mc:Fallback/>
      </mc:AlternateContent>
    </comment>
    <comment ref="E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27</xdr:row>
                <xdr:rowOff>62</xdr:rowOff>
              </xdr:from>
              <xdr:to>
                <xdr:col>6</xdr:col>
                <xdr:colOff>56</xdr:colOff>
                <xdr:row>31</xdr:row>
                <xdr:rowOff>13</xdr:rowOff>
              </xdr:to>
            </anchor>
          </commentPr>
        </mc:Choice>
        <mc:Fallback/>
      </mc:AlternateContent>
    </comment>
    <comment ref="E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</xdr:row>
                <xdr:rowOff>7</xdr:rowOff>
              </xdr:from>
              <xdr:to>
                <xdr:col>6</xdr:col>
                <xdr:colOff>56</xdr:colOff>
                <xdr:row>32</xdr:row>
                <xdr:rowOff>13</xdr:rowOff>
              </xdr:to>
            </anchor>
          </commentPr>
        </mc:Choice>
        <mc:Fallback/>
      </mc:AlternateContent>
    </comment>
    <comment ref="E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47</xdr:row>
                <xdr:rowOff>62</xdr:rowOff>
              </xdr:from>
              <xdr:to>
                <xdr:col>6</xdr:col>
                <xdr:colOff>56</xdr:colOff>
                <xdr:row>51</xdr:row>
                <xdr:rowOff>13</xdr:rowOff>
              </xdr:to>
            </anchor>
          </commentPr>
        </mc:Choice>
        <mc:Fallback/>
      </mc:AlternateContent>
    </comment>
    <comment ref="E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48</xdr:row>
                <xdr:rowOff>7</xdr:rowOff>
              </xdr:from>
              <xdr:to>
                <xdr:col>6</xdr:col>
                <xdr:colOff>56</xdr:colOff>
                <xdr:row>52</xdr:row>
                <xdr:rowOff>13</xdr:rowOff>
              </xdr:to>
            </anchor>
          </commentPr>
        </mc:Choice>
        <mc:Fallback/>
      </mc:AlternateContent>
    </comment>
    <comment ref="E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67</xdr:row>
                <xdr:rowOff>62</xdr:rowOff>
              </xdr:from>
              <xdr:to>
                <xdr:col>6</xdr:col>
                <xdr:colOff>56</xdr:colOff>
                <xdr:row>71</xdr:row>
                <xdr:rowOff>13</xdr:rowOff>
              </xdr:to>
            </anchor>
          </commentPr>
        </mc:Choice>
        <mc:Fallback/>
      </mc:AlternateContent>
    </comment>
    <comment ref="E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68</xdr:row>
                <xdr:rowOff>7</xdr:rowOff>
              </xdr:from>
              <xdr:to>
                <xdr:col>6</xdr:col>
                <xdr:colOff>56</xdr:colOff>
                <xdr:row>72</xdr:row>
                <xdr:rowOff>13</xdr:rowOff>
              </xdr:to>
            </anchor>
          </commentPr>
        </mc:Choice>
        <mc:Fallback/>
      </mc:AlternateContent>
    </comment>
    <comment ref="E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87</xdr:row>
                <xdr:rowOff>62</xdr:rowOff>
              </xdr:from>
              <xdr:to>
                <xdr:col>6</xdr:col>
                <xdr:colOff>56</xdr:colOff>
                <xdr:row>91</xdr:row>
                <xdr:rowOff>13</xdr:rowOff>
              </xdr:to>
            </anchor>
          </commentPr>
        </mc:Choice>
        <mc:Fallback/>
      </mc:AlternateContent>
    </comment>
    <comment ref="E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88</xdr:row>
                <xdr:rowOff>7</xdr:rowOff>
              </xdr:from>
              <xdr:to>
                <xdr:col>6</xdr:col>
                <xdr:colOff>56</xdr:colOff>
                <xdr:row>92</xdr:row>
                <xdr:rowOff>13</xdr:rowOff>
              </xdr:to>
            </anchor>
          </commentPr>
        </mc:Choice>
        <mc:Fallback/>
      </mc:AlternateContent>
    </comment>
    <comment ref="E1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107</xdr:row>
                <xdr:rowOff>62</xdr:rowOff>
              </xdr:from>
              <xdr:to>
                <xdr:col>6</xdr:col>
                <xdr:colOff>56</xdr:colOff>
                <xdr:row>111</xdr:row>
                <xdr:rowOff>13</xdr:rowOff>
              </xdr:to>
            </anchor>
          </commentPr>
        </mc:Choice>
        <mc:Fallback/>
      </mc:AlternateContent>
    </comment>
    <comment ref="E1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108</xdr:row>
                <xdr:rowOff>7</xdr:rowOff>
              </xdr:from>
              <xdr:to>
                <xdr:col>6</xdr:col>
                <xdr:colOff>56</xdr:colOff>
                <xdr:row>112</xdr:row>
                <xdr:rowOff>13</xdr:rowOff>
              </xdr:to>
            </anchor>
          </commentPr>
        </mc:Choice>
        <mc:Fallback/>
      </mc:AlternateContent>
    </comment>
    <comment ref="E1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127</xdr:row>
                <xdr:rowOff>62</xdr:rowOff>
              </xdr:from>
              <xdr:to>
                <xdr:col>6</xdr:col>
                <xdr:colOff>56</xdr:colOff>
                <xdr:row>131</xdr:row>
                <xdr:rowOff>13</xdr:rowOff>
              </xdr:to>
            </anchor>
          </commentPr>
        </mc:Choice>
        <mc:Fallback/>
      </mc:AlternateContent>
    </comment>
    <comment ref="E1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128</xdr:row>
                <xdr:rowOff>7</xdr:rowOff>
              </xdr:from>
              <xdr:to>
                <xdr:col>6</xdr:col>
                <xdr:colOff>56</xdr:colOff>
                <xdr:row>132</xdr:row>
                <xdr:rowOff>13</xdr:rowOff>
              </xdr:to>
            </anchor>
          </commentPr>
        </mc:Choice>
        <mc:Fallback/>
      </mc:AlternateContent>
    </comment>
    <comment ref="E1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147</xdr:row>
                <xdr:rowOff>62</xdr:rowOff>
              </xdr:from>
              <xdr:to>
                <xdr:col>6</xdr:col>
                <xdr:colOff>56</xdr:colOff>
                <xdr:row>151</xdr:row>
                <xdr:rowOff>13</xdr:rowOff>
              </xdr:to>
            </anchor>
          </commentPr>
        </mc:Choice>
        <mc:Fallback/>
      </mc:AlternateContent>
    </comment>
    <comment ref="E1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148</xdr:row>
                <xdr:rowOff>7</xdr:rowOff>
              </xdr:from>
              <xdr:to>
                <xdr:col>6</xdr:col>
                <xdr:colOff>56</xdr:colOff>
                <xdr:row>152</xdr:row>
                <xdr:rowOff>13</xdr:rowOff>
              </xdr:to>
            </anchor>
          </commentPr>
        </mc:Choice>
        <mc:Fallback/>
      </mc:AlternateContent>
    </comment>
    <comment ref="E1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167</xdr:row>
                <xdr:rowOff>62</xdr:rowOff>
              </xdr:from>
              <xdr:to>
                <xdr:col>6</xdr:col>
                <xdr:colOff>56</xdr:colOff>
                <xdr:row>171</xdr:row>
                <xdr:rowOff>13</xdr:rowOff>
              </xdr:to>
            </anchor>
          </commentPr>
        </mc:Choice>
        <mc:Fallback/>
      </mc:AlternateContent>
    </comment>
    <comment ref="E1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168</xdr:row>
                <xdr:rowOff>7</xdr:rowOff>
              </xdr:from>
              <xdr:to>
                <xdr:col>6</xdr:col>
                <xdr:colOff>56</xdr:colOff>
                <xdr:row>172</xdr:row>
                <xdr:rowOff>13</xdr:rowOff>
              </xdr:to>
            </anchor>
          </commentPr>
        </mc:Choice>
        <mc:Fallback/>
      </mc:AlternateContent>
    </comment>
    <comment ref="E1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187</xdr:row>
                <xdr:rowOff>62</xdr:rowOff>
              </xdr:from>
              <xdr:to>
                <xdr:col>6</xdr:col>
                <xdr:colOff>56</xdr:colOff>
                <xdr:row>191</xdr:row>
                <xdr:rowOff>13</xdr:rowOff>
              </xdr:to>
            </anchor>
          </commentPr>
        </mc:Choice>
        <mc:Fallback/>
      </mc:AlternateContent>
    </comment>
    <comment ref="E1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188</xdr:row>
                <xdr:rowOff>7</xdr:rowOff>
              </xdr:from>
              <xdr:to>
                <xdr:col>6</xdr:col>
                <xdr:colOff>56</xdr:colOff>
                <xdr:row>192</xdr:row>
                <xdr:rowOff>13</xdr:rowOff>
              </xdr:to>
            </anchor>
          </commentPr>
        </mc:Choice>
        <mc:Fallback/>
      </mc:AlternateContent>
    </comment>
    <comment ref="E2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207</xdr:row>
                <xdr:rowOff>62</xdr:rowOff>
              </xdr:from>
              <xdr:to>
                <xdr:col>6</xdr:col>
                <xdr:colOff>56</xdr:colOff>
                <xdr:row>211</xdr:row>
                <xdr:rowOff>13</xdr:rowOff>
              </xdr:to>
            </anchor>
          </commentPr>
        </mc:Choice>
        <mc:Fallback/>
      </mc:AlternateContent>
    </comment>
    <comment ref="E2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208</xdr:row>
                <xdr:rowOff>7</xdr:rowOff>
              </xdr:from>
              <xdr:to>
                <xdr:col>6</xdr:col>
                <xdr:colOff>56</xdr:colOff>
                <xdr:row>212</xdr:row>
                <xdr:rowOff>13</xdr:rowOff>
              </xdr:to>
            </anchor>
          </commentPr>
        </mc:Choice>
        <mc:Fallback/>
      </mc:AlternateContent>
    </comment>
    <comment ref="E2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227</xdr:row>
                <xdr:rowOff>62</xdr:rowOff>
              </xdr:from>
              <xdr:to>
                <xdr:col>6</xdr:col>
                <xdr:colOff>56</xdr:colOff>
                <xdr:row>231</xdr:row>
                <xdr:rowOff>13</xdr:rowOff>
              </xdr:to>
            </anchor>
          </commentPr>
        </mc:Choice>
        <mc:Fallback/>
      </mc:AlternateContent>
    </comment>
    <comment ref="E2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228</xdr:row>
                <xdr:rowOff>7</xdr:rowOff>
              </xdr:from>
              <xdr:to>
                <xdr:col>6</xdr:col>
                <xdr:colOff>56</xdr:colOff>
                <xdr:row>232</xdr:row>
                <xdr:rowOff>13</xdr:rowOff>
              </xdr:to>
            </anchor>
          </commentPr>
        </mc:Choice>
        <mc:Fallback/>
      </mc:AlternateContent>
    </comment>
    <comment ref="E2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247</xdr:row>
                <xdr:rowOff>62</xdr:rowOff>
              </xdr:from>
              <xdr:to>
                <xdr:col>6</xdr:col>
                <xdr:colOff>56</xdr:colOff>
                <xdr:row>251</xdr:row>
                <xdr:rowOff>13</xdr:rowOff>
              </xdr:to>
            </anchor>
          </commentPr>
        </mc:Choice>
        <mc:Fallback/>
      </mc:AlternateContent>
    </comment>
    <comment ref="E2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248</xdr:row>
                <xdr:rowOff>7</xdr:rowOff>
              </xdr:from>
              <xdr:to>
                <xdr:col>6</xdr:col>
                <xdr:colOff>56</xdr:colOff>
                <xdr:row>252</xdr:row>
                <xdr:rowOff>13</xdr:rowOff>
              </xdr:to>
            </anchor>
          </commentPr>
        </mc:Choice>
        <mc:Fallback/>
      </mc:AlternateContent>
    </comment>
    <comment ref="E2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267</xdr:row>
                <xdr:rowOff>62</xdr:rowOff>
              </xdr:from>
              <xdr:to>
                <xdr:col>6</xdr:col>
                <xdr:colOff>56</xdr:colOff>
                <xdr:row>271</xdr:row>
                <xdr:rowOff>13</xdr:rowOff>
              </xdr:to>
            </anchor>
          </commentPr>
        </mc:Choice>
        <mc:Fallback/>
      </mc:AlternateContent>
    </comment>
    <comment ref="E2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268</xdr:row>
                <xdr:rowOff>7</xdr:rowOff>
              </xdr:from>
              <xdr:to>
                <xdr:col>6</xdr:col>
                <xdr:colOff>56</xdr:colOff>
                <xdr:row>272</xdr:row>
                <xdr:rowOff>13</xdr:rowOff>
              </xdr:to>
            </anchor>
          </commentPr>
        </mc:Choice>
        <mc:Fallback/>
      </mc:AlternateContent>
    </comment>
    <comment ref="E2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287</xdr:row>
                <xdr:rowOff>62</xdr:rowOff>
              </xdr:from>
              <xdr:to>
                <xdr:col>6</xdr:col>
                <xdr:colOff>56</xdr:colOff>
                <xdr:row>291</xdr:row>
                <xdr:rowOff>13</xdr:rowOff>
              </xdr:to>
            </anchor>
          </commentPr>
        </mc:Choice>
        <mc:Fallback/>
      </mc:AlternateContent>
    </comment>
    <comment ref="E2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288</xdr:row>
                <xdr:rowOff>7</xdr:rowOff>
              </xdr:from>
              <xdr:to>
                <xdr:col>6</xdr:col>
                <xdr:colOff>56</xdr:colOff>
                <xdr:row>292</xdr:row>
                <xdr:rowOff>13</xdr:rowOff>
              </xdr:to>
            </anchor>
          </commentPr>
        </mc:Choice>
        <mc:Fallback/>
      </mc:AlternateContent>
    </comment>
    <comment ref="E3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307</xdr:row>
                <xdr:rowOff>62</xdr:rowOff>
              </xdr:from>
              <xdr:to>
                <xdr:col>6</xdr:col>
                <xdr:colOff>56</xdr:colOff>
                <xdr:row>311</xdr:row>
                <xdr:rowOff>13</xdr:rowOff>
              </xdr:to>
            </anchor>
          </commentPr>
        </mc:Choice>
        <mc:Fallback/>
      </mc:AlternateContent>
    </comment>
    <comment ref="E3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308</xdr:row>
                <xdr:rowOff>7</xdr:rowOff>
              </xdr:from>
              <xdr:to>
                <xdr:col>6</xdr:col>
                <xdr:colOff>56</xdr:colOff>
                <xdr:row>312</xdr:row>
                <xdr:rowOff>13</xdr:rowOff>
              </xdr:to>
            </anchor>
          </commentPr>
        </mc:Choice>
        <mc:Fallback/>
      </mc:AlternateContent>
    </comment>
    <comment ref="E3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327</xdr:row>
                <xdr:rowOff>62</xdr:rowOff>
              </xdr:from>
              <xdr:to>
                <xdr:col>6</xdr:col>
                <xdr:colOff>56</xdr:colOff>
                <xdr:row>331</xdr:row>
                <xdr:rowOff>13</xdr:rowOff>
              </xdr:to>
            </anchor>
          </commentPr>
        </mc:Choice>
        <mc:Fallback/>
      </mc:AlternateContent>
    </comment>
    <comment ref="E3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328</xdr:row>
                <xdr:rowOff>7</xdr:rowOff>
              </xdr:from>
              <xdr:to>
                <xdr:col>6</xdr:col>
                <xdr:colOff>56</xdr:colOff>
                <xdr:row>332</xdr:row>
                <xdr:rowOff>13</xdr:rowOff>
              </xdr:to>
            </anchor>
          </commentPr>
        </mc:Choice>
        <mc:Fallback/>
      </mc:AlternateContent>
    </comment>
    <comment ref="E3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347</xdr:row>
                <xdr:rowOff>62</xdr:rowOff>
              </xdr:from>
              <xdr:to>
                <xdr:col>6</xdr:col>
                <xdr:colOff>56</xdr:colOff>
                <xdr:row>351</xdr:row>
                <xdr:rowOff>13</xdr:rowOff>
              </xdr:to>
            </anchor>
          </commentPr>
        </mc:Choice>
        <mc:Fallback/>
      </mc:AlternateContent>
    </comment>
    <comment ref="E3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348</xdr:row>
                <xdr:rowOff>7</xdr:rowOff>
              </xdr:from>
              <xdr:to>
                <xdr:col>6</xdr:col>
                <xdr:colOff>56</xdr:colOff>
                <xdr:row>352</xdr:row>
                <xdr:rowOff>13</xdr:rowOff>
              </xdr:to>
            </anchor>
          </commentPr>
        </mc:Choice>
        <mc:Fallback/>
      </mc:AlternateContent>
    </comment>
    <comment ref="E3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367</xdr:row>
                <xdr:rowOff>62</xdr:rowOff>
              </xdr:from>
              <xdr:to>
                <xdr:col>6</xdr:col>
                <xdr:colOff>56</xdr:colOff>
                <xdr:row>371</xdr:row>
                <xdr:rowOff>13</xdr:rowOff>
              </xdr:to>
            </anchor>
          </commentPr>
        </mc:Choice>
        <mc:Fallback/>
      </mc:AlternateContent>
    </comment>
    <comment ref="E3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368</xdr:row>
                <xdr:rowOff>7</xdr:rowOff>
              </xdr:from>
              <xdr:to>
                <xdr:col>6</xdr:col>
                <xdr:colOff>56</xdr:colOff>
                <xdr:row>372</xdr:row>
                <xdr:rowOff>13</xdr:rowOff>
              </xdr:to>
            </anchor>
          </commentPr>
        </mc:Choice>
        <mc:Fallback/>
      </mc:AlternateContent>
    </comment>
    <comment ref="E3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387</xdr:row>
                <xdr:rowOff>62</xdr:rowOff>
              </xdr:from>
              <xdr:to>
                <xdr:col>6</xdr:col>
                <xdr:colOff>56</xdr:colOff>
                <xdr:row>391</xdr:row>
                <xdr:rowOff>13</xdr:rowOff>
              </xdr:to>
            </anchor>
          </commentPr>
        </mc:Choice>
        <mc:Fallback/>
      </mc:AlternateContent>
    </comment>
    <comment ref="E3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388</xdr:row>
                <xdr:rowOff>7</xdr:rowOff>
              </xdr:from>
              <xdr:to>
                <xdr:col>6</xdr:col>
                <xdr:colOff>56</xdr:colOff>
                <xdr:row>392</xdr:row>
                <xdr:rowOff>13</xdr:rowOff>
              </xdr:to>
            </anchor>
          </commentPr>
        </mc:Choice>
        <mc:Fallback/>
      </mc:AlternateContent>
    </comment>
    <comment ref="E4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407</xdr:row>
                <xdr:rowOff>62</xdr:rowOff>
              </xdr:from>
              <xdr:to>
                <xdr:col>6</xdr:col>
                <xdr:colOff>56</xdr:colOff>
                <xdr:row>411</xdr:row>
                <xdr:rowOff>13</xdr:rowOff>
              </xdr:to>
            </anchor>
          </commentPr>
        </mc:Choice>
        <mc:Fallback/>
      </mc:AlternateContent>
    </comment>
    <comment ref="E4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408</xdr:row>
                <xdr:rowOff>7</xdr:rowOff>
              </xdr:from>
              <xdr:to>
                <xdr:col>6</xdr:col>
                <xdr:colOff>56</xdr:colOff>
                <xdr:row>412</xdr:row>
                <xdr:rowOff>13</xdr:rowOff>
              </xdr:to>
            </anchor>
          </commentPr>
        </mc:Choice>
        <mc:Fallback/>
      </mc:AlternateContent>
    </comment>
    <comment ref="E4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427</xdr:row>
                <xdr:rowOff>62</xdr:rowOff>
              </xdr:from>
              <xdr:to>
                <xdr:col>6</xdr:col>
                <xdr:colOff>56</xdr:colOff>
                <xdr:row>431</xdr:row>
                <xdr:rowOff>13</xdr:rowOff>
              </xdr:to>
            </anchor>
          </commentPr>
        </mc:Choice>
        <mc:Fallback/>
      </mc:AlternateContent>
    </comment>
    <comment ref="E4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428</xdr:row>
                <xdr:rowOff>7</xdr:rowOff>
              </xdr:from>
              <xdr:to>
                <xdr:col>6</xdr:col>
                <xdr:colOff>56</xdr:colOff>
                <xdr:row>432</xdr:row>
                <xdr:rowOff>13</xdr:rowOff>
              </xdr:to>
            </anchor>
          </commentPr>
        </mc:Choice>
        <mc:Fallback/>
      </mc:AlternateContent>
    </comment>
    <comment ref="E4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447</xdr:row>
                <xdr:rowOff>62</xdr:rowOff>
              </xdr:from>
              <xdr:to>
                <xdr:col>6</xdr:col>
                <xdr:colOff>56</xdr:colOff>
                <xdr:row>451</xdr:row>
                <xdr:rowOff>13</xdr:rowOff>
              </xdr:to>
            </anchor>
          </commentPr>
        </mc:Choice>
        <mc:Fallback/>
      </mc:AlternateContent>
    </comment>
    <comment ref="E4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448</xdr:row>
                <xdr:rowOff>7</xdr:rowOff>
              </xdr:from>
              <xdr:to>
                <xdr:col>6</xdr:col>
                <xdr:colOff>56</xdr:colOff>
                <xdr:row>452</xdr:row>
                <xdr:rowOff>13</xdr:rowOff>
              </xdr:to>
            </anchor>
          </commentPr>
        </mc:Choice>
        <mc:Fallback/>
      </mc:AlternateContent>
    </comment>
    <comment ref="E4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467</xdr:row>
                <xdr:rowOff>62</xdr:rowOff>
              </xdr:from>
              <xdr:to>
                <xdr:col>6</xdr:col>
                <xdr:colOff>56</xdr:colOff>
                <xdr:row>471</xdr:row>
                <xdr:rowOff>13</xdr:rowOff>
              </xdr:to>
            </anchor>
          </commentPr>
        </mc:Choice>
        <mc:Fallback/>
      </mc:AlternateContent>
    </comment>
    <comment ref="E4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468</xdr:row>
                <xdr:rowOff>7</xdr:rowOff>
              </xdr:from>
              <xdr:to>
                <xdr:col>6</xdr:col>
                <xdr:colOff>56</xdr:colOff>
                <xdr:row>472</xdr:row>
                <xdr:rowOff>13</xdr:rowOff>
              </xdr:to>
            </anchor>
          </commentPr>
        </mc:Choice>
        <mc:Fallback/>
      </mc:AlternateContent>
    </comment>
    <comment ref="E4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487</xdr:row>
                <xdr:rowOff>62</xdr:rowOff>
              </xdr:from>
              <xdr:to>
                <xdr:col>6</xdr:col>
                <xdr:colOff>56</xdr:colOff>
                <xdr:row>491</xdr:row>
                <xdr:rowOff>13</xdr:rowOff>
              </xdr:to>
            </anchor>
          </commentPr>
        </mc:Choice>
        <mc:Fallback/>
      </mc:AlternateContent>
    </comment>
    <comment ref="E4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488</xdr:row>
                <xdr:rowOff>7</xdr:rowOff>
              </xdr:from>
              <xdr:to>
                <xdr:col>6</xdr:col>
                <xdr:colOff>56</xdr:colOff>
                <xdr:row>492</xdr:row>
                <xdr:rowOff>13</xdr:rowOff>
              </xdr:to>
            </anchor>
          </commentPr>
        </mc:Choice>
        <mc:Fallback/>
      </mc:AlternateContent>
    </comment>
    <comment ref="E5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507</xdr:row>
                <xdr:rowOff>62</xdr:rowOff>
              </xdr:from>
              <xdr:to>
                <xdr:col>6</xdr:col>
                <xdr:colOff>56</xdr:colOff>
                <xdr:row>511</xdr:row>
                <xdr:rowOff>13</xdr:rowOff>
              </xdr:to>
            </anchor>
          </commentPr>
        </mc:Choice>
        <mc:Fallback/>
      </mc:AlternateContent>
    </comment>
    <comment ref="E5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508</xdr:row>
                <xdr:rowOff>7</xdr:rowOff>
              </xdr:from>
              <xdr:to>
                <xdr:col>6</xdr:col>
                <xdr:colOff>56</xdr:colOff>
                <xdr:row>512</xdr:row>
                <xdr:rowOff>13</xdr:rowOff>
              </xdr:to>
            </anchor>
          </commentPr>
        </mc:Choice>
        <mc:Fallback/>
      </mc:AlternateContent>
    </comment>
    <comment ref="E5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527</xdr:row>
                <xdr:rowOff>62</xdr:rowOff>
              </xdr:from>
              <xdr:to>
                <xdr:col>6</xdr:col>
                <xdr:colOff>56</xdr:colOff>
                <xdr:row>531</xdr:row>
                <xdr:rowOff>13</xdr:rowOff>
              </xdr:to>
            </anchor>
          </commentPr>
        </mc:Choice>
        <mc:Fallback/>
      </mc:AlternateContent>
    </comment>
    <comment ref="E53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528</xdr:row>
                <xdr:rowOff>7</xdr:rowOff>
              </xdr:from>
              <xdr:to>
                <xdr:col>6</xdr:col>
                <xdr:colOff>56</xdr:colOff>
                <xdr:row>532</xdr:row>
                <xdr:rowOff>13</xdr:rowOff>
              </xdr:to>
            </anchor>
          </commentPr>
        </mc:Choice>
        <mc:Fallback/>
      </mc:AlternateContent>
    </comment>
    <comment ref="E54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547</xdr:row>
                <xdr:rowOff>62</xdr:rowOff>
              </xdr:from>
              <xdr:to>
                <xdr:col>6</xdr:col>
                <xdr:colOff>56</xdr:colOff>
                <xdr:row>551</xdr:row>
                <xdr:rowOff>13</xdr:rowOff>
              </xdr:to>
            </anchor>
          </commentPr>
        </mc:Choice>
        <mc:Fallback/>
      </mc:AlternateContent>
    </comment>
    <comment ref="E55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548</xdr:row>
                <xdr:rowOff>7</xdr:rowOff>
              </xdr:from>
              <xdr:to>
                <xdr:col>6</xdr:col>
                <xdr:colOff>56</xdr:colOff>
                <xdr:row>552</xdr:row>
                <xdr:rowOff>13</xdr:rowOff>
              </xdr:to>
            </anchor>
          </commentPr>
        </mc:Choice>
        <mc:Fallback/>
      </mc:AlternateContent>
    </comment>
    <comment ref="E56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567</xdr:row>
                <xdr:rowOff>62</xdr:rowOff>
              </xdr:from>
              <xdr:to>
                <xdr:col>6</xdr:col>
                <xdr:colOff>56</xdr:colOff>
                <xdr:row>571</xdr:row>
                <xdr:rowOff>13</xdr:rowOff>
              </xdr:to>
            </anchor>
          </commentPr>
        </mc:Choice>
        <mc:Fallback/>
      </mc:AlternateContent>
    </comment>
    <comment ref="E57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568</xdr:row>
                <xdr:rowOff>7</xdr:rowOff>
              </xdr:from>
              <xdr:to>
                <xdr:col>6</xdr:col>
                <xdr:colOff>56</xdr:colOff>
                <xdr:row>572</xdr:row>
                <xdr:rowOff>13</xdr:rowOff>
              </xdr:to>
            </anchor>
          </commentPr>
        </mc:Choice>
        <mc:Fallback/>
      </mc:AlternateContent>
    </comment>
    <comment ref="E58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587</xdr:row>
                <xdr:rowOff>62</xdr:rowOff>
              </xdr:from>
              <xdr:to>
                <xdr:col>6</xdr:col>
                <xdr:colOff>56</xdr:colOff>
                <xdr:row>591</xdr:row>
                <xdr:rowOff>13</xdr:rowOff>
              </xdr:to>
            </anchor>
          </commentPr>
        </mc:Choice>
        <mc:Fallback/>
      </mc:AlternateContent>
    </comment>
    <comment ref="E59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588</xdr:row>
                <xdr:rowOff>7</xdr:rowOff>
              </xdr:from>
              <xdr:to>
                <xdr:col>6</xdr:col>
                <xdr:colOff>56</xdr:colOff>
                <xdr:row>592</xdr:row>
                <xdr:rowOff>13</xdr:rowOff>
              </xdr:to>
            </anchor>
          </commentPr>
        </mc:Choice>
        <mc:Fallback/>
      </mc:AlternateContent>
    </comment>
    <comment ref="E60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607</xdr:row>
                <xdr:rowOff>62</xdr:rowOff>
              </xdr:from>
              <xdr:to>
                <xdr:col>6</xdr:col>
                <xdr:colOff>56</xdr:colOff>
                <xdr:row>611</xdr:row>
                <xdr:rowOff>13</xdr:rowOff>
              </xdr:to>
            </anchor>
          </commentPr>
        </mc:Choice>
        <mc:Fallback/>
      </mc:AlternateContent>
    </comment>
    <comment ref="E6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Discounted Tenn Rates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608</xdr:row>
                <xdr:rowOff>7</xdr:rowOff>
              </xdr:from>
              <xdr:to>
                <xdr:col>6</xdr:col>
                <xdr:colOff>56</xdr:colOff>
                <xdr:row>612</xdr:row>
                <xdr:rowOff>13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Neg Number: T3 Volume
Pos Number: Amt Below T3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155</xdr:colOff>
                <xdr:row>3</xdr:row>
                <xdr:rowOff>7</xdr:rowOff>
              </xdr:from>
              <xdr:to>
                <xdr:col>4</xdr:col>
                <xdr:colOff>39</xdr:colOff>
                <xdr:row>5</xdr:row>
                <xdr:rowOff>16</xdr:rowOff>
              </xdr:to>
            </anchor>
          </commentPr>
        </mc:Choice>
        <mc:Fallback/>
      </mc:AlternateContent>
    </comment>
    <comment ref="E3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from ss: vng daily tier quantity by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</xdr:row>
                <xdr:rowOff>7</xdr:rowOff>
              </xdr:from>
              <xdr:to>
                <xdr:col>7</xdr:col>
                <xdr:colOff>0</xdr:colOff>
                <xdr:row>4</xdr:row>
                <xdr:rowOff>26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46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HOPEWELL STORAGE PULL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44</xdr:row>
                <xdr:rowOff>12</xdr:rowOff>
              </xdr:from>
              <xdr:to>
                <xdr:col>6</xdr:col>
                <xdr:colOff>40</xdr:colOff>
                <xdr:row>48</xdr:row>
                <xdr:rowOff>10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Special Trans Rate
$0.05 plus s/c for Tenn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62</xdr:rowOff>
              </xdr:from>
              <xdr:to>
                <xdr:col>7</xdr:col>
                <xdr:colOff>56</xdr:colOff>
                <xdr:row>11</xdr:row>
                <xdr:rowOff>13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Same as above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</xdr:row>
                <xdr:rowOff>7</xdr:rowOff>
              </xdr:from>
              <xdr:to>
                <xdr:col>7</xdr:col>
                <xdr:colOff>56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<sst xmlns="http://schemas.openxmlformats.org/spreadsheetml/2006/main" count="2937" uniqueCount="386">
  <si>
    <t xml:space="preserve">VNG </t>
  </si>
  <si>
    <t xml:space="preserve">Tier 1 Volume / Pricing</t>
  </si>
  <si>
    <t xml:space="preserve">Tier 2 Volume / Pricing by Pipe</t>
  </si>
  <si>
    <t xml:space="preserve">Tier 3 Price</t>
  </si>
  <si>
    <t xml:space="preserve">Total Storage W/D</t>
  </si>
  <si>
    <t xml:space="preserve">Sub Total - Tier Cost</t>
  </si>
  <si>
    <t xml:space="preserve">Gas Cost for Storage Injections</t>
  </si>
  <si>
    <t xml:space="preserve">FS Volumetric Charge</t>
  </si>
  <si>
    <t xml:space="preserve">ESTIMATED ONLY</t>
  </si>
  <si>
    <t xml:space="preserve">Demand Cost</t>
  </si>
  <si>
    <t xml:space="preserve">Adjusted after Buy Back</t>
  </si>
  <si>
    <r>
      <rPr>
        <b val="true"/>
        <sz val="11"/>
        <rFont val="Arial"/>
        <family val="2"/>
      </rPr>
      <t xml:space="preserve">Total Cost </t>
    </r>
    <r>
      <rPr>
        <b val="true"/>
        <sz val="9"/>
        <rFont val="Arial"/>
        <family val="2"/>
      </rPr>
      <t xml:space="preserve">(Demand + Variable)</t>
    </r>
  </si>
  <si>
    <t xml:space="preserve">This is estimated ENA invoice  -- Includes FS invoice which is on the Williams invoice.</t>
  </si>
  <si>
    <t xml:space="preserve">Enron Buy Back Volume</t>
  </si>
  <si>
    <t xml:space="preserve">VIRGINIA NATURAL GAS</t>
  </si>
  <si>
    <t xml:space="preserve">FS</t>
  </si>
  <si>
    <t xml:space="preserve">Daily Gas Data - Monthly Summary</t>
  </si>
  <si>
    <t xml:space="preserve">T1</t>
  </si>
  <si>
    <t xml:space="preserve">(Dth)</t>
  </si>
  <si>
    <t xml:space="preserve">T2</t>
  </si>
  <si>
    <t xml:space="preserve">Tier 1+Tier2 Max</t>
  </si>
  <si>
    <t xml:space="preserve">DATE</t>
  </si>
  <si>
    <t xml:space="preserve">COLUMBIA GAS TRANSMISSION</t>
  </si>
  <si>
    <t xml:space="preserve">CNG TRANSMISSION</t>
  </si>
  <si>
    <t xml:space="preserve">TRANSCO</t>
  </si>
  <si>
    <t xml:space="preserve">PROPANE</t>
  </si>
  <si>
    <t xml:space="preserve">TOTAL</t>
  </si>
  <si>
    <t xml:space="preserve"> VNG PIPELINE CUSTOMERS</t>
  </si>
  <si>
    <t xml:space="preserve">TOTAL </t>
  </si>
  <si>
    <t xml:space="preserve">Gas</t>
  </si>
  <si>
    <t xml:space="preserve">Distribution</t>
  </si>
  <si>
    <t xml:space="preserve">VNG</t>
  </si>
  <si>
    <t xml:space="preserve">Supply</t>
  </si>
  <si>
    <t xml:space="preserve">Customer</t>
  </si>
  <si>
    <t xml:space="preserve">SYSTEM</t>
  </si>
  <si>
    <t xml:space="preserve">ADJUSTED TO STATEMENT</t>
  </si>
  <si>
    <t xml:space="preserve">Delivered</t>
  </si>
  <si>
    <t xml:space="preserve">Use</t>
  </si>
  <si>
    <t xml:space="preserve">(SENDOUT)</t>
  </si>
  <si>
    <t xml:space="preserve">Firm</t>
  </si>
  <si>
    <t xml:space="preserve">End User</t>
  </si>
  <si>
    <t xml:space="preserve">FSS</t>
  </si>
  <si>
    <t xml:space="preserve">Chesapk.</t>
  </si>
  <si>
    <t xml:space="preserve">GSS</t>
  </si>
  <si>
    <t xml:space="preserve">Cove Pt.</t>
  </si>
  <si>
    <t xml:space="preserve">Fuel</t>
  </si>
  <si>
    <t xml:space="preserve">WSS</t>
  </si>
  <si>
    <t xml:space="preserve">To VNG</t>
  </si>
  <si>
    <t xml:space="preserve">(125,000)</t>
  </si>
  <si>
    <t xml:space="preserve">(42,500)</t>
  </si>
  <si>
    <t xml:space="preserve">(36,000)</t>
  </si>
  <si>
    <t xml:space="preserve">(10,000)</t>
  </si>
  <si>
    <t xml:space="preserve">TRCO GSS</t>
  </si>
  <si>
    <t xml:space="preserve">Tier 3</t>
  </si>
  <si>
    <t xml:space="preserve">Transport.</t>
  </si>
  <si>
    <t xml:space="preserve">Storage</t>
  </si>
  <si>
    <t xml:space="preserve">LNG</t>
  </si>
  <si>
    <t xml:space="preserve">Retain.</t>
  </si>
  <si>
    <t xml:space="preserve">Sales</t>
  </si>
  <si>
    <t xml:space="preserve">1200 btu/cf</t>
  </si>
  <si>
    <t xml:space="preserve">Doswell</t>
  </si>
  <si>
    <t xml:space="preserve">Va. Power</t>
  </si>
  <si>
    <t xml:space="preserve">Richmond</t>
  </si>
  <si>
    <t xml:space="preserve">Col. of  Va</t>
  </si>
  <si>
    <t xml:space="preserve">DV to VNG less 3rd</t>
  </si>
  <si>
    <t xml:space="preserve">Sendout</t>
  </si>
  <si>
    <t xml:space="preserve">Sendout less 3rd party</t>
  </si>
  <si>
    <t xml:space="preserve">3rd party</t>
  </si>
  <si>
    <t xml:space="preserve">TCO Total</t>
  </si>
  <si>
    <t xml:space="preserve">TCO FSS</t>
  </si>
  <si>
    <t xml:space="preserve">CNG Total</t>
  </si>
  <si>
    <t xml:space="preserve">CNG GSS</t>
  </si>
  <si>
    <t xml:space="preserve">Transco Total</t>
  </si>
  <si>
    <t xml:space="preserve">TRCO WSS</t>
  </si>
  <si>
    <t xml:space="preserve">Total DV</t>
  </si>
  <si>
    <t xml:space="preserve">Strg W/D / (INJ)</t>
  </si>
  <si>
    <t xml:space="preserve">Total ENA</t>
  </si>
  <si>
    <t xml:space="preserve">Storage W/D</t>
  </si>
  <si>
    <t xml:space="preserve">Difference</t>
  </si>
  <si>
    <t xml:space="preserve">LNG / PROPANE</t>
  </si>
  <si>
    <t xml:space="preserve">Volume Under (Over) Max</t>
  </si>
  <si>
    <t xml:space="preserve">Market Adjust.</t>
  </si>
  <si>
    <t xml:space="preserve">ENRON TRANSPORTED VOLUMES:</t>
  </si>
  <si>
    <t xml:space="preserve">STORAGE W/D OR (INJ):</t>
  </si>
  <si>
    <t xml:space="preserve">3RD PARTY TRANSPORT:</t>
  </si>
  <si>
    <t xml:space="preserve">FS SUPPLY:</t>
  </si>
  <si>
    <t xml:space="preserve">FUEL RETAINAGE:</t>
  </si>
  <si>
    <t xml:space="preserve">PROPANE NOT INCLUDED IN THIS NUMBER </t>
  </si>
  <si>
    <t xml:space="preserve">Invoice Date:</t>
  </si>
  <si>
    <t xml:space="preserve">Top of Tier</t>
  </si>
  <si>
    <t xml:space="preserve">Tier 0</t>
  </si>
  <si>
    <t xml:space="preserve">Max of Tier 0 + Tier 1</t>
  </si>
  <si>
    <t xml:space="preserve">Tier 1</t>
  </si>
  <si>
    <t xml:space="preserve">Max of Tier 1 + Tier 2</t>
  </si>
  <si>
    <t xml:space="preserve">Tier 2</t>
  </si>
  <si>
    <t xml:space="preserve">FS Supply</t>
  </si>
  <si>
    <t xml:space="preserve">&lt;===should not exceed these volumes daily)</t>
  </si>
  <si>
    <t xml:space="preserve">FS Sale</t>
  </si>
  <si>
    <t xml:space="preserve">FS Buyback</t>
  </si>
  <si>
    <t xml:space="preserve">check</t>
  </si>
  <si>
    <t xml:space="preserve">Exhibt 4</t>
  </si>
  <si>
    <t xml:space="preserve">Daily Tier Quantity Limits</t>
  </si>
  <si>
    <t xml:space="preserve">for</t>
  </si>
  <si>
    <t xml:space="preserve">&lt;----- Revised for 380 dth issue</t>
  </si>
  <si>
    <t xml:space="preserve">VNG's Requirement Quantity</t>
  </si>
  <si>
    <t xml:space="preserve">             Tier I  1/</t>
  </si>
  <si>
    <t xml:space="preserve">             Tier II 2/</t>
  </si>
  <si>
    <t xml:space="preserve">             Tier III 3/</t>
  </si>
  <si>
    <t xml:space="preserve">             Tier IV 4/</t>
  </si>
  <si>
    <t xml:space="preserve">From</t>
  </si>
  <si>
    <t xml:space="preserve">To</t>
  </si>
  <si>
    <t xml:space="preserve">Notes:</t>
  </si>
  <si>
    <t xml:space="preserve">1/  Tier I sales start after first 15,771 dth/day of VNG loads are served via Tier 0.</t>
  </si>
  <si>
    <t xml:space="preserve">2/  During Summer Period Tier II Quantity Limit extends from Tier I limit to lower of projected </t>
  </si>
  <si>
    <t xml:space="preserve">     peak day and extent of FT assets.</t>
  </si>
  <si>
    <t xml:space="preserve">3/  Tier III quantity limit is adjusted over course of each winter based on associated deliverability of logical storage.</t>
  </si>
  <si>
    <t xml:space="preserve">      April and October limits are set at monthly design day.</t>
  </si>
  <si>
    <t xml:space="preserve">4/   Tier IV quantity limit is based on the deliverability of Buyer's Propane Facility (Buyer's Propane Deliverability).</t>
  </si>
  <si>
    <t xml:space="preserve">5/   Buyer's requirement quantities net of 15,771 dth/day which represents Buyer's Transco FS service</t>
  </si>
  <si>
    <t xml:space="preserve">NYMEX SETTLE</t>
  </si>
  <si>
    <t xml:space="preserve">Index</t>
  </si>
  <si>
    <t xml:space="preserve">TGP Z1 - IF</t>
  </si>
  <si>
    <t xml:space="preserve">TGO Z0 - IF</t>
  </si>
  <si>
    <t xml:space="preserve">CNG South - IF</t>
  </si>
  <si>
    <t xml:space="preserve">CNG North - IF</t>
  </si>
  <si>
    <t xml:space="preserve">Transco Z1 - IF</t>
  </si>
  <si>
    <t xml:space="preserve">Transco Z2 - IF</t>
  </si>
  <si>
    <t xml:space="preserve">Transco Z3 - IF</t>
  </si>
  <si>
    <t xml:space="preserve">Col Gulf LA - IF</t>
  </si>
  <si>
    <t xml:space="preserve">TCO Appalachia - IF</t>
  </si>
  <si>
    <t xml:space="preserve">Note:</t>
  </si>
  <si>
    <t xml:space="preserve">GAS DAILY PRICING BELOW DOES NOT CALCULATE DIRECTLY INTO TIER 2 SHEET.  FOR TRACKING PURPOSES ONLY.</t>
  </si>
  <si>
    <t xml:space="preserve">Gas Daily</t>
  </si>
  <si>
    <t xml:space="preserve">Mon</t>
  </si>
  <si>
    <t xml:space="preserve">Tue</t>
  </si>
  <si>
    <t xml:space="preserve">Wed</t>
  </si>
  <si>
    <t xml:space="preserve">Thur</t>
  </si>
  <si>
    <t xml:space="preserve">Fri</t>
  </si>
  <si>
    <t xml:space="preserve">Sat</t>
  </si>
  <si>
    <t xml:space="preserve">Sun</t>
  </si>
  <si>
    <t xml:space="preserve">Cgulf Onshore</t>
  </si>
  <si>
    <t xml:space="preserve">CNG South Point</t>
  </si>
  <si>
    <t xml:space="preserve">TGP Z1 - 500</t>
  </si>
  <si>
    <t xml:space="preserve">TGP Z0 </t>
  </si>
  <si>
    <t xml:space="preserve">Transco Z3</t>
  </si>
  <si>
    <t xml:space="preserve">TCO Appalachia </t>
  </si>
  <si>
    <t xml:space="preserve">From:  Gas Daily Publication</t>
  </si>
  <si>
    <t xml:space="preserve">Verify rates in Transportation Worksheet</t>
  </si>
  <si>
    <t xml:space="preserve">PIPELINE</t>
  </si>
  <si>
    <t xml:space="preserve">Contract</t>
  </si>
  <si>
    <t xml:space="preserve">SERVICE</t>
  </si>
  <si>
    <t xml:space="preserve">MDQ</t>
  </si>
  <si>
    <t xml:space="preserve">Expiration</t>
  </si>
  <si>
    <t xml:space="preserve">Rate Type</t>
  </si>
  <si>
    <t xml:space="preserve">Rate</t>
  </si>
  <si>
    <t xml:space="preserve">Total Cost</t>
  </si>
  <si>
    <t xml:space="preserve">ENA</t>
  </si>
  <si>
    <t xml:space="preserve">Cap WkSheet</t>
  </si>
  <si>
    <t xml:space="preserve">dth/day</t>
  </si>
  <si>
    <t xml:space="preserve">Date</t>
  </si>
  <si>
    <t xml:space="preserve">DOMINION</t>
  </si>
  <si>
    <t xml:space="preserve">FTNN</t>
  </si>
  <si>
    <t xml:space="preserve">Transport Demand Rate</t>
  </si>
  <si>
    <t xml:space="preserve">Gathering Demand Rate</t>
  </si>
  <si>
    <t xml:space="preserve">Storage Capacity Charge</t>
  </si>
  <si>
    <t xml:space="preserve">Storage  Demand Charge</t>
  </si>
  <si>
    <t xml:space="preserve"> </t>
  </si>
  <si>
    <t xml:space="preserve">3/31/2012-3/31-2017</t>
  </si>
  <si>
    <t xml:space="preserve">FTNN-GSS</t>
  </si>
  <si>
    <t xml:space="preserve">3/31/2012-10/31/17</t>
  </si>
  <si>
    <t xml:space="preserve">FT</t>
  </si>
  <si>
    <t xml:space="preserve">(Seasonal)</t>
  </si>
  <si>
    <t xml:space="preserve">Total Dominion</t>
  </si>
  <si>
    <t xml:space="preserve">Cove Point</t>
  </si>
  <si>
    <t xml:space="preserve">LNG FPS-10</t>
  </si>
  <si>
    <t xml:space="preserve">FPS</t>
  </si>
  <si>
    <t xml:space="preserve">Total Cove Point</t>
  </si>
  <si>
    <t xml:space="preserve">COLUMBIA GAS</t>
  </si>
  <si>
    <t xml:space="preserve">FTS</t>
  </si>
  <si>
    <t xml:space="preserve">Release Credit</t>
  </si>
  <si>
    <t xml:space="preserve">Ford, US Gyp, Nabisco</t>
  </si>
  <si>
    <t xml:space="preserve">Overrun Charge</t>
  </si>
  <si>
    <t xml:space="preserve">LNG X-133</t>
  </si>
  <si>
    <t xml:space="preserve">SST</t>
  </si>
  <si>
    <t xml:space="preserve">Evergreen</t>
  </si>
  <si>
    <t xml:space="preserve">No demand or commodity charge</t>
  </si>
  <si>
    <t xml:space="preserve">Total Columbia</t>
  </si>
  <si>
    <t xml:space="preserve">COLUMBIA GULF</t>
  </si>
  <si>
    <t xml:space="preserve">Total Gulf</t>
  </si>
  <si>
    <t xml:space="preserve">TENNESSEE</t>
  </si>
  <si>
    <t xml:space="preserve">FT-A</t>
  </si>
  <si>
    <t xml:space="preserve">Total Tennessee</t>
  </si>
  <si>
    <t xml:space="preserve">A&lt;B&lt;C</t>
  </si>
  <si>
    <t xml:space="preserve">              Demand Charge</t>
  </si>
  <si>
    <t xml:space="preserve">              Service Fee (Changes Monthly)</t>
  </si>
  <si>
    <t xml:space="preserve">0.3767</t>
  </si>
  <si>
    <t xml:space="preserve">0.6558</t>
  </si>
  <si>
    <t xml:space="preserve">ESS</t>
  </si>
  <si>
    <t xml:space="preserve">Total Transco</t>
  </si>
  <si>
    <t xml:space="preserve">Pathing</t>
  </si>
  <si>
    <t xml:space="preserve">For Transport</t>
  </si>
  <si>
    <t xml:space="preserve">STORAGE FILL (TRANSPORT)</t>
  </si>
  <si>
    <t xml:space="preserve">CNG / TGP Z1</t>
  </si>
  <si>
    <t xml:space="preserve">CNG / TGP Z0</t>
  </si>
  <si>
    <t xml:space="preserve">CNG So Points (2)</t>
  </si>
  <si>
    <t xml:space="preserve">CNG No Points (3)</t>
  </si>
  <si>
    <t xml:space="preserve">CNG/Transco Z2</t>
  </si>
  <si>
    <t xml:space="preserve">CNG/Transco Z3</t>
  </si>
  <si>
    <t xml:space="preserve">TCO / Transco FS Z1</t>
  </si>
  <si>
    <t xml:space="preserve">TCO / Transco FS Z2</t>
  </si>
  <si>
    <t xml:space="preserve">TCO / Transco FS Z3</t>
  </si>
  <si>
    <t xml:space="preserve">TCO / Col Gulf</t>
  </si>
  <si>
    <t xml:space="preserve">TCO Pool Sourced</t>
  </si>
  <si>
    <t xml:space="preserve">TCO / Transco Z1</t>
  </si>
  <si>
    <t xml:space="preserve">TCO / Transco Z2</t>
  </si>
  <si>
    <t xml:space="preserve">TCO / Transco Z3</t>
  </si>
  <si>
    <t xml:space="preserve">    Total City Gate:</t>
  </si>
  <si>
    <t xml:space="preserve">see: VNG-ContractModel-Invoice           for Weightings by Month</t>
  </si>
  <si>
    <t xml:space="preserve">sheet: Tier 1 &amp; 2  Weightings</t>
  </si>
  <si>
    <t xml:space="preserve">see: VNG Daily Tier Quantity Limits by Month           for Revised Tier Volumes</t>
  </si>
  <si>
    <t xml:space="preserve">sheet 1</t>
  </si>
  <si>
    <t xml:space="preserve">to Zn 5</t>
  </si>
  <si>
    <t xml:space="preserve">Transco First of Month Index</t>
  </si>
  <si>
    <t xml:space="preserve">Volume</t>
  </si>
  <si>
    <t xml:space="preserve">Commodity</t>
  </si>
  <si>
    <t xml:space="preserve">S/C</t>
  </si>
  <si>
    <t xml:space="preserve">Cost</t>
  </si>
  <si>
    <t xml:space="preserve">$ Amount</t>
  </si>
  <si>
    <t xml:space="preserve">Service Fee</t>
  </si>
  <si>
    <t xml:space="preserve">Station 30</t>
  </si>
  <si>
    <t xml:space="preserve">Station 45</t>
  </si>
  <si>
    <t xml:space="preserve">Station 65</t>
  </si>
  <si>
    <t xml:space="preserve">PRICE ESTIMATE</t>
  </si>
  <si>
    <t xml:space="preserve">Delivered Volume by Day</t>
  </si>
  <si>
    <t xml:space="preserve">FS Buy Back</t>
  </si>
  <si>
    <t xml:space="preserve">Tco GDA</t>
  </si>
  <si>
    <t xml:space="preserve">Dollar Amount</t>
  </si>
  <si>
    <t xml:space="preserve"> Baseload Sales</t>
  </si>
  <si>
    <t xml:space="preserve">Rates Checked on 9/1/01 by sg</t>
  </si>
  <si>
    <t xml:space="preserve">Adjust Tenn as of April 1st</t>
  </si>
  <si>
    <t xml:space="preserve">Invoice Month</t>
  </si>
  <si>
    <t xml:space="preserve">Path 1 ----------------------------------------------------------------&gt;</t>
  </si>
  <si>
    <t xml:space="preserve">Path 2 ----------------------------------------------------------------&gt;</t>
  </si>
  <si>
    <t xml:space="preserve">Path 3 ----------------------------------------------------------------&gt;</t>
  </si>
  <si>
    <t xml:space="preserve">Path</t>
  </si>
  <si>
    <t xml:space="preserve">Index Premium</t>
  </si>
  <si>
    <t xml:space="preserve">Index Price ($/dth)</t>
  </si>
  <si>
    <t xml:space="preserve">Transport</t>
  </si>
  <si>
    <t xml:space="preserve">Commodity Rate ($/dth)</t>
  </si>
  <si>
    <t xml:space="preserve">Fuel (%)</t>
  </si>
  <si>
    <t xml:space="preserve">Net Cost at Delivery Point of FT ($/dth)</t>
  </si>
  <si>
    <t xml:space="preserve">Weighting (Dth/day)</t>
  </si>
  <si>
    <t xml:space="preserve">Weighted Price ($/dth)</t>
  </si>
  <si>
    <t xml:space="preserve">CNG / TGP Z1   </t>
  </si>
  <si>
    <t xml:space="preserve">TGP Z1 to Z4</t>
  </si>
  <si>
    <t xml:space="preserve">CNG to Quantico</t>
  </si>
  <si>
    <t xml:space="preserve">VNG Pipeline</t>
  </si>
  <si>
    <t xml:space="preserve">CNG / TGP Z0   </t>
  </si>
  <si>
    <t xml:space="preserve">TGP Z0 to Z4</t>
  </si>
  <si>
    <t xml:space="preserve">CNG So Points</t>
  </si>
  <si>
    <t xml:space="preserve">CNG South to Quantico</t>
  </si>
  <si>
    <t xml:space="preserve">CNG No Points </t>
  </si>
  <si>
    <t xml:space="preserve">CNG North to Quantico</t>
  </si>
  <si>
    <t xml:space="preserve">Transco Z2 to Leidy (z6)</t>
  </si>
  <si>
    <t xml:space="preserve">Transco Z3 to Leidy (z6)</t>
  </si>
  <si>
    <t xml:space="preserve">Transco FS Supply ZN1</t>
  </si>
  <si>
    <t xml:space="preserve">Transco FS Price</t>
  </si>
  <si>
    <t xml:space="preserve">Transco FS Supply ZN2</t>
  </si>
  <si>
    <t xml:space="preserve">Transco FS Supply ZN3</t>
  </si>
  <si>
    <t xml:space="preserve">Col Gulf IT-2 to Rayne</t>
  </si>
  <si>
    <t xml:space="preserve">Col Gulf Rayne to Leach</t>
  </si>
  <si>
    <t xml:space="preserve">TCO to City Gate</t>
  </si>
  <si>
    <t xml:space="preserve">TCO Pool to VNG City Gate</t>
  </si>
  <si>
    <t xml:space="preserve">Transco Z1 to Emporia (z5)</t>
  </si>
  <si>
    <t xml:space="preserve">TCO Shorthaul</t>
  </si>
  <si>
    <t xml:space="preserve">Transco Z2 to Emporia (z5)</t>
  </si>
  <si>
    <t xml:space="preserve">Transco Z3 to Emporia (z5)</t>
  </si>
  <si>
    <t xml:space="preserve">Weighted Average Sales Price</t>
  </si>
  <si>
    <t xml:space="preserve">Baseload Quantity </t>
  </si>
  <si>
    <t xml:space="preserve">Dth/Day</t>
  </si>
  <si>
    <t xml:space="preserve">(Does not include FS Supply)</t>
  </si>
  <si>
    <t xml:space="preserve">Dth/Month</t>
  </si>
  <si>
    <t xml:space="preserve">Days in Month:</t>
  </si>
  <si>
    <t xml:space="preserve">Gas Daily Calculation</t>
  </si>
  <si>
    <t xml:space="preserve">Gas Day:</t>
  </si>
  <si>
    <t xml:space="preserve">rates checked 9/01/01</t>
  </si>
  <si>
    <t xml:space="preserve">Input Gas Daily Price($/dth)</t>
  </si>
  <si>
    <t xml:space="preserve">CNG South</t>
  </si>
  <si>
    <t xml:space="preserve">CNG North</t>
  </si>
  <si>
    <t xml:space="preserve">Transco Z2</t>
  </si>
  <si>
    <t xml:space="preserve">Transco Z2 to Leidy</t>
  </si>
  <si>
    <t xml:space="preserve">Transco Z3 to Leidy</t>
  </si>
  <si>
    <t xml:space="preserve">Col Gulf LA </t>
  </si>
  <si>
    <t xml:space="preserve">TCO Appalachia</t>
  </si>
  <si>
    <t xml:space="preserve">Transco Z1</t>
  </si>
  <si>
    <t xml:space="preserve">Transco Z1 to Emporia</t>
  </si>
  <si>
    <t xml:space="preserve">Transco Z2 to Emporia</t>
  </si>
  <si>
    <t xml:space="preserve">Transco Z3 to Emporia</t>
  </si>
  <si>
    <t xml:space="preserve">Max Tier II Quantity </t>
  </si>
  <si>
    <t xml:space="preserve">Gas Daily Sales</t>
  </si>
  <si>
    <t xml:space="preserve">ESTIMATED GAS DAILY WACOG</t>
  </si>
  <si>
    <t xml:space="preserve">T2 Volume</t>
  </si>
  <si>
    <t xml:space="preserve">T3 Estimate</t>
  </si>
  <si>
    <t xml:space="preserve">Total</t>
  </si>
  <si>
    <t xml:space="preserve">Gas Daily WACOG</t>
  </si>
  <si>
    <t xml:space="preserve">Cost Per Day</t>
  </si>
  <si>
    <t xml:space="preserve">Negative Number = T3</t>
  </si>
  <si>
    <t xml:space="preserve">Positive Number = T2 Short</t>
  </si>
  <si>
    <t xml:space="preserve">Downstream Variable Costs</t>
  </si>
  <si>
    <t xml:space="preserve">Storage W/D Charges</t>
  </si>
  <si>
    <t xml:space="preserve">Path #1 ------------------------&gt;</t>
  </si>
  <si>
    <t xml:space="preserve">Path #2 ------------------------&gt;</t>
  </si>
  <si>
    <t xml:space="preserve">Market-Area Storage</t>
  </si>
  <si>
    <t xml:space="preserve">MSQ</t>
  </si>
  <si>
    <t xml:space="preserve">W/D Commodity ($/dth)</t>
  </si>
  <si>
    <t xml:space="preserve">W/D Fuel (%)</t>
  </si>
  <si>
    <t xml:space="preserve">Unitized Commodity Cost at Delivery Point ($/dth) 1/</t>
  </si>
  <si>
    <t xml:space="preserve">Net MSQ at City Gate (dth)</t>
  </si>
  <si>
    <t xml:space="preserve">Weighting</t>
  </si>
  <si>
    <t xml:space="preserve">Wtd Unitized Commodity Cost ($/dth)</t>
  </si>
  <si>
    <t xml:space="preserve">Cove Point LNG</t>
  </si>
  <si>
    <t xml:space="preserve">CNG GSS #1</t>
  </si>
  <si>
    <t xml:space="preserve">CNG GSS #2</t>
  </si>
  <si>
    <t xml:space="preserve">TCO FSS #1</t>
  </si>
  <si>
    <t xml:space="preserve">TCO to city gate</t>
  </si>
  <si>
    <t xml:space="preserve">TCO FSS #2</t>
  </si>
  <si>
    <t xml:space="preserve">TCO to Boswell</t>
  </si>
  <si>
    <t xml:space="preserve">Transco 5-5</t>
  </si>
  <si>
    <t xml:space="preserve">TCO LNG</t>
  </si>
  <si>
    <t xml:space="preserve">Transco GSS</t>
  </si>
  <si>
    <t xml:space="preserve">Notes:     1/  Costs are grossed up for fuel on each leg of path.</t>
  </si>
  <si>
    <t xml:space="preserve">STORAGE ACTIVITY</t>
  </si>
  <si>
    <t xml:space="preserve">INJECTIONS</t>
  </si>
  <si>
    <t xml:space="preserve">Tier 3 Withdrawals</t>
  </si>
  <si>
    <t xml:space="preserve">Beginning Inventory</t>
  </si>
  <si>
    <t xml:space="preserve">CNG GSS 1 &amp; 2</t>
  </si>
  <si>
    <t xml:space="preserve">TCO FSS 1 &amp; 2</t>
  </si>
  <si>
    <t xml:space="preserve">Total Strg Injected</t>
  </si>
  <si>
    <t xml:space="preserve">Total Strg W/D</t>
  </si>
  <si>
    <t xml:space="preserve">Ending Inventory</t>
  </si>
  <si>
    <t xml:space="preserve">Projected % Full:</t>
  </si>
  <si>
    <t xml:space="preserve">Max Storage Balance</t>
  </si>
  <si>
    <t xml:space="preserve">VNG's Target Refill Levels</t>
  </si>
  <si>
    <t xml:space="preserve">April 1, 2001</t>
  </si>
  <si>
    <t xml:space="preserve">Net MSQ at City Gate (dth)  1/</t>
  </si>
  <si>
    <t xml:space="preserve">Buyer's Target Refill Level (dth)</t>
  </si>
  <si>
    <t xml:space="preserve">Buyer's Target Refill Level (% of MSQ)</t>
  </si>
  <si>
    <t xml:space="preserve">Current VNG Inventory Level (dth - 3/28/01)</t>
  </si>
  <si>
    <t xml:space="preserve">Required Fill Quantity (dth in storage)</t>
  </si>
  <si>
    <t xml:space="preserve">Ratable Fill Quantity per month (dth)</t>
  </si>
  <si>
    <t xml:space="preserve">CNG GSS #1 &amp; #2</t>
  </si>
  <si>
    <t xml:space="preserve">Transco GSS 2/</t>
  </si>
  <si>
    <t xml:space="preserve">May 1, 2001</t>
  </si>
  <si>
    <t xml:space="preserve">Revised Refill Quantities - Tier 3 sales to VNG in April - 42,401 Mmbtu</t>
  </si>
  <si>
    <t xml:space="preserve">to</t>
  </si>
  <si>
    <t xml:space="preserve">Oct 31, 2001</t>
  </si>
  <si>
    <t xml:space="preserve">Current Paper Inventory Level (dth -4/30/01)</t>
  </si>
  <si>
    <t xml:space="preserve"> Calculation of Storage Fill Pricing</t>
  </si>
  <si>
    <t xml:space="preserve">Injection Costs  ------------------------------------&gt;</t>
  </si>
  <si>
    <t xml:space="preserve">Receipt Price ($/dth)</t>
  </si>
  <si>
    <t xml:space="preserve">Injection Rate ($/dth)</t>
  </si>
  <si>
    <t xml:space="preserve">Injection Fuel (%)</t>
  </si>
  <si>
    <t xml:space="preserve">Net Cost In Storage ($/dth)</t>
  </si>
  <si>
    <t xml:space="preserve">Capacity This Path (Dth/day)</t>
  </si>
  <si>
    <t xml:space="preserve">Weighting by Path</t>
  </si>
  <si>
    <t xml:space="preserve">Weighted Cost ($/dth)</t>
  </si>
  <si>
    <t xml:space="preserve">Monthly Fill Quantity (dth)  1/</t>
  </si>
  <si>
    <t xml:space="preserve">Weighting By Storage</t>
  </si>
  <si>
    <t xml:space="preserve">Weighted Fill Price For Month ($/dth)</t>
  </si>
  <si>
    <t xml:space="preserve">Transco Z3 to storage</t>
  </si>
  <si>
    <t xml:space="preserve">                         Total:</t>
  </si>
  <si>
    <t xml:space="preserve">TCO FSS Storages</t>
  </si>
  <si>
    <t xml:space="preserve">Col Gulf LA Plus IT - IF</t>
  </si>
  <si>
    <t xml:space="preserve">TCO Leach to Storage</t>
  </si>
  <si>
    <t xml:space="preserve">TCO Pool to Storage</t>
  </si>
  <si>
    <t xml:space="preserve">TCO LNG Storage</t>
  </si>
  <si>
    <t xml:space="preserve">CNG GSS Storages</t>
  </si>
  <si>
    <t xml:space="preserve">CNG / TGP Z1    1/</t>
  </si>
  <si>
    <t xml:space="preserve">CNG to Storage</t>
  </si>
  <si>
    <t xml:space="preserve">CNG / TGP Z0   1/</t>
  </si>
  <si>
    <t xml:space="preserve">CNG So to Quantico</t>
  </si>
  <si>
    <t xml:space="preserve">CNG No to Quantico</t>
  </si>
  <si>
    <t xml:space="preserve">Cove Point (CNG)</t>
  </si>
  <si>
    <t xml:space="preserve">Notes:    1/  Monthly fill quantity is total fill quantity for summer (see Exhibit 7) divided by 7.</t>
  </si>
  <si>
    <t xml:space="preserve">TOTAL:</t>
  </si>
  <si>
    <t xml:space="preserve">                   See Exhibit 8a through 8d for backup supporting available capacity by path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</si>
</sst>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[$-409]mmm\-yy"/>
    <numFmt numFmtId="166" formatCode="#,##0"/>
    <numFmt numFmtId="167" formatCode="_(\$* #,##0.00_);_(\$* \(#,##0.00\);_(\$* \-??_);_(@_)"/>
    <numFmt numFmtId="168" formatCode="\$#,##0.0000"/>
    <numFmt numFmtId="169" formatCode="_(* #,##0.00_);_(* \(#,##0.00\);_(* \-??_);_(@_)"/>
    <numFmt numFmtId="170" formatCode="\$#,##0.00_);&quot;($&quot;#,##0.00\)"/>
    <numFmt numFmtId="171" formatCode="\$#,##0.0000_);&quot;($&quot;#,##0.0000\)"/>
    <numFmt numFmtId="172" formatCode="mmmm\-yy"/>
    <numFmt numFmtId="173" formatCode="dd\-mmm"/>
    <numFmt numFmtId="174" formatCode="hh:mm\ AM/PM"/>
    <numFmt numFmtId="175" formatCode="0%"/>
    <numFmt numFmtId="176" formatCode="0.00%"/>
    <numFmt numFmtId="177" formatCode="[$-409]#,##0_);[RED]\(#,##0\)"/>
    <numFmt numFmtId="178" formatCode="[$-409]d\-mmm"/>
    <numFmt numFmtId="179" formatCode="#,##0.000"/>
    <numFmt numFmtId="180" formatCode="#,##0.0000"/>
    <numFmt numFmtId="181" formatCode="#,##0.000000"/>
    <numFmt numFmtId="182" formatCode="0.000000%"/>
    <numFmt numFmtId="183" formatCode="0.000%"/>
    <numFmt numFmtId="184" formatCode="#,##0.00"/>
    <numFmt numFmtId="185" formatCode="_(* #,##0_);_(* \(#,##0\);_(* \-??_);_(@_)"/>
    <numFmt numFmtId="186" formatCode="\$#,##0.000"/>
    <numFmt numFmtId="187" formatCode="_(\$* #,##0.000_);_(\$* \(#,##0.000\);_(\$* \-??_);_(@_)"/>
    <numFmt numFmtId="188" formatCode="mm/dd/yy"/>
    <numFmt numFmtId="189" formatCode="\$#,##0.00"/>
    <numFmt numFmtId="190" formatCode="[$-409]m/d/yyyy"/>
    <numFmt numFmtId="191" formatCode="0"/>
    <numFmt numFmtId="192" formatCode="0_);\(0\)"/>
    <numFmt numFmtId="193" formatCode="0.0000_);\(0.0000\)"/>
    <numFmt numFmtId="194" formatCode="_(\$* #,##0.0000_);_(\$* \(#,##0.0000\);_(\$* \-??_);_(@_)"/>
    <numFmt numFmtId="195" formatCode="0.00"/>
    <numFmt numFmtId="196" formatCode="_(\$* #,##0.0000_);_(\$* \(#,##0.0000\);_(\$* \-????_);_(@_)"/>
    <numFmt numFmtId="197" formatCode="mmmm\ d&quot;, &quot;yyyy"/>
    <numFmt numFmtId="198" formatCode="[$-409]d\-mmm\-yy"/>
  </numFmts>
  <fonts count="7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z val="8"/>
      <name val="Arial"/>
      <family val="2"/>
    </font>
    <font>
      <sz val="12"/>
      <name val="Arial"/>
      <family val="0"/>
    </font>
    <font>
      <sz val="24"/>
      <name val="Arial"/>
      <family val="0"/>
    </font>
    <font>
      <b val="true"/>
      <sz val="12"/>
      <name val="Arial MT"/>
      <family val="0"/>
    </font>
    <font>
      <b val="true"/>
      <sz val="14"/>
      <name val="Arial MT"/>
      <family val="0"/>
    </font>
    <font>
      <sz val="12"/>
      <color rgb="FFFF0000"/>
      <name val="Arial"/>
      <family val="2"/>
    </font>
    <font>
      <b val="true"/>
      <sz val="12"/>
      <color rgb="FFFFFFFF"/>
      <name val="Arial MT"/>
      <family val="0"/>
    </font>
    <font>
      <b val="true"/>
      <sz val="12"/>
      <name val="Arial"/>
      <family val="0"/>
    </font>
    <font>
      <sz val="12"/>
      <color rgb="FF000000"/>
      <name val="Arial"/>
      <family val="0"/>
    </font>
    <font>
      <sz val="12"/>
      <color rgb="FFFF0000"/>
      <name val="Arial MT"/>
      <family val="0"/>
    </font>
    <font>
      <sz val="12"/>
      <color rgb="FFFFFFFF"/>
      <name val="Arial MT"/>
      <family val="0"/>
    </font>
    <font>
      <sz val="12"/>
      <name val="Arial"/>
      <family val="2"/>
    </font>
    <font>
      <u val="single"/>
      <sz val="12"/>
      <name val="Arial MT"/>
      <family val="0"/>
    </font>
    <font>
      <u val="singl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24"/>
      <name val="Arial"/>
      <family val="0"/>
    </font>
    <font>
      <sz val="12"/>
      <color rgb="FF0000FF"/>
      <name val="Arial MT"/>
      <family val="0"/>
    </font>
    <font>
      <b val="true"/>
      <sz val="12"/>
      <color rgb="FFFF00FF"/>
      <name val="Arial MT"/>
      <family val="0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0"/>
      <color rgb="FFFFFFFF"/>
      <name val="Arial"/>
      <family val="2"/>
    </font>
    <font>
      <b val="true"/>
      <sz val="12"/>
      <color rgb="FF0000FF"/>
      <name val="Arial"/>
      <family val="2"/>
    </font>
    <font>
      <sz val="11"/>
      <name val="Arial"/>
      <family val="0"/>
    </font>
    <font>
      <sz val="11"/>
      <color rgb="FF0000FF"/>
      <name val="Arial"/>
      <family val="2"/>
    </font>
    <font>
      <sz val="11"/>
      <color rgb="FF000000"/>
      <name val="Arial MT"/>
      <family val="0"/>
    </font>
    <font>
      <sz val="11"/>
      <name val="Arial MT"/>
      <family val="0"/>
    </font>
    <font>
      <sz val="11"/>
      <name val="Arial"/>
      <family val="2"/>
    </font>
    <font>
      <i val="true"/>
      <sz val="11"/>
      <name val="Arial"/>
      <family val="0"/>
    </font>
    <font>
      <i val="true"/>
      <sz val="11"/>
      <color rgb="FF0000FF"/>
      <name val="Arial"/>
      <family val="2"/>
    </font>
    <font>
      <i val="true"/>
      <sz val="10"/>
      <color rgb="FFFF0000"/>
      <name val="Arial"/>
      <family val="2"/>
    </font>
    <font>
      <i val="true"/>
      <sz val="11"/>
      <color rgb="FF000000"/>
      <name val="Arial MT"/>
      <family val="0"/>
    </font>
    <font>
      <i val="true"/>
      <sz val="11"/>
      <name val="Arial MT"/>
      <family val="0"/>
    </font>
    <font>
      <sz val="11"/>
      <color rgb="FF000000"/>
      <name val="Arial"/>
      <family val="0"/>
    </font>
    <font>
      <b val="true"/>
      <sz val="11"/>
      <name val="Arial MT"/>
      <family val="0"/>
    </font>
    <font>
      <sz val="11"/>
      <color rgb="FFFF0000"/>
      <name val="Arial MT"/>
      <family val="0"/>
    </font>
    <font>
      <i val="true"/>
      <sz val="11"/>
      <color rgb="FFFF0000"/>
      <name val="Arial MT"/>
      <family val="0"/>
    </font>
    <font>
      <b val="true"/>
      <u val="single"/>
      <sz val="12"/>
      <name val="Arial"/>
      <family val="2"/>
    </font>
    <font>
      <u val="single"/>
      <sz val="11"/>
      <name val="Arial"/>
      <family val="2"/>
    </font>
    <font>
      <u val="single"/>
      <sz val="11"/>
      <color rgb="FF0000FF"/>
      <name val="Arial"/>
      <family val="2"/>
    </font>
    <font>
      <u val="single"/>
      <sz val="10"/>
      <color rgb="FFFF0000"/>
      <name val="Arial"/>
      <family val="2"/>
    </font>
    <font>
      <b val="true"/>
      <i val="true"/>
      <u val="single"/>
      <sz val="12"/>
      <name val="Arial"/>
      <family val="2"/>
    </font>
    <font>
      <i val="true"/>
      <u val="single"/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sz val="10"/>
      <color rgb="FF000000"/>
      <name val="Arial"/>
      <family val="2"/>
    </font>
    <font>
      <sz val="10"/>
      <color rgb="FFC0C0C0"/>
      <name val="Arial"/>
      <family val="2"/>
    </font>
    <font>
      <b val="true"/>
      <i val="true"/>
      <sz val="8"/>
      <color rgb="FF800080"/>
      <name val="Arial"/>
      <family val="2"/>
    </font>
    <font>
      <sz val="10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i val="true"/>
      <sz val="10"/>
      <color rgb="FF00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0000"/>
        <bgColor rgb="FF993300"/>
      </patternFill>
    </fill>
    <fill>
      <patternFill patternType="solid">
        <fgColor rgb="FFBFBFBF"/>
        <bgColor rgb="FFC0C0C0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ashed"/>
      <right style="dashed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dashed"/>
      <right style="dashed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medium"/>
      <top style="medium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double"/>
      <right style="medium"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7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5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4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7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9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7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9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18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14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14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3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7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0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7" borderId="1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1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7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4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7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9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0" fillId="7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1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14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7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1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7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8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7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9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1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1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1" borderId="1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11" borderId="1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1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2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2" borderId="2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1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3" borderId="1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2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2" borderId="1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12" borderId="1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12" borderId="1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13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3" borderId="1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13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7" borderId="1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2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2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2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1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1" fillId="2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3" fontId="14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9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9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2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0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2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3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5" fontId="3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5" fontId="3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5" fontId="3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0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4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5" fillId="7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3" fillId="7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5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4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7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4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4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4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43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4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3" fontId="4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5" fillId="7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1" fillId="11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3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8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1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4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3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8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4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37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7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7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3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6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3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8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34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66" fillId="17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1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8" fillId="2" borderId="4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4" fontId="0" fillId="2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7" fillId="6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8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7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3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1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7" fillId="1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1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1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15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7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15" borderId="2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2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15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15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15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8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" fillId="15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8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5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9" fillId="1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70" fillId="1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1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7" fillId="11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94" fontId="7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1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8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11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11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11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nronmb3" xfId="20"/>
    <cellStyle name="Normal_~006333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1257840</xdr:colOff>
      <xdr:row>21</xdr:row>
      <xdr:rowOff>47520</xdr:rowOff>
    </xdr:from>
    <xdr:to>
      <xdr:col>6</xdr:col>
      <xdr:colOff>1380240</xdr:colOff>
      <xdr:row>22</xdr:row>
      <xdr:rowOff>76320</xdr:rowOff>
    </xdr:to>
    <xdr:sp>
      <xdr:nvSpPr>
        <xdr:cNvPr id="0" name="Text 1"/>
        <xdr:cNvSpPr/>
      </xdr:nvSpPr>
      <xdr:spPr>
        <a:xfrm>
          <a:off x="7716960" y="4162320"/>
          <a:ext cx="122400" cy="22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27</xdr:row>
      <xdr:rowOff>86040</xdr:rowOff>
    </xdr:from>
    <xdr:to>
      <xdr:col>7</xdr:col>
      <xdr:colOff>1040760</xdr:colOff>
      <xdr:row>28</xdr:row>
      <xdr:rowOff>113760</xdr:rowOff>
    </xdr:to>
    <xdr:sp>
      <xdr:nvSpPr>
        <xdr:cNvPr id="1" name="Text 2"/>
        <xdr:cNvSpPr/>
      </xdr:nvSpPr>
      <xdr:spPr>
        <a:xfrm>
          <a:off x="9166680" y="5362920"/>
          <a:ext cx="124560" cy="22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27</xdr:row>
      <xdr:rowOff>86040</xdr:rowOff>
    </xdr:from>
    <xdr:to>
      <xdr:col>7</xdr:col>
      <xdr:colOff>1040760</xdr:colOff>
      <xdr:row>28</xdr:row>
      <xdr:rowOff>113760</xdr:rowOff>
    </xdr:to>
    <xdr:sp>
      <xdr:nvSpPr>
        <xdr:cNvPr id="2" name="Text 3"/>
        <xdr:cNvSpPr/>
      </xdr:nvSpPr>
      <xdr:spPr>
        <a:xfrm>
          <a:off x="9166680" y="5362920"/>
          <a:ext cx="124560" cy="22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956880</xdr:colOff>
      <xdr:row>9</xdr:row>
      <xdr:rowOff>114480</xdr:rowOff>
    </xdr:from>
    <xdr:to>
      <xdr:col>6</xdr:col>
      <xdr:colOff>1088280</xdr:colOff>
      <xdr:row>10</xdr:row>
      <xdr:rowOff>181080</xdr:rowOff>
    </xdr:to>
    <xdr:sp>
      <xdr:nvSpPr>
        <xdr:cNvPr id="3" name="Text 4"/>
        <xdr:cNvSpPr/>
      </xdr:nvSpPr>
      <xdr:spPr>
        <a:xfrm>
          <a:off x="7416000" y="1866960"/>
          <a:ext cx="13140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1257840</xdr:colOff>
      <xdr:row>23</xdr:row>
      <xdr:rowOff>142920</xdr:rowOff>
    </xdr:from>
    <xdr:to>
      <xdr:col>6</xdr:col>
      <xdr:colOff>1380240</xdr:colOff>
      <xdr:row>24</xdr:row>
      <xdr:rowOff>200160</xdr:rowOff>
    </xdr:to>
    <xdr:sp>
      <xdr:nvSpPr>
        <xdr:cNvPr id="4" name="Text 5"/>
        <xdr:cNvSpPr/>
      </xdr:nvSpPr>
      <xdr:spPr>
        <a:xfrm>
          <a:off x="7716960" y="4638600"/>
          <a:ext cx="1224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1257840</xdr:colOff>
      <xdr:row>23</xdr:row>
      <xdr:rowOff>104760</xdr:rowOff>
    </xdr:from>
    <xdr:to>
      <xdr:col>6</xdr:col>
      <xdr:colOff>1380240</xdr:colOff>
      <xdr:row>24</xdr:row>
      <xdr:rowOff>161640</xdr:rowOff>
    </xdr:to>
    <xdr:sp>
      <xdr:nvSpPr>
        <xdr:cNvPr id="5" name="Text 6"/>
        <xdr:cNvSpPr/>
      </xdr:nvSpPr>
      <xdr:spPr>
        <a:xfrm>
          <a:off x="7716960" y="4600440"/>
          <a:ext cx="122400" cy="237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27</xdr:row>
      <xdr:rowOff>171000</xdr:rowOff>
    </xdr:from>
    <xdr:to>
      <xdr:col>7</xdr:col>
      <xdr:colOff>1040760</xdr:colOff>
      <xdr:row>28</xdr:row>
      <xdr:rowOff>199800</xdr:rowOff>
    </xdr:to>
    <xdr:sp>
      <xdr:nvSpPr>
        <xdr:cNvPr id="6" name="Text 7"/>
        <xdr:cNvSpPr/>
      </xdr:nvSpPr>
      <xdr:spPr>
        <a:xfrm>
          <a:off x="9166680" y="5447880"/>
          <a:ext cx="124560" cy="22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27</xdr:row>
      <xdr:rowOff>171000</xdr:rowOff>
    </xdr:from>
    <xdr:to>
      <xdr:col>7</xdr:col>
      <xdr:colOff>1040760</xdr:colOff>
      <xdr:row>28</xdr:row>
      <xdr:rowOff>199800</xdr:rowOff>
    </xdr:to>
    <xdr:sp>
      <xdr:nvSpPr>
        <xdr:cNvPr id="7" name="Text 8"/>
        <xdr:cNvSpPr/>
      </xdr:nvSpPr>
      <xdr:spPr>
        <a:xfrm>
          <a:off x="9166680" y="5447880"/>
          <a:ext cx="124560" cy="22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956880</xdr:colOff>
      <xdr:row>11</xdr:row>
      <xdr:rowOff>28800</xdr:rowOff>
    </xdr:from>
    <xdr:to>
      <xdr:col>6</xdr:col>
      <xdr:colOff>1088280</xdr:colOff>
      <xdr:row>12</xdr:row>
      <xdr:rowOff>57240</xdr:rowOff>
    </xdr:to>
    <xdr:sp>
      <xdr:nvSpPr>
        <xdr:cNvPr id="8" name="Text 9"/>
        <xdr:cNvSpPr/>
      </xdr:nvSpPr>
      <xdr:spPr>
        <a:xfrm>
          <a:off x="7416000" y="2143440"/>
          <a:ext cx="13140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1257840</xdr:colOff>
      <xdr:row>22</xdr:row>
      <xdr:rowOff>47160</xdr:rowOff>
    </xdr:from>
    <xdr:to>
      <xdr:col>6</xdr:col>
      <xdr:colOff>1380240</xdr:colOff>
      <xdr:row>23</xdr:row>
      <xdr:rowOff>104760</xdr:rowOff>
    </xdr:to>
    <xdr:sp>
      <xdr:nvSpPr>
        <xdr:cNvPr id="9" name="Text 10"/>
        <xdr:cNvSpPr/>
      </xdr:nvSpPr>
      <xdr:spPr>
        <a:xfrm>
          <a:off x="7716960" y="4362120"/>
          <a:ext cx="1224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28</xdr:row>
      <xdr:rowOff>85680</xdr:rowOff>
    </xdr:from>
    <xdr:to>
      <xdr:col>7</xdr:col>
      <xdr:colOff>1040760</xdr:colOff>
      <xdr:row>29</xdr:row>
      <xdr:rowOff>114120</xdr:rowOff>
    </xdr:to>
    <xdr:sp>
      <xdr:nvSpPr>
        <xdr:cNvPr id="10" name="Text 11"/>
        <xdr:cNvSpPr/>
      </xdr:nvSpPr>
      <xdr:spPr>
        <a:xfrm>
          <a:off x="9166680" y="5562720"/>
          <a:ext cx="12456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28</xdr:row>
      <xdr:rowOff>85680</xdr:rowOff>
    </xdr:from>
    <xdr:to>
      <xdr:col>7</xdr:col>
      <xdr:colOff>1040760</xdr:colOff>
      <xdr:row>29</xdr:row>
      <xdr:rowOff>114120</xdr:rowOff>
    </xdr:to>
    <xdr:sp>
      <xdr:nvSpPr>
        <xdr:cNvPr id="11" name="Text 12"/>
        <xdr:cNvSpPr/>
      </xdr:nvSpPr>
      <xdr:spPr>
        <a:xfrm>
          <a:off x="9166680" y="5562720"/>
          <a:ext cx="12456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29</xdr:row>
      <xdr:rowOff>86040</xdr:rowOff>
    </xdr:from>
    <xdr:to>
      <xdr:col>7</xdr:col>
      <xdr:colOff>1040760</xdr:colOff>
      <xdr:row>30</xdr:row>
      <xdr:rowOff>114120</xdr:rowOff>
    </xdr:to>
    <xdr:sp>
      <xdr:nvSpPr>
        <xdr:cNvPr id="12" name="Text 13"/>
        <xdr:cNvSpPr/>
      </xdr:nvSpPr>
      <xdr:spPr>
        <a:xfrm>
          <a:off x="9166680" y="5762880"/>
          <a:ext cx="12456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29</xdr:row>
      <xdr:rowOff>86040</xdr:rowOff>
    </xdr:from>
    <xdr:to>
      <xdr:col>7</xdr:col>
      <xdr:colOff>1040760</xdr:colOff>
      <xdr:row>30</xdr:row>
      <xdr:rowOff>114120</xdr:rowOff>
    </xdr:to>
    <xdr:sp>
      <xdr:nvSpPr>
        <xdr:cNvPr id="13" name="Text 14"/>
        <xdr:cNvSpPr/>
      </xdr:nvSpPr>
      <xdr:spPr>
        <a:xfrm>
          <a:off x="9166680" y="5762880"/>
          <a:ext cx="124560" cy="228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30</xdr:row>
      <xdr:rowOff>86040</xdr:rowOff>
    </xdr:from>
    <xdr:to>
      <xdr:col>7</xdr:col>
      <xdr:colOff>1040760</xdr:colOff>
      <xdr:row>31</xdr:row>
      <xdr:rowOff>114120</xdr:rowOff>
    </xdr:to>
    <xdr:sp>
      <xdr:nvSpPr>
        <xdr:cNvPr id="14" name="Text 15"/>
        <xdr:cNvSpPr/>
      </xdr:nvSpPr>
      <xdr:spPr>
        <a:xfrm>
          <a:off x="9166680" y="5963040"/>
          <a:ext cx="124560" cy="22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916200</xdr:colOff>
      <xdr:row>30</xdr:row>
      <xdr:rowOff>86040</xdr:rowOff>
    </xdr:from>
    <xdr:to>
      <xdr:col>7</xdr:col>
      <xdr:colOff>1040760</xdr:colOff>
      <xdr:row>31</xdr:row>
      <xdr:rowOff>114120</xdr:rowOff>
    </xdr:to>
    <xdr:sp>
      <xdr:nvSpPr>
        <xdr:cNvPr id="15" name="Text 16"/>
        <xdr:cNvSpPr/>
      </xdr:nvSpPr>
      <xdr:spPr>
        <a:xfrm>
          <a:off x="9166680" y="5963040"/>
          <a:ext cx="124560" cy="227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NATTS/ADM/VNG/Contract%20Brief/Project%20Commonwealt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er 1 price"/>
      <sheetName val="Tier 2 price"/>
      <sheetName val="Tier 3 Price"/>
      <sheetName val="Strg Ratchets"/>
      <sheetName val="Ex Strg Ratchets"/>
      <sheetName val="Strg Inj Qnty"/>
      <sheetName val="Refill Example"/>
      <sheetName val="Storage Fill Price"/>
      <sheetName val="Tier 1 &amp; 2 Weigh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L31">
            <v>999.957085127233</v>
          </cell>
        </row>
        <row r="32">
          <cell r="L32">
            <v>1222.53576807555</v>
          </cell>
        </row>
        <row r="33">
          <cell r="L33">
            <v>18492.2281652741</v>
          </cell>
        </row>
        <row r="34">
          <cell r="L34">
            <v>622.159136059515</v>
          </cell>
        </row>
        <row r="35">
          <cell r="L35">
            <v>255.518445752512</v>
          </cell>
        </row>
        <row r="36">
          <cell r="L36">
            <v>6.11738452077837</v>
          </cell>
        </row>
        <row r="40">
          <cell r="L40">
            <v>27084.5177490574</v>
          </cell>
        </row>
        <row r="41">
          <cell r="L41">
            <v>4847.25145859559</v>
          </cell>
        </row>
        <row r="44">
          <cell r="L44">
            <v>311.827284105131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9.56"/>
    <col collapsed="false" customWidth="true" hidden="false" outlineLevel="0" max="3" min="3" style="0" width="16.42"/>
    <col collapsed="false" customWidth="true" hidden="false" outlineLevel="0" max="4" min="4" style="0" width="18.41"/>
    <col collapsed="false" customWidth="true" hidden="false" outlineLevel="0" max="5" min="5" style="0" width="18.14"/>
  </cols>
  <sheetData>
    <row r="1" customFormat="false" ht="18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n">
        <v>37165</v>
      </c>
      <c r="B2" s="3"/>
      <c r="D2" s="4"/>
    </row>
    <row r="4" customFormat="false" ht="12.75" hidden="false" customHeight="false" outlineLevel="0" collapsed="false">
      <c r="C4" s="5"/>
      <c r="D4" s="6"/>
      <c r="E4" s="7"/>
    </row>
    <row r="5" customFormat="false" ht="12.75" hidden="false" customHeight="false" outlineLevel="0" collapsed="false">
      <c r="A5" s="8" t="s">
        <v>1</v>
      </c>
      <c r="B5" s="9"/>
      <c r="C5" s="10"/>
      <c r="D5" s="10"/>
      <c r="E5" s="11"/>
    </row>
    <row r="6" customFormat="false" ht="12.75" hidden="false" customHeight="false" outlineLevel="0" collapsed="false">
      <c r="A6" s="12"/>
      <c r="B6" s="13"/>
      <c r="C6" s="14" t="n">
        <f aca="false">'Tier Volume Calc'!F48</f>
        <v>69980.3329765506</v>
      </c>
      <c r="D6" s="15" t="n">
        <f aca="false">C6*E6</f>
        <v>143565.843785491</v>
      </c>
      <c r="E6" s="16" t="n">
        <f aca="false">'Baseload - Tier 1'!R25</f>
        <v>2.05151701455319</v>
      </c>
    </row>
    <row r="7" customFormat="false" ht="12.75" hidden="false" customHeight="false" outlineLevel="0" collapsed="false">
      <c r="A7" s="17"/>
      <c r="B7" s="18"/>
      <c r="C7" s="19"/>
      <c r="D7" s="6"/>
      <c r="E7" s="20"/>
    </row>
    <row r="8" customFormat="false" ht="12.75" hidden="false" customHeight="false" outlineLevel="0" collapsed="false">
      <c r="A8" s="17"/>
      <c r="B8" s="18"/>
      <c r="C8" s="19"/>
      <c r="D8" s="6"/>
      <c r="E8" s="20"/>
    </row>
    <row r="9" customFormat="false" ht="12.75" hidden="false" customHeight="false" outlineLevel="0" collapsed="false">
      <c r="B9" s="21"/>
      <c r="C9" s="22"/>
      <c r="D9" s="6"/>
      <c r="E9" s="23"/>
    </row>
    <row r="10" customFormat="false" ht="12.75" hidden="false" customHeight="false" outlineLevel="0" collapsed="false">
      <c r="A10" s="8" t="s">
        <v>2</v>
      </c>
      <c r="B10" s="24"/>
      <c r="C10" s="10"/>
      <c r="D10" s="10"/>
      <c r="E10" s="11"/>
    </row>
    <row r="11" customFormat="false" ht="12.75" hidden="false" customHeight="false" outlineLevel="0" collapsed="false">
      <c r="A11" s="25"/>
      <c r="B11" s="26"/>
      <c r="C11" s="14" t="n">
        <f aca="false">'Tier Volume Calc'!G48</f>
        <v>766230.817023449</v>
      </c>
      <c r="D11" s="15" t="n">
        <f aca="false">C11*E11</f>
        <v>2242359.78035506</v>
      </c>
      <c r="E11" s="16" t="n">
        <f aca="false">'Gas Daily - Tier 2'!E39</f>
        <v>2.92648080778828</v>
      </c>
    </row>
    <row r="12" customFormat="false" ht="12.75" hidden="false" customHeight="false" outlineLevel="0" collapsed="false">
      <c r="A12" s="27"/>
      <c r="B12" s="28"/>
      <c r="C12" s="29"/>
      <c r="D12" s="30"/>
      <c r="E12" s="23"/>
    </row>
    <row r="13" customFormat="false" ht="12.75" hidden="false" customHeight="false" outlineLevel="0" collapsed="false">
      <c r="A13" s="27"/>
      <c r="B13" s="28"/>
      <c r="C13" s="29"/>
      <c r="D13" s="30"/>
      <c r="E13" s="23"/>
    </row>
    <row r="14" customFormat="false" ht="12.75" hidden="false" customHeight="false" outlineLevel="0" collapsed="false">
      <c r="A14" s="7"/>
      <c r="B14" s="31"/>
      <c r="C14" s="32"/>
      <c r="D14" s="6"/>
      <c r="E14" s="23"/>
    </row>
    <row r="15" customFormat="false" ht="12.75" hidden="false" customHeight="false" outlineLevel="0" collapsed="false">
      <c r="A15" s="8" t="s">
        <v>3</v>
      </c>
      <c r="B15" s="24"/>
      <c r="C15" s="33"/>
      <c r="D15" s="34"/>
      <c r="E15" s="35"/>
    </row>
    <row r="16" customFormat="false" ht="12.75" hidden="false" customHeight="false" outlineLevel="0" collapsed="false">
      <c r="A16" s="12"/>
      <c r="B16" s="36" t="s">
        <v>4</v>
      </c>
      <c r="C16" s="14" t="n">
        <f aca="false">'Tier Volume Calc'!H48</f>
        <v>0</v>
      </c>
      <c r="D16" s="15" t="n">
        <f aca="false">C16*E16</f>
        <v>0</v>
      </c>
      <c r="E16" s="16" t="n">
        <f aca="false">'Strg WD - Tier 3'!P19</f>
        <v>0.0563382823682765</v>
      </c>
    </row>
    <row r="17" customFormat="false" ht="12.75" hidden="false" customHeight="false" outlineLevel="0" collapsed="false">
      <c r="A17" s="17"/>
      <c r="B17" s="37"/>
      <c r="C17" s="32"/>
      <c r="D17" s="6"/>
      <c r="E17" s="23"/>
    </row>
    <row r="18" customFormat="false" ht="12.75" hidden="false" customHeight="false" outlineLevel="0" collapsed="false">
      <c r="A18" s="17"/>
      <c r="B18" s="38" t="s">
        <v>5</v>
      </c>
      <c r="C18" s="32" t="n">
        <f aca="false">C6+C11+C16</f>
        <v>836211.15</v>
      </c>
      <c r="D18" s="39" t="n">
        <f aca="false">D6+D11+D16</f>
        <v>2385925.62414055</v>
      </c>
      <c r="E18" s="23" t="n">
        <f aca="false">D18/C18</f>
        <v>2.85325736704246</v>
      </c>
    </row>
    <row r="19" customFormat="false" ht="12.75" hidden="false" customHeight="false" outlineLevel="0" collapsed="false">
      <c r="A19" s="17"/>
      <c r="B19" s="37"/>
      <c r="C19" s="32"/>
      <c r="D19" s="39"/>
      <c r="E19" s="23"/>
    </row>
    <row r="20" customFormat="false" ht="12.75" hidden="false" customHeight="false" outlineLevel="0" collapsed="false">
      <c r="A20" s="17"/>
      <c r="B20" s="37"/>
      <c r="C20" s="32"/>
      <c r="D20" s="39"/>
      <c r="E20" s="23"/>
    </row>
    <row r="21" customFormat="false" ht="12.75" hidden="false" customHeight="false" outlineLevel="0" collapsed="false">
      <c r="A21" s="40" t="s">
        <v>6</v>
      </c>
      <c r="B21" s="41"/>
      <c r="C21" s="33" t="n">
        <f aca="false">'Strg Refill Quantity'!I44</f>
        <v>759201.375</v>
      </c>
      <c r="D21" s="42" t="n">
        <f aca="false">C21*E21</f>
        <v>1570218.55447607</v>
      </c>
      <c r="E21" s="35" t="n">
        <f aca="false">'Storage Fill Price'!C6</f>
        <v>2.06825040915668</v>
      </c>
    </row>
    <row r="22" customFormat="false" ht="12.75" hidden="false" customHeight="false" outlineLevel="0" collapsed="false">
      <c r="A22" s="43"/>
      <c r="B22" s="37"/>
      <c r="C22" s="32"/>
      <c r="D22" s="39"/>
      <c r="E22" s="44"/>
    </row>
    <row r="23" customFormat="false" ht="12.75" hidden="false" customHeight="false" outlineLevel="0" collapsed="false">
      <c r="A23" s="12"/>
      <c r="B23" s="36"/>
      <c r="C23" s="14"/>
      <c r="D23" s="15"/>
      <c r="E23" s="16"/>
    </row>
    <row r="24" customFormat="false" ht="12.75" hidden="false" customHeight="false" outlineLevel="0" collapsed="false">
      <c r="C24" s="22"/>
      <c r="D24" s="6"/>
      <c r="E24" s="20"/>
    </row>
    <row r="25" customFormat="false" ht="12.75" hidden="false" customHeight="false" outlineLevel="0" collapsed="false">
      <c r="A25" s="45" t="s">
        <v>7</v>
      </c>
      <c r="B25" s="46"/>
      <c r="C25" s="47" t="n">
        <f aca="false">'Williams FS Price'!G46</f>
        <v>488901</v>
      </c>
      <c r="D25" s="48" t="n">
        <f aca="false">C25*E25</f>
        <v>953997.68456113</v>
      </c>
      <c r="E25" s="35" t="n">
        <f aca="false">'Williams FS Price'!F46</f>
        <v>1.95131056095432</v>
      </c>
    </row>
    <row r="26" customFormat="false" ht="12.75" hidden="false" customHeight="false" outlineLevel="0" collapsed="false">
      <c r="A26" s="49" t="s">
        <v>8</v>
      </c>
      <c r="B26" s="50"/>
      <c r="C26" s="51"/>
      <c r="D26" s="52"/>
      <c r="E26" s="53"/>
    </row>
    <row r="27" customFormat="false" ht="12.75" hidden="false" customHeight="false" outlineLevel="0" collapsed="false">
      <c r="C27" s="22"/>
      <c r="D27" s="6"/>
      <c r="E27" s="54"/>
    </row>
    <row r="28" customFormat="false" ht="12.75" hidden="false" customHeight="false" outlineLevel="0" collapsed="false">
      <c r="C28" s="22"/>
      <c r="D28" s="6"/>
      <c r="E28" s="54"/>
    </row>
    <row r="29" customFormat="false" ht="12.75" hidden="false" customHeight="false" outlineLevel="0" collapsed="false">
      <c r="C29" s="22"/>
      <c r="D29" s="6"/>
      <c r="E29" s="54"/>
    </row>
    <row r="30" customFormat="false" ht="12.75" hidden="false" customHeight="false" outlineLevel="0" collapsed="false">
      <c r="A30" s="55" t="s">
        <v>9</v>
      </c>
      <c r="B30" s="56"/>
      <c r="C30" s="47"/>
      <c r="D30" s="10"/>
      <c r="E30" s="57"/>
    </row>
    <row r="31" customFormat="false" ht="12.75" hidden="false" customHeight="false" outlineLevel="0" collapsed="false">
      <c r="A31" s="49" t="s">
        <v>8</v>
      </c>
      <c r="B31" s="13"/>
      <c r="C31" s="58"/>
      <c r="D31" s="15" t="n">
        <f aca="false">Demand!J81</f>
        <v>2346213.344656</v>
      </c>
      <c r="E31" s="59"/>
    </row>
    <row r="32" customFormat="false" ht="12.75" hidden="false" customHeight="false" outlineLevel="0" collapsed="false">
      <c r="C32" s="5"/>
      <c r="D32" s="60"/>
      <c r="E32" s="54"/>
    </row>
    <row r="33" customFormat="false" ht="12.75" hidden="false" customHeight="false" outlineLevel="0" collapsed="false">
      <c r="C33" s="5"/>
      <c r="D33" s="60"/>
      <c r="E33" s="54"/>
    </row>
    <row r="34" customFormat="false" ht="12.75" hidden="false" customHeight="false" outlineLevel="0" collapsed="false">
      <c r="E34" s="61" t="s">
        <v>10</v>
      </c>
      <c r="F34" s="62"/>
    </row>
    <row r="35" customFormat="false" ht="15" hidden="false" customHeight="false" outlineLevel="0" collapsed="false">
      <c r="A35" s="63" t="s">
        <v>11</v>
      </c>
      <c r="B35" s="64"/>
      <c r="C35" s="65"/>
      <c r="D35" s="66" t="n">
        <f aca="false">D18+D31+D25+D21</f>
        <v>7256355.20783375</v>
      </c>
      <c r="E35" s="67" t="n">
        <f aca="false">D35-E40</f>
        <v>7256355.20783375</v>
      </c>
      <c r="F35" s="68"/>
    </row>
    <row r="36" customFormat="false" ht="12.75" hidden="false" customHeight="false" outlineLevel="0" collapsed="false">
      <c r="E36" s="54"/>
    </row>
    <row r="37" customFormat="false" ht="12.75" hidden="false" customHeight="false" outlineLevel="0" collapsed="false">
      <c r="B37" s="0" t="s">
        <v>12</v>
      </c>
    </row>
    <row r="38" customFormat="false" ht="12.75" hidden="false" customHeight="false" outlineLevel="0" collapsed="false">
      <c r="A38" s="7"/>
      <c r="D38" s="54"/>
    </row>
    <row r="39" customFormat="false" ht="12.75" hidden="false" customHeight="false" outlineLevel="0" collapsed="false">
      <c r="A39" s="69" t="s">
        <v>13</v>
      </c>
      <c r="B39" s="70"/>
      <c r="C39" s="47"/>
      <c r="D39" s="10"/>
      <c r="E39" s="57"/>
    </row>
    <row r="40" customFormat="false" ht="12.75" hidden="false" customHeight="false" outlineLevel="0" collapsed="false">
      <c r="A40" s="49" t="s">
        <v>8</v>
      </c>
      <c r="B40" s="13"/>
      <c r="C40" s="71" t="n">
        <f aca="false">'Williams FS Price'!J46</f>
        <v>0</v>
      </c>
      <c r="D40" s="72" t="n">
        <f aca="false">'Williams FS Price'!L46</f>
        <v>0</v>
      </c>
      <c r="E40" s="73" t="n">
        <f aca="false">C40*D40</f>
        <v>0</v>
      </c>
    </row>
    <row r="43" customFormat="false" ht="12.75" hidden="false" customHeight="false" outlineLevel="0" collapsed="false">
      <c r="A43" s="7"/>
      <c r="B43" s="7"/>
      <c r="C43" s="7"/>
      <c r="D43" s="7"/>
      <c r="E43" s="7"/>
    </row>
  </sheetData>
  <printOptions headings="false" gridLines="false" gridLinesSet="true" horizontalCentered="false" verticalCentered="false"/>
  <pageMargins left="0.790277777777778" right="1.37013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6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05" activePane="bottomLeft" state="frozen"/>
      <selection pane="topLeft" activeCell="A1" activeCellId="0" sqref="A1"/>
      <selection pane="bottomLeft" activeCell="C620" activeCellId="0" sqref="C620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266" width="23.41"/>
    <col collapsed="false" customWidth="true" hidden="false" outlineLevel="0" max="2" min="2" style="317" width="20.85"/>
    <col collapsed="false" customWidth="true" hidden="false" outlineLevel="0" max="3" min="3" style="266" width="12.85"/>
    <col collapsed="false" customWidth="true" hidden="false" outlineLevel="0" max="4" min="4" style="266" width="24.7"/>
    <col collapsed="false" customWidth="true" hidden="false" outlineLevel="0" max="5" min="5" style="266" width="15.41"/>
    <col collapsed="false" customWidth="true" hidden="false" outlineLevel="0" max="6" min="6" style="266" width="12.85"/>
    <col collapsed="false" customWidth="false" hidden="false" outlineLevel="0" max="7" min="7" style="266" width="16.13"/>
    <col collapsed="false" customWidth="true" hidden="false" outlineLevel="0" max="8" min="8" style="266" width="20.13"/>
    <col collapsed="false" customWidth="true" hidden="false" outlineLevel="0" max="9" min="9" style="266" width="14.85"/>
    <col collapsed="false" customWidth="true" hidden="false" outlineLevel="0" max="10" min="10" style="266" width="10.41"/>
    <col collapsed="false" customWidth="false" hidden="false" outlineLevel="0" max="11" min="11" style="266" width="16.13"/>
    <col collapsed="false" customWidth="true" hidden="false" outlineLevel="0" max="12" min="12" style="266" width="19.14"/>
    <col collapsed="false" customWidth="true" hidden="false" outlineLevel="0" max="13" min="13" style="266" width="15.13"/>
    <col collapsed="false" customWidth="true" hidden="false" outlineLevel="0" max="14" min="14" style="266" width="11.42"/>
    <col collapsed="false" customWidth="true" hidden="false" outlineLevel="0" max="15" min="15" style="266" width="18.85"/>
    <col collapsed="false" customWidth="false" hidden="false" outlineLevel="0" max="257" min="16" style="266" width="16.13"/>
  </cols>
  <sheetData>
    <row r="2" customFormat="false" ht="12.75" hidden="false" customHeight="false" outlineLevel="0" collapsed="false">
      <c r="A2" s="267"/>
    </row>
    <row r="3" customFormat="false" ht="15.75" hidden="false" customHeight="false" outlineLevel="0" collapsed="false">
      <c r="A3" s="538" t="s">
        <v>283</v>
      </c>
      <c r="B3" s="539"/>
      <c r="E3" s="403"/>
      <c r="F3" s="403"/>
    </row>
    <row r="5" customFormat="false" ht="15.75" hidden="false" customHeight="false" outlineLevel="0" collapsed="false">
      <c r="A5" s="267" t="s">
        <v>240</v>
      </c>
      <c r="B5" s="581" t="n">
        <v>37165</v>
      </c>
    </row>
    <row r="6" customFormat="false" ht="13.5" hidden="false" customHeight="false" outlineLevel="0" collapsed="false">
      <c r="A6" s="267"/>
      <c r="B6" s="544"/>
      <c r="D6" s="269" t="s">
        <v>241</v>
      </c>
      <c r="H6" s="269" t="s">
        <v>242</v>
      </c>
      <c r="L6" s="269" t="s">
        <v>243</v>
      </c>
    </row>
    <row r="7" customFormat="false" ht="14.25" hidden="false" customHeight="false" outlineLevel="0" collapsed="false">
      <c r="A7" s="582" t="s">
        <v>284</v>
      </c>
      <c r="B7" s="583" t="n">
        <f aca="false">B5</f>
        <v>37165</v>
      </c>
      <c r="C7" s="584" t="n">
        <f aca="false">Q22</f>
        <v>2.01808371620802</v>
      </c>
      <c r="E7" s="585" t="s">
        <v>285</v>
      </c>
    </row>
    <row r="8" customFormat="false" ht="54" hidden="false" customHeight="true" outlineLevel="0" collapsed="false">
      <c r="A8" s="267" t="s">
        <v>244</v>
      </c>
      <c r="B8" s="315" t="s">
        <v>132</v>
      </c>
      <c r="C8" s="545" t="s">
        <v>286</v>
      </c>
      <c r="D8" s="546" t="s">
        <v>247</v>
      </c>
      <c r="E8" s="547" t="s">
        <v>248</v>
      </c>
      <c r="F8" s="547" t="s">
        <v>249</v>
      </c>
      <c r="G8" s="547" t="s">
        <v>250</v>
      </c>
      <c r="H8" s="546" t="s">
        <v>247</v>
      </c>
      <c r="I8" s="547" t="s">
        <v>248</v>
      </c>
      <c r="J8" s="547" t="s">
        <v>249</v>
      </c>
      <c r="K8" s="547" t="s">
        <v>250</v>
      </c>
      <c r="L8" s="546" t="s">
        <v>247</v>
      </c>
      <c r="M8" s="547" t="s">
        <v>248</v>
      </c>
      <c r="N8" s="547" t="s">
        <v>249</v>
      </c>
      <c r="O8" s="547" t="s">
        <v>250</v>
      </c>
      <c r="P8" s="547" t="s">
        <v>251</v>
      </c>
      <c r="Q8" s="547" t="s">
        <v>252</v>
      </c>
      <c r="R8" s="547"/>
      <c r="S8" s="547"/>
    </row>
    <row r="9" customFormat="false" ht="12.75" hidden="false" customHeight="false" outlineLevel="0" collapsed="false">
      <c r="A9" s="266" t="s">
        <v>253</v>
      </c>
      <c r="B9" s="317" t="s">
        <v>142</v>
      </c>
      <c r="C9" s="586" t="n">
        <v>1.795</v>
      </c>
      <c r="D9" s="550" t="s">
        <v>254</v>
      </c>
      <c r="E9" s="555" t="n">
        <v>0.0522</v>
      </c>
      <c r="F9" s="562" t="n">
        <v>0.0506</v>
      </c>
      <c r="G9" s="553" t="n">
        <f aca="false">+C9/(1-F9)+E9</f>
        <v>1.94286779018327</v>
      </c>
      <c r="H9" s="550" t="s">
        <v>255</v>
      </c>
      <c r="I9" s="555" t="n">
        <f aca="false">E11</f>
        <v>0.1043</v>
      </c>
      <c r="J9" s="556" t="n">
        <v>0.0228</v>
      </c>
      <c r="K9" s="553" t="n">
        <f aca="false">+G9/(1-J9)+I9</f>
        <v>2.09249872102259</v>
      </c>
      <c r="L9" s="550" t="s">
        <v>256</v>
      </c>
      <c r="M9" s="555" t="n">
        <v>0</v>
      </c>
      <c r="N9" s="556" t="n">
        <v>0.0025</v>
      </c>
      <c r="O9" s="553" t="n">
        <f aca="false">+K9/(1-N9)+M9</f>
        <v>2.09774307871939</v>
      </c>
      <c r="P9" s="557" t="n">
        <f aca="false">Weightings!$C$4</f>
        <v>1071.40153987277</v>
      </c>
      <c r="Q9" s="553" t="n">
        <f aca="false">+P9/SUM($P$9:$P$19)*O9</f>
        <v>0.0282289382616629</v>
      </c>
      <c r="R9" s="553"/>
      <c r="S9" s="558"/>
    </row>
    <row r="10" customFormat="false" ht="12.75" hidden="false" customHeight="false" outlineLevel="0" collapsed="false">
      <c r="A10" s="266" t="s">
        <v>257</v>
      </c>
      <c r="B10" s="317" t="s">
        <v>143</v>
      </c>
      <c r="C10" s="586" t="n">
        <v>1.68</v>
      </c>
      <c r="D10" s="550" t="s">
        <v>258</v>
      </c>
      <c r="E10" s="555" t="n">
        <v>0.0522</v>
      </c>
      <c r="F10" s="562" t="n">
        <v>0.058</v>
      </c>
      <c r="G10" s="553" t="n">
        <f aca="false">+C10/(1-F10)+E10</f>
        <v>1.83563949044586</v>
      </c>
      <c r="H10" s="550" t="s">
        <v>255</v>
      </c>
      <c r="I10" s="555" t="n">
        <f aca="false">E11</f>
        <v>0.1043</v>
      </c>
      <c r="J10" s="556" t="n">
        <v>0.0228</v>
      </c>
      <c r="K10" s="553" t="n">
        <f aca="false">+G10/(1-J10)+I10</f>
        <v>1.9827685739315</v>
      </c>
      <c r="L10" s="550" t="s">
        <v>256</v>
      </c>
      <c r="M10" s="555" t="n">
        <v>0</v>
      </c>
      <c r="N10" s="556" t="n">
        <v>0.0025</v>
      </c>
      <c r="O10" s="553" t="n">
        <f aca="false">+K10/(1-N10)+M10</f>
        <v>1.98773791872832</v>
      </c>
      <c r="P10" s="557" t="n">
        <f aca="false">Weightings!$C$5</f>
        <v>1309.88291792445</v>
      </c>
      <c r="Q10" s="553" t="n">
        <f aca="false">+P10/SUM($P$9:$P$19)*O10</f>
        <v>0.0327025472585411</v>
      </c>
      <c r="R10" s="553"/>
      <c r="S10" s="273"/>
    </row>
    <row r="11" customFormat="false" ht="12.75" hidden="false" customHeight="false" outlineLevel="0" collapsed="false">
      <c r="A11" s="266" t="s">
        <v>259</v>
      </c>
      <c r="B11" s="317" t="s">
        <v>287</v>
      </c>
      <c r="C11" s="586" t="n">
        <v>1.98</v>
      </c>
      <c r="D11" s="550" t="s">
        <v>260</v>
      </c>
      <c r="E11" s="555" t="n">
        <f aca="false">0.0951+0.0022+0.007</f>
        <v>0.1043</v>
      </c>
      <c r="F11" s="562" t="n">
        <v>0.0228</v>
      </c>
      <c r="G11" s="553" t="n">
        <f aca="false">+C11/(1-F11)+E11</f>
        <v>2.1304972984036</v>
      </c>
      <c r="H11" s="550" t="s">
        <v>256</v>
      </c>
      <c r="I11" s="555" t="n">
        <v>0</v>
      </c>
      <c r="J11" s="556" t="n">
        <v>0.0025</v>
      </c>
      <c r="K11" s="553" t="n">
        <f aca="false">+G11/(1-J11)+I11</f>
        <v>2.13583689063018</v>
      </c>
      <c r="L11" s="550"/>
      <c r="M11" s="555" t="n">
        <v>0</v>
      </c>
      <c r="N11" s="556" t="n">
        <v>0</v>
      </c>
      <c r="O11" s="553" t="n">
        <f aca="false">+K11/(1-N11)+M11</f>
        <v>2.13583689063018</v>
      </c>
      <c r="P11" s="557" t="n">
        <f aca="false">Weightings!$C$6</f>
        <v>19813.4520237259</v>
      </c>
      <c r="Q11" s="553" t="n">
        <f aca="false">+P11/SUM($P$9:$P$19)*O11</f>
        <v>0.531518287989438</v>
      </c>
      <c r="R11" s="553"/>
      <c r="S11" s="273"/>
    </row>
    <row r="12" customFormat="false" ht="12.75" hidden="false" customHeight="false" outlineLevel="0" collapsed="false">
      <c r="A12" s="266" t="s">
        <v>261</v>
      </c>
      <c r="B12" s="317" t="s">
        <v>288</v>
      </c>
      <c r="C12" s="586" t="n">
        <v>2.035</v>
      </c>
      <c r="D12" s="550" t="s">
        <v>262</v>
      </c>
      <c r="E12" s="555" t="n">
        <f aca="false">0.0951+0.0022+0.007</f>
        <v>0.1043</v>
      </c>
      <c r="F12" s="562" t="n">
        <v>0.0228</v>
      </c>
      <c r="G12" s="553" t="n">
        <f aca="false">+C12/(1-F12)+E12</f>
        <v>2.18678055669259</v>
      </c>
      <c r="H12" s="550" t="s">
        <v>256</v>
      </c>
      <c r="I12" s="555" t="n">
        <v>0</v>
      </c>
      <c r="J12" s="556" t="n">
        <v>0.0025</v>
      </c>
      <c r="K12" s="553" t="n">
        <f aca="false">+G12/(1-J12)+I12</f>
        <v>2.19226120971688</v>
      </c>
      <c r="L12" s="550"/>
      <c r="M12" s="555" t="n">
        <v>0</v>
      </c>
      <c r="N12" s="556" t="n">
        <v>0</v>
      </c>
      <c r="O12" s="553" t="n">
        <f aca="false">+K12/(1-N12)+M12</f>
        <v>2.19226120971688</v>
      </c>
      <c r="P12" s="557" t="n">
        <f aca="false">Weightings!$C$7</f>
        <v>669.603363940486</v>
      </c>
      <c r="Q12" s="553" t="n">
        <f aca="false">+P12/SUM($P$9:$P$19)*O12</f>
        <v>0.0184374097314497</v>
      </c>
      <c r="R12" s="553"/>
      <c r="S12" s="558"/>
    </row>
    <row r="13" customFormat="false" ht="12.75" hidden="false" customHeight="false" outlineLevel="0" collapsed="false">
      <c r="A13" s="266" t="s">
        <v>206</v>
      </c>
      <c r="B13" s="317" t="s">
        <v>289</v>
      </c>
      <c r="C13" s="587" t="n">
        <f aca="false">C18</f>
        <v>1.775</v>
      </c>
      <c r="D13" s="550" t="s">
        <v>290</v>
      </c>
      <c r="E13" s="588" t="n">
        <f aca="false">0.0331+0.0022+0.0097</f>
        <v>0.045</v>
      </c>
      <c r="F13" s="589" t="n">
        <v>0.0504</v>
      </c>
      <c r="G13" s="553" t="n">
        <f aca="false">+C13/(1-F13)+E13</f>
        <v>1.91420808761584</v>
      </c>
      <c r="H13" s="550" t="s">
        <v>255</v>
      </c>
      <c r="I13" s="555" t="n">
        <f aca="false">E11</f>
        <v>0.1043</v>
      </c>
      <c r="J13" s="556" t="n">
        <v>0.0228</v>
      </c>
      <c r="K13" s="553" t="n">
        <f aca="false">+G13/(1-J13)+I13</f>
        <v>2.06317033116643</v>
      </c>
      <c r="L13" s="550" t="s">
        <v>256</v>
      </c>
      <c r="M13" s="555" t="n">
        <v>0</v>
      </c>
      <c r="N13" s="556" t="n">
        <v>0.0025</v>
      </c>
      <c r="O13" s="553" t="n">
        <f aca="false">+K13/(1-N13)+M13</f>
        <v>2.06834118412675</v>
      </c>
      <c r="P13" s="557" t="n">
        <f aca="false">Weightings!$C$8</f>
        <v>273.774605247488</v>
      </c>
      <c r="Q13" s="553" t="n">
        <f aca="false">+P13/SUM($P$9:$P$19)*O13</f>
        <v>0.00711222228866968</v>
      </c>
      <c r="R13" s="553"/>
      <c r="S13" s="273"/>
    </row>
    <row r="14" customFormat="false" ht="12.75" hidden="false" customHeight="false" outlineLevel="0" collapsed="false">
      <c r="A14" s="266" t="s">
        <v>207</v>
      </c>
      <c r="B14" s="317" t="s">
        <v>144</v>
      </c>
      <c r="C14" s="587" t="n">
        <f aca="false">C19</f>
        <v>1.865</v>
      </c>
      <c r="D14" s="550" t="s">
        <v>291</v>
      </c>
      <c r="E14" s="588" t="n">
        <f aca="false">0.0305+0.0022+0.0097</f>
        <v>0.0424</v>
      </c>
      <c r="F14" s="589" t="n">
        <v>0.0462</v>
      </c>
      <c r="G14" s="553" t="n">
        <f aca="false">+C14/(1-F14)+E14</f>
        <v>1.99773654854267</v>
      </c>
      <c r="H14" s="550" t="s">
        <v>255</v>
      </c>
      <c r="I14" s="555" t="n">
        <f aca="false">E11</f>
        <v>0.1043</v>
      </c>
      <c r="J14" s="556" t="n">
        <v>0.0228</v>
      </c>
      <c r="K14" s="553" t="n">
        <f aca="false">+G14/(1-J14)+I14</f>
        <v>2.1486476755451</v>
      </c>
      <c r="L14" s="550" t="s">
        <v>256</v>
      </c>
      <c r="M14" s="555" t="n">
        <v>0</v>
      </c>
      <c r="N14" s="556" t="n">
        <v>0.0025</v>
      </c>
      <c r="O14" s="553" t="n">
        <f aca="false">+K14/(1-N14)+M14</f>
        <v>2.1540327574387</v>
      </c>
      <c r="P14" s="557" t="n">
        <f aca="false">Weightings!$C$9</f>
        <v>6.55445647922163</v>
      </c>
      <c r="Q14" s="553" t="n">
        <f aca="false">+P14/SUM($P$9:$P$19)*O14</f>
        <v>0.000177328674785529</v>
      </c>
      <c r="R14" s="553"/>
      <c r="S14" s="273"/>
    </row>
    <row r="15" customFormat="false" ht="12.75" hidden="false" customHeight="false" outlineLevel="0" collapsed="false">
      <c r="A15" s="266" t="s">
        <v>211</v>
      </c>
      <c r="B15" s="317" t="s">
        <v>292</v>
      </c>
      <c r="C15" s="586" t="n">
        <v>1.76</v>
      </c>
      <c r="D15" s="550" t="s">
        <v>269</v>
      </c>
      <c r="E15" s="555" t="n">
        <f aca="false">0.0366+0.0022</f>
        <v>0.0388</v>
      </c>
      <c r="F15" s="562" t="n">
        <v>0.00697</v>
      </c>
      <c r="G15" s="553" t="n">
        <f aca="false">+C15/(1-F15)+E15</f>
        <v>1.81115330251855</v>
      </c>
      <c r="H15" s="550" t="s">
        <v>270</v>
      </c>
      <c r="I15" s="588" t="n">
        <f aca="false">0.017+0.0022</f>
        <v>0.0192</v>
      </c>
      <c r="J15" s="589" t="n">
        <v>0.02902</v>
      </c>
      <c r="K15" s="553" t="n">
        <f aca="false">+G15/(1-J15)+I15</f>
        <v>1.88448383954207</v>
      </c>
      <c r="L15" s="561" t="s">
        <v>271</v>
      </c>
      <c r="M15" s="555" t="n">
        <f aca="false">E16</f>
        <v>0.0226</v>
      </c>
      <c r="N15" s="562" t="n">
        <f aca="false">F16</f>
        <v>0.02776</v>
      </c>
      <c r="O15" s="563" t="n">
        <f aca="false">+K15/(1-N15)+M15</f>
        <v>1.96089079192593</v>
      </c>
      <c r="P15" s="557" t="n">
        <f aca="false">Weightings!$C$13</f>
        <v>31370.607479626</v>
      </c>
      <c r="Q15" s="553" t="n">
        <f aca="false">+P15/SUM($P$9:$P$19)*O15</f>
        <v>0.7726206593052</v>
      </c>
      <c r="R15" s="563"/>
      <c r="S15" s="273"/>
    </row>
    <row r="16" customFormat="false" ht="12.75" hidden="false" customHeight="false" outlineLevel="0" collapsed="false">
      <c r="A16" s="266" t="s">
        <v>212</v>
      </c>
      <c r="B16" s="317" t="s">
        <v>293</v>
      </c>
      <c r="C16" s="586" t="n">
        <v>2.025</v>
      </c>
      <c r="D16" s="550" t="s">
        <v>272</v>
      </c>
      <c r="E16" s="555" t="n">
        <f aca="false">0.0134+0.0022+0.007</f>
        <v>0.0226</v>
      </c>
      <c r="F16" s="562" t="n">
        <v>0.02776</v>
      </c>
      <c r="G16" s="553" t="n">
        <f aca="false">+C16/(1-F16)+E16</f>
        <v>2.10541905702296</v>
      </c>
      <c r="H16" s="550"/>
      <c r="I16" s="555" t="n">
        <v>0</v>
      </c>
      <c r="J16" s="556" t="n">
        <v>0</v>
      </c>
      <c r="K16" s="553" t="n">
        <f aca="false">+G16/(1-J16)+I16</f>
        <v>2.10541905702296</v>
      </c>
      <c r="L16" s="561"/>
      <c r="M16" s="555" t="n">
        <v>0</v>
      </c>
      <c r="N16" s="556" t="n">
        <v>0</v>
      </c>
      <c r="O16" s="553" t="n">
        <f aca="false">+K16/(1-N16)+M16</f>
        <v>2.10541905702296</v>
      </c>
      <c r="P16" s="557" t="n">
        <f aca="false">Weightings!$C$14</f>
        <v>5614.32270168218</v>
      </c>
      <c r="Q16" s="553" t="n">
        <f aca="false">+P16/SUM($P$9:$P$19)*O16</f>
        <v>0.148465621939774</v>
      </c>
      <c r="R16" s="553"/>
      <c r="S16" s="564"/>
    </row>
    <row r="17" customFormat="false" ht="12.75" hidden="false" customHeight="false" outlineLevel="0" collapsed="false">
      <c r="A17" s="266" t="s">
        <v>213</v>
      </c>
      <c r="B17" s="317" t="s">
        <v>294</v>
      </c>
      <c r="C17" s="586" t="n">
        <v>1.745</v>
      </c>
      <c r="D17" s="550" t="s">
        <v>295</v>
      </c>
      <c r="E17" s="588" t="n">
        <f aca="false">0.0299+0.0022+0.0097</f>
        <v>0.0418</v>
      </c>
      <c r="F17" s="589" t="n">
        <v>0.0458</v>
      </c>
      <c r="G17" s="553" t="n">
        <f aca="false">+C17/(1-F17)+E17</f>
        <v>1.87055707398868</v>
      </c>
      <c r="H17" s="550" t="s">
        <v>274</v>
      </c>
      <c r="I17" s="555" t="n">
        <v>0</v>
      </c>
      <c r="J17" s="556" t="n">
        <v>0.01</v>
      </c>
      <c r="K17" s="553" t="n">
        <f aca="false">+G17/(1-J17)+I17</f>
        <v>1.88945158988756</v>
      </c>
      <c r="L17" s="561"/>
      <c r="M17" s="555" t="n">
        <v>0</v>
      </c>
      <c r="N17" s="556" t="n">
        <v>0</v>
      </c>
      <c r="O17" s="553" t="n">
        <f aca="false">+K17/(1-N17)+M17</f>
        <v>1.88945158988756</v>
      </c>
      <c r="P17" s="557" t="n">
        <f aca="false">Weightings!$C$15</f>
        <v>3366</v>
      </c>
      <c r="Q17" s="553" t="n">
        <f aca="false">+P17/SUM($P$9:$P$19)*O17</f>
        <v>0.0798803320844828</v>
      </c>
      <c r="R17" s="553"/>
      <c r="S17" s="273"/>
    </row>
    <row r="18" customFormat="false" ht="12.75" hidden="false" customHeight="false" outlineLevel="0" collapsed="false">
      <c r="A18" s="266" t="s">
        <v>214</v>
      </c>
      <c r="B18" s="317" t="s">
        <v>289</v>
      </c>
      <c r="C18" s="586" t="n">
        <v>1.775</v>
      </c>
      <c r="D18" s="550" t="s">
        <v>296</v>
      </c>
      <c r="E18" s="588" t="n">
        <f aca="false">0.0277+0.0022+0.0097</f>
        <v>0.0396</v>
      </c>
      <c r="F18" s="589" t="n">
        <v>0.0423</v>
      </c>
      <c r="G18" s="553" t="n">
        <f aca="false">+C18/(1-F18)+E18</f>
        <v>1.89299876788138</v>
      </c>
      <c r="H18" s="550" t="s">
        <v>274</v>
      </c>
      <c r="I18" s="555" t="n">
        <v>0</v>
      </c>
      <c r="J18" s="556" t="n">
        <v>0.01</v>
      </c>
      <c r="K18" s="553" t="n">
        <f aca="false">+G18/(1-J18)+I18</f>
        <v>1.91211996755695</v>
      </c>
      <c r="M18" s="555" t="n">
        <v>0</v>
      </c>
      <c r="N18" s="556" t="n">
        <v>0</v>
      </c>
      <c r="O18" s="553" t="n">
        <f aca="false">+K18/(1-N18)+M18</f>
        <v>1.91211996755695</v>
      </c>
      <c r="P18" s="557" t="n">
        <f aca="false">Weightings!$C$16</f>
        <v>4950</v>
      </c>
      <c r="Q18" s="553" t="n">
        <f aca="false">+P18/SUM($P$9:$P$19)*O18</f>
        <v>0.118880416079223</v>
      </c>
      <c r="R18" s="553"/>
      <c r="S18" s="273"/>
    </row>
    <row r="19" customFormat="false" ht="12.75" hidden="false" customHeight="false" outlineLevel="0" collapsed="false">
      <c r="A19" s="266" t="s">
        <v>215</v>
      </c>
      <c r="B19" s="317" t="s">
        <v>144</v>
      </c>
      <c r="C19" s="586" t="n">
        <v>1.865</v>
      </c>
      <c r="D19" s="550" t="s">
        <v>297</v>
      </c>
      <c r="E19" s="588" t="n">
        <f aca="false">0.0251+0.0022+0.0097</f>
        <v>0.037</v>
      </c>
      <c r="F19" s="589" t="n">
        <v>0.0381</v>
      </c>
      <c r="G19" s="553" t="n">
        <f aca="false">+C19/(1-F19)+E19</f>
        <v>1.97587098450982</v>
      </c>
      <c r="H19" s="550" t="s">
        <v>274</v>
      </c>
      <c r="I19" s="555" t="n">
        <v>0</v>
      </c>
      <c r="J19" s="556" t="n">
        <v>0.01</v>
      </c>
      <c r="K19" s="553" t="n">
        <f aca="false">+G19/(1-J19)+I19</f>
        <v>1.99582927728265</v>
      </c>
      <c r="M19" s="555" t="n">
        <v>0</v>
      </c>
      <c r="N19" s="556" t="n">
        <v>0</v>
      </c>
      <c r="O19" s="553" t="n">
        <f aca="false">+K19/(1-N19)+M19</f>
        <v>1.99582927728265</v>
      </c>
      <c r="P19" s="557" t="n">
        <f aca="false">Weightings!$C$17</f>
        <v>11172.1727158949</v>
      </c>
      <c r="Q19" s="553" t="n">
        <f aca="false">+P19/SUM($P$9:$P$19)*O19</f>
        <v>0.280059952594792</v>
      </c>
      <c r="R19" s="553"/>
      <c r="S19" s="273"/>
    </row>
    <row r="20" customFormat="false" ht="12.75" hidden="false" customHeight="false" outlineLevel="0" collapsed="false">
      <c r="O20" s="403"/>
      <c r="P20" s="385"/>
      <c r="Q20" s="403"/>
      <c r="R20" s="403"/>
      <c r="S20" s="565"/>
    </row>
    <row r="21" customFormat="false" ht="13.5" hidden="false" customHeight="false" outlineLevel="0" collapsed="false">
      <c r="O21" s="566"/>
      <c r="P21" s="567"/>
      <c r="Q21" s="566"/>
      <c r="R21" s="566"/>
    </row>
    <row r="22" customFormat="false" ht="13.5" hidden="false" customHeight="false" outlineLevel="0" collapsed="false">
      <c r="O22" s="568" t="s">
        <v>277</v>
      </c>
      <c r="P22" s="569"/>
      <c r="Q22" s="570" t="n">
        <f aca="false">SUM(Q9:Q19)</f>
        <v>2.01808371620802</v>
      </c>
      <c r="R22" s="590" t="n">
        <f aca="false">B7</f>
        <v>37165</v>
      </c>
    </row>
    <row r="23" customFormat="false" ht="12.75" hidden="false" customHeight="false" outlineLevel="0" collapsed="false">
      <c r="O23" s="403"/>
      <c r="P23" s="403"/>
      <c r="Q23" s="403"/>
      <c r="R23" s="403"/>
      <c r="S23" s="403"/>
    </row>
    <row r="24" customFormat="false" ht="12.75" hidden="false" customHeight="false" outlineLevel="0" collapsed="false">
      <c r="D24" s="550"/>
      <c r="H24" s="553"/>
      <c r="O24" s="566" t="s">
        <v>298</v>
      </c>
      <c r="P24" s="571" t="n">
        <f aca="false">Weightings!C23</f>
        <v>110554</v>
      </c>
      <c r="Q24" s="403" t="s">
        <v>279</v>
      </c>
      <c r="R24" s="572" t="s">
        <v>280</v>
      </c>
      <c r="S24" s="403"/>
    </row>
    <row r="25" customFormat="false" ht="13.5" hidden="false" customHeight="false" outlineLevel="0" collapsed="false">
      <c r="A25" s="591"/>
      <c r="B25" s="592"/>
      <c r="C25" s="591"/>
      <c r="D25" s="593"/>
      <c r="E25" s="591"/>
      <c r="F25" s="591"/>
      <c r="G25" s="591"/>
      <c r="H25" s="594"/>
      <c r="I25" s="591"/>
      <c r="J25" s="591"/>
      <c r="K25" s="591"/>
      <c r="L25" s="591"/>
      <c r="M25" s="591"/>
      <c r="N25" s="591"/>
      <c r="O25" s="591"/>
      <c r="P25" s="595"/>
      <c r="Q25" s="591"/>
      <c r="R25" s="591"/>
      <c r="S25" s="591"/>
    </row>
    <row r="26" customFormat="false" ht="14.25" hidden="false" customHeight="false" outlineLevel="0" collapsed="false">
      <c r="A26" s="267"/>
      <c r="B26" s="544"/>
      <c r="D26" s="269" t="s">
        <v>241</v>
      </c>
      <c r="H26" s="269" t="s">
        <v>242</v>
      </c>
      <c r="L26" s="269" t="s">
        <v>243</v>
      </c>
    </row>
    <row r="27" customFormat="false" ht="14.25" hidden="false" customHeight="false" outlineLevel="0" collapsed="false">
      <c r="A27" s="582" t="s">
        <v>284</v>
      </c>
      <c r="B27" s="583" t="n">
        <f aca="false">B7+1</f>
        <v>37166</v>
      </c>
      <c r="C27" s="584" t="n">
        <f aca="false">Q42</f>
        <v>1.96229857766043</v>
      </c>
      <c r="E27" s="585"/>
    </row>
    <row r="28" customFormat="false" ht="54" hidden="false" customHeight="true" outlineLevel="0" collapsed="false">
      <c r="A28" s="267" t="s">
        <v>244</v>
      </c>
      <c r="B28" s="315" t="s">
        <v>132</v>
      </c>
      <c r="C28" s="545" t="s">
        <v>286</v>
      </c>
      <c r="D28" s="546" t="s">
        <v>247</v>
      </c>
      <c r="E28" s="547" t="s">
        <v>248</v>
      </c>
      <c r="F28" s="547" t="s">
        <v>249</v>
      </c>
      <c r="G28" s="547" t="s">
        <v>250</v>
      </c>
      <c r="H28" s="546" t="s">
        <v>247</v>
      </c>
      <c r="I28" s="547" t="s">
        <v>248</v>
      </c>
      <c r="J28" s="547" t="s">
        <v>249</v>
      </c>
      <c r="K28" s="547" t="s">
        <v>250</v>
      </c>
      <c r="L28" s="546" t="s">
        <v>247</v>
      </c>
      <c r="M28" s="547" t="s">
        <v>248</v>
      </c>
      <c r="N28" s="547" t="s">
        <v>249</v>
      </c>
      <c r="O28" s="547" t="s">
        <v>250</v>
      </c>
      <c r="P28" s="547" t="s">
        <v>251</v>
      </c>
      <c r="Q28" s="547" t="s">
        <v>252</v>
      </c>
      <c r="R28" s="547"/>
      <c r="S28" s="547"/>
    </row>
    <row r="29" customFormat="false" ht="12.75" hidden="false" customHeight="false" outlineLevel="0" collapsed="false">
      <c r="A29" s="266" t="s">
        <v>253</v>
      </c>
      <c r="B29" s="317" t="s">
        <v>142</v>
      </c>
      <c r="C29" s="586" t="n">
        <v>1.725</v>
      </c>
      <c r="D29" s="550" t="s">
        <v>254</v>
      </c>
      <c r="E29" s="555" t="n">
        <v>0.0522</v>
      </c>
      <c r="F29" s="562" t="n">
        <v>0.0506</v>
      </c>
      <c r="G29" s="553" t="n">
        <f aca="false">+C29/(1-F29)+E29</f>
        <v>1.86913701285022</v>
      </c>
      <c r="H29" s="550" t="s">
        <v>255</v>
      </c>
      <c r="I29" s="555" t="n">
        <f aca="false">E31</f>
        <v>0.1043</v>
      </c>
      <c r="J29" s="556" t="n">
        <v>0.0228</v>
      </c>
      <c r="K29" s="553" t="n">
        <f aca="false">+G29/(1-J29)+I29</f>
        <v>2.01704765948651</v>
      </c>
      <c r="L29" s="550" t="s">
        <v>256</v>
      </c>
      <c r="M29" s="555" t="n">
        <v>0</v>
      </c>
      <c r="N29" s="556" t="n">
        <v>0.0025</v>
      </c>
      <c r="O29" s="553" t="n">
        <f aca="false">+K29/(1-N29)+M29</f>
        <v>2.02210291677846</v>
      </c>
      <c r="P29" s="557" t="n">
        <f aca="false">Weightings!$C$4</f>
        <v>1071.40153987277</v>
      </c>
      <c r="Q29" s="553" t="n">
        <f aca="false">+P29/SUM($P$9:$P$19)*O29</f>
        <v>0.027211062677568</v>
      </c>
      <c r="R29" s="553"/>
      <c r="S29" s="558"/>
    </row>
    <row r="30" customFormat="false" ht="12.75" hidden="false" customHeight="false" outlineLevel="0" collapsed="false">
      <c r="A30" s="266" t="s">
        <v>257</v>
      </c>
      <c r="B30" s="317" t="s">
        <v>143</v>
      </c>
      <c r="C30" s="586" t="n">
        <v>1.65</v>
      </c>
      <c r="D30" s="550" t="s">
        <v>258</v>
      </c>
      <c r="E30" s="555" t="n">
        <v>0.0522</v>
      </c>
      <c r="F30" s="562" t="n">
        <v>0.058</v>
      </c>
      <c r="G30" s="553" t="n">
        <f aca="false">+C30/(1-F30)+E30</f>
        <v>1.8037923566879</v>
      </c>
      <c r="H30" s="550" t="s">
        <v>255</v>
      </c>
      <c r="I30" s="555" t="n">
        <f aca="false">E31</f>
        <v>0.1043</v>
      </c>
      <c r="J30" s="556" t="n">
        <v>0.0228</v>
      </c>
      <c r="K30" s="553" t="n">
        <f aca="false">+G30/(1-J30)+I30</f>
        <v>1.95017838383944</v>
      </c>
      <c r="L30" s="550" t="s">
        <v>256</v>
      </c>
      <c r="M30" s="555" t="n">
        <v>0</v>
      </c>
      <c r="N30" s="556" t="n">
        <v>0.0025</v>
      </c>
      <c r="O30" s="553" t="n">
        <f aca="false">+K30/(1-N30)+M30</f>
        <v>1.95506604896184</v>
      </c>
      <c r="P30" s="557" t="n">
        <f aca="false">Weightings!$C$5</f>
        <v>1309.88291792445</v>
      </c>
      <c r="Q30" s="553" t="n">
        <f aca="false">+P30/SUM($P$9:$P$19)*O30</f>
        <v>0.0321650250052318</v>
      </c>
      <c r="R30" s="553"/>
      <c r="S30" s="273"/>
    </row>
    <row r="31" customFormat="false" ht="12.75" hidden="false" customHeight="false" outlineLevel="0" collapsed="false">
      <c r="A31" s="266" t="s">
        <v>259</v>
      </c>
      <c r="B31" s="317" t="s">
        <v>287</v>
      </c>
      <c r="C31" s="586" t="n">
        <v>1.93</v>
      </c>
      <c r="D31" s="550" t="s">
        <v>260</v>
      </c>
      <c r="E31" s="555" t="n">
        <f aca="false">0.0951+0.0022+0.007</f>
        <v>0.1043</v>
      </c>
      <c r="F31" s="562" t="n">
        <v>0.0228</v>
      </c>
      <c r="G31" s="553" t="n">
        <f aca="false">+C31/(1-F31)+E31</f>
        <v>2.07933069995907</v>
      </c>
      <c r="H31" s="550" t="s">
        <v>256</v>
      </c>
      <c r="I31" s="555" t="n">
        <v>0</v>
      </c>
      <c r="J31" s="556" t="n">
        <v>0.0025</v>
      </c>
      <c r="K31" s="553" t="n">
        <f aca="false">+G31/(1-J31)+I31</f>
        <v>2.08454205509681</v>
      </c>
      <c r="L31" s="550"/>
      <c r="M31" s="555" t="n">
        <v>0</v>
      </c>
      <c r="N31" s="556" t="n">
        <v>0</v>
      </c>
      <c r="O31" s="553" t="n">
        <f aca="false">+K31/(1-N31)+M31</f>
        <v>2.08454205509681</v>
      </c>
      <c r="P31" s="557" t="n">
        <f aca="false">Weightings!$C$6</f>
        <v>19813.4520237259</v>
      </c>
      <c r="Q31" s="553" t="n">
        <f aca="false">+P31/SUM($P$9:$P$19)*O31</f>
        <v>0.518753201252243</v>
      </c>
      <c r="R31" s="553"/>
      <c r="S31" s="273"/>
    </row>
    <row r="32" customFormat="false" ht="12.75" hidden="false" customHeight="false" outlineLevel="0" collapsed="false">
      <c r="A32" s="266" t="s">
        <v>261</v>
      </c>
      <c r="B32" s="317" t="s">
        <v>288</v>
      </c>
      <c r="C32" s="586" t="n">
        <v>2.02</v>
      </c>
      <c r="D32" s="550" t="s">
        <v>262</v>
      </c>
      <c r="E32" s="555" t="n">
        <f aca="false">0.0951+0.0022+0.007</f>
        <v>0.1043</v>
      </c>
      <c r="F32" s="562" t="n">
        <v>0.0228</v>
      </c>
      <c r="G32" s="553" t="n">
        <f aca="false">+C32/(1-F32)+E32</f>
        <v>2.17143057715923</v>
      </c>
      <c r="H32" s="550" t="s">
        <v>256</v>
      </c>
      <c r="I32" s="555" t="n">
        <v>0</v>
      </c>
      <c r="J32" s="556" t="n">
        <v>0.0025</v>
      </c>
      <c r="K32" s="553" t="n">
        <f aca="false">+G32/(1-J32)+I32</f>
        <v>2.17687275905687</v>
      </c>
      <c r="L32" s="550"/>
      <c r="M32" s="555" t="n">
        <v>0</v>
      </c>
      <c r="N32" s="556" t="n">
        <v>0</v>
      </c>
      <c r="O32" s="553" t="n">
        <f aca="false">+K32/(1-N32)+M32</f>
        <v>2.17687275905687</v>
      </c>
      <c r="P32" s="557" t="n">
        <f aca="false">Weightings!$C$7</f>
        <v>669.603363940486</v>
      </c>
      <c r="Q32" s="553" t="n">
        <f aca="false">+P32/SUM($P$9:$P$19)*O32</f>
        <v>0.0183079894011107</v>
      </c>
      <c r="R32" s="553"/>
      <c r="S32" s="558"/>
    </row>
    <row r="33" customFormat="false" ht="12.75" hidden="false" customHeight="false" outlineLevel="0" collapsed="false">
      <c r="A33" s="266" t="s">
        <v>206</v>
      </c>
      <c r="B33" s="317" t="s">
        <v>289</v>
      </c>
      <c r="C33" s="587" t="n">
        <f aca="false">C38</f>
        <v>1.705</v>
      </c>
      <c r="D33" s="550" t="s">
        <v>290</v>
      </c>
      <c r="E33" s="588" t="n">
        <f aca="false">0.0331+0.0022+0.0097</f>
        <v>0.045</v>
      </c>
      <c r="F33" s="589" t="n">
        <v>0.0504</v>
      </c>
      <c r="G33" s="553" t="n">
        <f aca="false">+C33/(1-F33)+E33</f>
        <v>1.84049283909014</v>
      </c>
      <c r="H33" s="550" t="s">
        <v>255</v>
      </c>
      <c r="I33" s="555" t="n">
        <f aca="false">E31</f>
        <v>0.1043</v>
      </c>
      <c r="J33" s="556" t="n">
        <v>0.0228</v>
      </c>
      <c r="K33" s="553" t="n">
        <f aca="false">+G33/(1-J33)+I33</f>
        <v>1.98773516075537</v>
      </c>
      <c r="L33" s="550" t="s">
        <v>256</v>
      </c>
      <c r="M33" s="555" t="n">
        <v>0</v>
      </c>
      <c r="N33" s="556" t="n">
        <v>0.0025</v>
      </c>
      <c r="O33" s="553" t="n">
        <f aca="false">+K33/(1-N33)+M33</f>
        <v>1.99271695313821</v>
      </c>
      <c r="P33" s="557" t="n">
        <f aca="false">Weightings!$C$8</f>
        <v>273.774605247488</v>
      </c>
      <c r="Q33" s="553" t="n">
        <f aca="false">+P33/SUM($P$9:$P$19)*O33</f>
        <v>0.00685217991977624</v>
      </c>
      <c r="R33" s="553"/>
      <c r="S33" s="273"/>
    </row>
    <row r="34" customFormat="false" ht="12.75" hidden="false" customHeight="false" outlineLevel="0" collapsed="false">
      <c r="A34" s="266" t="s">
        <v>207</v>
      </c>
      <c r="B34" s="317" t="s">
        <v>144</v>
      </c>
      <c r="C34" s="587" t="n">
        <f aca="false">C39</f>
        <v>1.795</v>
      </c>
      <c r="D34" s="550" t="s">
        <v>291</v>
      </c>
      <c r="E34" s="588" t="n">
        <f aca="false">0.0305+0.0022+0.0097</f>
        <v>0.0424</v>
      </c>
      <c r="F34" s="589" t="n">
        <v>0.0462</v>
      </c>
      <c r="G34" s="553" t="n">
        <f aca="false">+C34/(1-F34)+E34</f>
        <v>1.92434590060809</v>
      </c>
      <c r="H34" s="550" t="s">
        <v>255</v>
      </c>
      <c r="I34" s="555" t="n">
        <f aca="false">E31</f>
        <v>0.1043</v>
      </c>
      <c r="J34" s="556" t="n">
        <v>0.0228</v>
      </c>
      <c r="K34" s="553" t="n">
        <f aca="false">+G34/(1-J34)+I34</f>
        <v>2.07354467929604</v>
      </c>
      <c r="L34" s="550" t="s">
        <v>256</v>
      </c>
      <c r="M34" s="555" t="n">
        <v>0</v>
      </c>
      <c r="N34" s="556" t="n">
        <v>0.0025</v>
      </c>
      <c r="O34" s="553" t="n">
        <f aca="false">+K34/(1-N34)+M34</f>
        <v>2.07874153312887</v>
      </c>
      <c r="P34" s="557" t="n">
        <f aca="false">Weightings!$C$9</f>
        <v>6.55445647922163</v>
      </c>
      <c r="Q34" s="553" t="n">
        <f aca="false">+P34/SUM($P$9:$P$19)*O34</f>
        <v>0.000171130397167078</v>
      </c>
      <c r="R34" s="553"/>
      <c r="S34" s="273"/>
    </row>
    <row r="35" customFormat="false" ht="12.75" hidden="false" customHeight="false" outlineLevel="0" collapsed="false">
      <c r="A35" s="266" t="s">
        <v>211</v>
      </c>
      <c r="B35" s="317" t="s">
        <v>292</v>
      </c>
      <c r="C35" s="586" t="n">
        <v>1.72</v>
      </c>
      <c r="D35" s="550" t="s">
        <v>269</v>
      </c>
      <c r="E35" s="555" t="n">
        <f aca="false">0.0366+0.0022</f>
        <v>0.0388</v>
      </c>
      <c r="F35" s="562" t="n">
        <v>0.00697</v>
      </c>
      <c r="G35" s="553" t="n">
        <f aca="false">+C35/(1-F35)+E35</f>
        <v>1.77087254564313</v>
      </c>
      <c r="H35" s="550" t="s">
        <v>270</v>
      </c>
      <c r="I35" s="588" t="n">
        <f aca="false">0.017+0.0022</f>
        <v>0.0192</v>
      </c>
      <c r="J35" s="589" t="n">
        <v>0.02902</v>
      </c>
      <c r="K35" s="553" t="n">
        <f aca="false">+G35/(1-J35)+I35</f>
        <v>1.84299919838012</v>
      </c>
      <c r="L35" s="561" t="s">
        <v>271</v>
      </c>
      <c r="M35" s="555" t="n">
        <f aca="false">E36</f>
        <v>0.0226</v>
      </c>
      <c r="N35" s="562" t="n">
        <f aca="false">F36</f>
        <v>0.02776</v>
      </c>
      <c r="O35" s="563" t="n">
        <f aca="false">+K35/(1-N35)+M35</f>
        <v>1.91822165553786</v>
      </c>
      <c r="P35" s="557" t="n">
        <f aca="false">Weightings!$C$13</f>
        <v>31370.607479626</v>
      </c>
      <c r="Q35" s="553" t="n">
        <f aca="false">+P35/SUM($P$9:$P$19)*O35</f>
        <v>0.755808373570635</v>
      </c>
      <c r="R35" s="563"/>
      <c r="S35" s="273"/>
    </row>
    <row r="36" customFormat="false" ht="12.75" hidden="false" customHeight="false" outlineLevel="0" collapsed="false">
      <c r="A36" s="266" t="s">
        <v>212</v>
      </c>
      <c r="B36" s="317" t="s">
        <v>293</v>
      </c>
      <c r="C36" s="586" t="n">
        <v>1.93</v>
      </c>
      <c r="D36" s="550" t="s">
        <v>272</v>
      </c>
      <c r="E36" s="555" t="n">
        <f aca="false">0.0134+0.0022+0.007</f>
        <v>0.0226</v>
      </c>
      <c r="F36" s="562" t="n">
        <v>0.02776</v>
      </c>
      <c r="G36" s="553" t="n">
        <f aca="false">+C36/(1-F36)+E36</f>
        <v>2.00770655805151</v>
      </c>
      <c r="H36" s="550"/>
      <c r="I36" s="555" t="n">
        <v>0</v>
      </c>
      <c r="J36" s="556" t="n">
        <v>0</v>
      </c>
      <c r="K36" s="553" t="n">
        <f aca="false">+G36/(1-J36)+I36</f>
        <v>2.00770655805151</v>
      </c>
      <c r="L36" s="561"/>
      <c r="M36" s="555" t="n">
        <v>0</v>
      </c>
      <c r="N36" s="556" t="n">
        <v>0</v>
      </c>
      <c r="O36" s="553" t="n">
        <f aca="false">+K36/(1-N36)+M36</f>
        <v>2.00770655805151</v>
      </c>
      <c r="P36" s="557" t="n">
        <f aca="false">Weightings!$C$14</f>
        <v>5614.32270168218</v>
      </c>
      <c r="Q36" s="553" t="n">
        <f aca="false">+P36/SUM($P$9:$P$19)*O36</f>
        <v>0.141575332387822</v>
      </c>
      <c r="R36" s="553"/>
      <c r="S36" s="564"/>
    </row>
    <row r="37" customFormat="false" ht="12.75" hidden="false" customHeight="false" outlineLevel="0" collapsed="false">
      <c r="A37" s="266" t="s">
        <v>213</v>
      </c>
      <c r="B37" s="317" t="s">
        <v>294</v>
      </c>
      <c r="C37" s="586" t="n">
        <v>1.69</v>
      </c>
      <c r="D37" s="550" t="s">
        <v>295</v>
      </c>
      <c r="E37" s="588" t="n">
        <f aca="false">0.0299+0.0022+0.0097</f>
        <v>0.0418</v>
      </c>
      <c r="F37" s="589" t="n">
        <v>0.0458</v>
      </c>
      <c r="G37" s="553" t="n">
        <f aca="false">+C37/(1-F37)+E37</f>
        <v>1.81291716621253</v>
      </c>
      <c r="H37" s="550" t="s">
        <v>274</v>
      </c>
      <c r="I37" s="555" t="n">
        <v>0</v>
      </c>
      <c r="J37" s="556" t="n">
        <v>0.01</v>
      </c>
      <c r="K37" s="553" t="n">
        <f aca="false">+G37/(1-J37)+I37</f>
        <v>1.83122946082074</v>
      </c>
      <c r="L37" s="561"/>
      <c r="M37" s="555" t="n">
        <v>0</v>
      </c>
      <c r="N37" s="556" t="n">
        <v>0</v>
      </c>
      <c r="O37" s="553" t="n">
        <f aca="false">+K37/(1-N37)+M37</f>
        <v>1.83122946082074</v>
      </c>
      <c r="P37" s="557" t="n">
        <f aca="false">Weightings!$C$15</f>
        <v>3366</v>
      </c>
      <c r="Q37" s="553" t="n">
        <f aca="false">+P37/SUM($P$9:$P$19)*O37</f>
        <v>0.0774188755277686</v>
      </c>
      <c r="R37" s="553"/>
      <c r="S37" s="273"/>
    </row>
    <row r="38" customFormat="false" ht="12.75" hidden="false" customHeight="false" outlineLevel="0" collapsed="false">
      <c r="A38" s="266" t="s">
        <v>214</v>
      </c>
      <c r="B38" s="317" t="s">
        <v>289</v>
      </c>
      <c r="C38" s="586" t="n">
        <v>1.705</v>
      </c>
      <c r="D38" s="550" t="s">
        <v>296</v>
      </c>
      <c r="E38" s="588" t="n">
        <f aca="false">0.0277+0.0022+0.0097</f>
        <v>0.0396</v>
      </c>
      <c r="F38" s="589" t="n">
        <v>0.0423</v>
      </c>
      <c r="G38" s="553" t="n">
        <f aca="false">+C38/(1-F38)+E38</f>
        <v>1.81990698548606</v>
      </c>
      <c r="H38" s="550" t="s">
        <v>274</v>
      </c>
      <c r="I38" s="555" t="n">
        <v>0</v>
      </c>
      <c r="J38" s="556" t="n">
        <v>0.01</v>
      </c>
      <c r="K38" s="553" t="n">
        <f aca="false">+G38/(1-J38)+I38</f>
        <v>1.83828988432935</v>
      </c>
      <c r="M38" s="555" t="n">
        <v>0</v>
      </c>
      <c r="N38" s="556" t="n">
        <v>0</v>
      </c>
      <c r="O38" s="553" t="n">
        <f aca="false">+K38/(1-N38)+M38</f>
        <v>1.83828988432935</v>
      </c>
      <c r="P38" s="557" t="n">
        <f aca="false">Weightings!$C$16</f>
        <v>4950</v>
      </c>
      <c r="Q38" s="553" t="n">
        <f aca="false">+P38/SUM($P$9:$P$19)*O38</f>
        <v>0.114290248536297</v>
      </c>
      <c r="R38" s="553"/>
      <c r="S38" s="273"/>
    </row>
    <row r="39" customFormat="false" ht="12.75" hidden="false" customHeight="false" outlineLevel="0" collapsed="false">
      <c r="A39" s="266" t="s">
        <v>215</v>
      </c>
      <c r="B39" s="317" t="s">
        <v>144</v>
      </c>
      <c r="C39" s="586" t="n">
        <v>1.795</v>
      </c>
      <c r="D39" s="550" t="s">
        <v>297</v>
      </c>
      <c r="E39" s="588" t="n">
        <f aca="false">0.0251+0.0022+0.0097</f>
        <v>0.037</v>
      </c>
      <c r="F39" s="589" t="n">
        <v>0.0381</v>
      </c>
      <c r="G39" s="553" t="n">
        <f aca="false">+C39/(1-F39)+E39</f>
        <v>1.90309834702152</v>
      </c>
      <c r="H39" s="550" t="s">
        <v>274</v>
      </c>
      <c r="I39" s="555" t="n">
        <v>0</v>
      </c>
      <c r="J39" s="556" t="n">
        <v>0.01</v>
      </c>
      <c r="K39" s="553" t="n">
        <f aca="false">+G39/(1-J39)+I39</f>
        <v>1.922321562648</v>
      </c>
      <c r="M39" s="555" t="n">
        <v>0</v>
      </c>
      <c r="N39" s="556" t="n">
        <v>0</v>
      </c>
      <c r="O39" s="553" t="n">
        <f aca="false">+K39/(1-N39)+M39</f>
        <v>1.922321562648</v>
      </c>
      <c r="P39" s="557" t="n">
        <f aca="false">Weightings!$C$17</f>
        <v>11172.1727158949</v>
      </c>
      <c r="Q39" s="553" t="n">
        <f aca="false">+P39/SUM($P$9:$P$19)*O39</f>
        <v>0.269745158984809</v>
      </c>
      <c r="R39" s="553"/>
      <c r="S39" s="273"/>
    </row>
    <row r="40" customFormat="false" ht="12.75" hidden="false" customHeight="false" outlineLevel="0" collapsed="false">
      <c r="O40" s="403"/>
      <c r="P40" s="385"/>
      <c r="Q40" s="403"/>
      <c r="R40" s="403"/>
      <c r="S40" s="565"/>
    </row>
    <row r="41" customFormat="false" ht="13.5" hidden="false" customHeight="false" outlineLevel="0" collapsed="false">
      <c r="O41" s="566"/>
      <c r="P41" s="567"/>
      <c r="Q41" s="566"/>
      <c r="R41" s="566"/>
    </row>
    <row r="42" customFormat="false" ht="13.5" hidden="false" customHeight="false" outlineLevel="0" collapsed="false">
      <c r="O42" s="568" t="s">
        <v>277</v>
      </c>
      <c r="P42" s="569"/>
      <c r="Q42" s="570" t="n">
        <f aca="false">SUM(Q29:Q39)</f>
        <v>1.96229857766043</v>
      </c>
      <c r="R42" s="590" t="n">
        <f aca="false">B27</f>
        <v>37166</v>
      </c>
    </row>
    <row r="43" customFormat="false" ht="12.75" hidden="false" customHeight="false" outlineLevel="0" collapsed="false">
      <c r="O43" s="403"/>
      <c r="P43" s="403"/>
      <c r="Q43" s="403"/>
      <c r="R43" s="403"/>
      <c r="S43" s="403"/>
    </row>
    <row r="44" customFormat="false" ht="12.75" hidden="false" customHeight="false" outlineLevel="0" collapsed="false">
      <c r="D44" s="550"/>
      <c r="H44" s="553"/>
      <c r="O44" s="566" t="s">
        <v>298</v>
      </c>
      <c r="P44" s="571" t="n">
        <f aca="false">Weightings!C43</f>
        <v>0</v>
      </c>
      <c r="Q44" s="403" t="s">
        <v>279</v>
      </c>
      <c r="R44" s="572" t="s">
        <v>280</v>
      </c>
      <c r="S44" s="403"/>
    </row>
    <row r="45" customFormat="false" ht="13.5" hidden="false" customHeight="false" outlineLevel="0" collapsed="false">
      <c r="A45" s="591"/>
      <c r="B45" s="592"/>
      <c r="C45" s="591"/>
      <c r="D45" s="593"/>
      <c r="E45" s="591"/>
      <c r="F45" s="591"/>
      <c r="G45" s="591"/>
      <c r="H45" s="594"/>
      <c r="I45" s="591"/>
      <c r="J45" s="591"/>
      <c r="K45" s="591"/>
      <c r="L45" s="591"/>
      <c r="M45" s="591"/>
      <c r="N45" s="591"/>
      <c r="O45" s="591"/>
      <c r="P45" s="595"/>
      <c r="Q45" s="591"/>
      <c r="R45" s="591"/>
      <c r="S45" s="591"/>
    </row>
    <row r="46" customFormat="false" ht="14.25" hidden="false" customHeight="false" outlineLevel="0" collapsed="false">
      <c r="A46" s="267"/>
      <c r="B46" s="544"/>
      <c r="D46" s="269" t="s">
        <v>241</v>
      </c>
      <c r="H46" s="269" t="s">
        <v>242</v>
      </c>
      <c r="L46" s="269" t="s">
        <v>243</v>
      </c>
    </row>
    <row r="47" customFormat="false" ht="14.25" hidden="false" customHeight="false" outlineLevel="0" collapsed="false">
      <c r="A47" s="582" t="s">
        <v>284</v>
      </c>
      <c r="B47" s="583" t="n">
        <f aca="false">B27+1</f>
        <v>37167</v>
      </c>
      <c r="C47" s="584" t="n">
        <f aca="false">Q62</f>
        <v>2.01502935986379</v>
      </c>
      <c r="E47" s="585"/>
    </row>
    <row r="48" customFormat="false" ht="54" hidden="false" customHeight="true" outlineLevel="0" collapsed="false">
      <c r="A48" s="267" t="s">
        <v>244</v>
      </c>
      <c r="B48" s="315" t="s">
        <v>132</v>
      </c>
      <c r="C48" s="545" t="s">
        <v>286</v>
      </c>
      <c r="D48" s="546" t="s">
        <v>247</v>
      </c>
      <c r="E48" s="547" t="s">
        <v>248</v>
      </c>
      <c r="F48" s="547" t="s">
        <v>249</v>
      </c>
      <c r="G48" s="547" t="s">
        <v>250</v>
      </c>
      <c r="H48" s="546" t="s">
        <v>247</v>
      </c>
      <c r="I48" s="547" t="s">
        <v>248</v>
      </c>
      <c r="J48" s="547" t="s">
        <v>249</v>
      </c>
      <c r="K48" s="547" t="s">
        <v>250</v>
      </c>
      <c r="L48" s="546" t="s">
        <v>247</v>
      </c>
      <c r="M48" s="547" t="s">
        <v>248</v>
      </c>
      <c r="N48" s="547" t="s">
        <v>249</v>
      </c>
      <c r="O48" s="547" t="s">
        <v>250</v>
      </c>
      <c r="P48" s="547" t="s">
        <v>251</v>
      </c>
      <c r="Q48" s="547" t="s">
        <v>252</v>
      </c>
      <c r="R48" s="547"/>
      <c r="S48" s="547"/>
    </row>
    <row r="49" customFormat="false" ht="12.75" hidden="false" customHeight="false" outlineLevel="0" collapsed="false">
      <c r="A49" s="266" t="s">
        <v>253</v>
      </c>
      <c r="B49" s="317" t="s">
        <v>142</v>
      </c>
      <c r="C49" s="586" t="n">
        <v>1.77</v>
      </c>
      <c r="D49" s="550" t="s">
        <v>254</v>
      </c>
      <c r="E49" s="555" t="n">
        <v>0.0522</v>
      </c>
      <c r="F49" s="562" t="n">
        <v>0.0506</v>
      </c>
      <c r="G49" s="553" t="n">
        <f aca="false">+C49/(1-F49)+E49</f>
        <v>1.91653536970718</v>
      </c>
      <c r="H49" s="550" t="s">
        <v>255</v>
      </c>
      <c r="I49" s="555" t="n">
        <f aca="false">E51</f>
        <v>0.1043</v>
      </c>
      <c r="J49" s="556" t="n">
        <v>0.0228</v>
      </c>
      <c r="K49" s="553" t="n">
        <f aca="false">+G49/(1-J49)+I49</f>
        <v>2.06555191333113</v>
      </c>
      <c r="L49" s="550" t="s">
        <v>256</v>
      </c>
      <c r="M49" s="555" t="n">
        <v>0</v>
      </c>
      <c r="N49" s="556" t="n">
        <v>0.0025</v>
      </c>
      <c r="O49" s="553" t="n">
        <f aca="false">+K49/(1-N49)+M49</f>
        <v>2.07072873516906</v>
      </c>
      <c r="P49" s="557" t="n">
        <f aca="false">Weightings!$C$4</f>
        <v>1071.40153987277</v>
      </c>
      <c r="Q49" s="553" t="n">
        <f aca="false">+P49/SUM($P$9:$P$19)*O49</f>
        <v>0.0278654112673433</v>
      </c>
      <c r="R49" s="553"/>
      <c r="S49" s="558"/>
    </row>
    <row r="50" customFormat="false" ht="12.75" hidden="false" customHeight="false" outlineLevel="0" collapsed="false">
      <c r="A50" s="266" t="s">
        <v>257</v>
      </c>
      <c r="B50" s="317" t="s">
        <v>143</v>
      </c>
      <c r="C50" s="586" t="n">
        <v>1.74</v>
      </c>
      <c r="D50" s="550" t="s">
        <v>258</v>
      </c>
      <c r="E50" s="555" t="n">
        <v>0.0522</v>
      </c>
      <c r="F50" s="562" t="n">
        <v>0.058</v>
      </c>
      <c r="G50" s="553" t="n">
        <f aca="false">+C50/(1-F50)+E50</f>
        <v>1.89933375796178</v>
      </c>
      <c r="H50" s="550" t="s">
        <v>255</v>
      </c>
      <c r="I50" s="555" t="n">
        <f aca="false">E51</f>
        <v>0.1043</v>
      </c>
      <c r="J50" s="556" t="n">
        <v>0.0228</v>
      </c>
      <c r="K50" s="553" t="n">
        <f aca="false">+G50/(1-J50)+I50</f>
        <v>2.04794895411562</v>
      </c>
      <c r="L50" s="550" t="s">
        <v>256</v>
      </c>
      <c r="M50" s="555" t="n">
        <v>0</v>
      </c>
      <c r="N50" s="556" t="n">
        <v>0.0025</v>
      </c>
      <c r="O50" s="553" t="n">
        <f aca="false">+K50/(1-N50)+M50</f>
        <v>2.05308165826127</v>
      </c>
      <c r="P50" s="557" t="n">
        <f aca="false">Weightings!$C$5</f>
        <v>1309.88291792445</v>
      </c>
      <c r="Q50" s="553" t="n">
        <f aca="false">+P50/SUM($P$9:$P$19)*O50</f>
        <v>0.0337775917651596</v>
      </c>
      <c r="R50" s="553"/>
      <c r="S50" s="273"/>
    </row>
    <row r="51" customFormat="false" ht="12.75" hidden="false" customHeight="false" outlineLevel="0" collapsed="false">
      <c r="A51" s="266" t="s">
        <v>259</v>
      </c>
      <c r="B51" s="317" t="s">
        <v>287</v>
      </c>
      <c r="C51" s="586" t="n">
        <v>1.98</v>
      </c>
      <c r="D51" s="550" t="s">
        <v>260</v>
      </c>
      <c r="E51" s="555" t="n">
        <f aca="false">0.0951+0.0022+0.007</f>
        <v>0.1043</v>
      </c>
      <c r="F51" s="562" t="n">
        <v>0.0228</v>
      </c>
      <c r="G51" s="553" t="n">
        <f aca="false">+C51/(1-F51)+E51</f>
        <v>2.1304972984036</v>
      </c>
      <c r="H51" s="550" t="s">
        <v>256</v>
      </c>
      <c r="I51" s="555" t="n">
        <v>0</v>
      </c>
      <c r="J51" s="556" t="n">
        <v>0.0025</v>
      </c>
      <c r="K51" s="553" t="n">
        <f aca="false">+G51/(1-J51)+I51</f>
        <v>2.13583689063018</v>
      </c>
      <c r="L51" s="550"/>
      <c r="M51" s="555" t="n">
        <v>0</v>
      </c>
      <c r="N51" s="556" t="n">
        <v>0</v>
      </c>
      <c r="O51" s="553" t="n">
        <f aca="false">+K51/(1-N51)+M51</f>
        <v>2.13583689063018</v>
      </c>
      <c r="P51" s="557" t="n">
        <f aca="false">Weightings!$C$6</f>
        <v>19813.4520237259</v>
      </c>
      <c r="Q51" s="553" t="n">
        <f aca="false">+P51/SUM($P$9:$P$19)*O51</f>
        <v>0.531518287989438</v>
      </c>
      <c r="R51" s="553"/>
      <c r="S51" s="273"/>
    </row>
    <row r="52" customFormat="false" ht="12.75" hidden="false" customHeight="false" outlineLevel="0" collapsed="false">
      <c r="A52" s="266" t="s">
        <v>261</v>
      </c>
      <c r="B52" s="317" t="s">
        <v>288</v>
      </c>
      <c r="C52" s="586" t="n">
        <v>2.03</v>
      </c>
      <c r="D52" s="550" t="s">
        <v>262</v>
      </c>
      <c r="E52" s="555" t="n">
        <f aca="false">0.0951+0.0022+0.007</f>
        <v>0.1043</v>
      </c>
      <c r="F52" s="562" t="n">
        <v>0.0228</v>
      </c>
      <c r="G52" s="553" t="n">
        <f aca="false">+C52/(1-F52)+E52</f>
        <v>2.18166389684814</v>
      </c>
      <c r="H52" s="550" t="s">
        <v>256</v>
      </c>
      <c r="I52" s="555" t="n">
        <v>0</v>
      </c>
      <c r="J52" s="556" t="n">
        <v>0.0025</v>
      </c>
      <c r="K52" s="553" t="n">
        <f aca="false">+G52/(1-J52)+I52</f>
        <v>2.18713172616355</v>
      </c>
      <c r="L52" s="550"/>
      <c r="M52" s="555" t="n">
        <v>0</v>
      </c>
      <c r="N52" s="556" t="n">
        <v>0</v>
      </c>
      <c r="O52" s="553" t="n">
        <f aca="false">+K52/(1-N52)+M52</f>
        <v>2.18713172616355</v>
      </c>
      <c r="P52" s="557" t="n">
        <f aca="false">Weightings!$C$7</f>
        <v>669.603363940486</v>
      </c>
      <c r="Q52" s="553" t="n">
        <f aca="false">+P52/SUM($P$9:$P$19)*O52</f>
        <v>0.0183942696213367</v>
      </c>
      <c r="R52" s="553"/>
      <c r="S52" s="558"/>
    </row>
    <row r="53" customFormat="false" ht="12.75" hidden="false" customHeight="false" outlineLevel="0" collapsed="false">
      <c r="A53" s="266" t="s">
        <v>206</v>
      </c>
      <c r="B53" s="317" t="s">
        <v>289</v>
      </c>
      <c r="C53" s="587" t="n">
        <f aca="false">C58</f>
        <v>1.74</v>
      </c>
      <c r="D53" s="550" t="s">
        <v>290</v>
      </c>
      <c r="E53" s="588" t="n">
        <f aca="false">0.0331+0.0022+0.0097</f>
        <v>0.045</v>
      </c>
      <c r="F53" s="589" t="n">
        <v>0.0504</v>
      </c>
      <c r="G53" s="553" t="n">
        <f aca="false">+C53/(1-F53)+E53</f>
        <v>1.87735046335299</v>
      </c>
      <c r="H53" s="550" t="s">
        <v>255</v>
      </c>
      <c r="I53" s="555" t="n">
        <f aca="false">E51</f>
        <v>0.1043</v>
      </c>
      <c r="J53" s="556" t="n">
        <v>0.0228</v>
      </c>
      <c r="K53" s="553" t="n">
        <f aca="false">+G53/(1-J53)+I53</f>
        <v>2.0254527459609</v>
      </c>
      <c r="L53" s="550" t="s">
        <v>256</v>
      </c>
      <c r="M53" s="555" t="n">
        <v>0</v>
      </c>
      <c r="N53" s="556" t="n">
        <v>0.0025</v>
      </c>
      <c r="O53" s="553" t="n">
        <f aca="false">+K53/(1-N53)+M53</f>
        <v>2.03052906863248</v>
      </c>
      <c r="P53" s="557" t="n">
        <f aca="false">Weightings!$C$8</f>
        <v>273.774605247488</v>
      </c>
      <c r="Q53" s="553" t="n">
        <f aca="false">+P53/SUM($P$9:$P$19)*O53</f>
        <v>0.00698220110422296</v>
      </c>
      <c r="R53" s="553"/>
      <c r="S53" s="273"/>
    </row>
    <row r="54" customFormat="false" ht="12.75" hidden="false" customHeight="false" outlineLevel="0" collapsed="false">
      <c r="A54" s="266" t="s">
        <v>207</v>
      </c>
      <c r="B54" s="317" t="s">
        <v>144</v>
      </c>
      <c r="C54" s="587" t="n">
        <f aca="false">C59</f>
        <v>1.825</v>
      </c>
      <c r="D54" s="550" t="s">
        <v>291</v>
      </c>
      <c r="E54" s="588" t="n">
        <f aca="false">0.0305+0.0022+0.0097</f>
        <v>0.0424</v>
      </c>
      <c r="F54" s="589" t="n">
        <v>0.0462</v>
      </c>
      <c r="G54" s="553" t="n">
        <f aca="false">+C54/(1-F54)+E54</f>
        <v>1.9557990354372</v>
      </c>
      <c r="H54" s="550" t="s">
        <v>255</v>
      </c>
      <c r="I54" s="555" t="n">
        <f aca="false">E51</f>
        <v>0.1043</v>
      </c>
      <c r="J54" s="556" t="n">
        <v>0.0228</v>
      </c>
      <c r="K54" s="553" t="n">
        <f aca="false">+G54/(1-J54)+I54</f>
        <v>2.1057316776885</v>
      </c>
      <c r="L54" s="550" t="s">
        <v>256</v>
      </c>
      <c r="M54" s="555" t="n">
        <v>0</v>
      </c>
      <c r="N54" s="556" t="n">
        <v>0.0025</v>
      </c>
      <c r="O54" s="553" t="n">
        <f aca="false">+K54/(1-N54)+M54</f>
        <v>2.11100920069022</v>
      </c>
      <c r="P54" s="557" t="n">
        <f aca="false">Weightings!$C$9</f>
        <v>6.55445647922163</v>
      </c>
      <c r="Q54" s="553" t="n">
        <f aca="false">+P54/SUM($P$9:$P$19)*O54</f>
        <v>0.0001737868018607</v>
      </c>
      <c r="R54" s="553"/>
      <c r="S54" s="273"/>
    </row>
    <row r="55" customFormat="false" ht="12.75" hidden="false" customHeight="false" outlineLevel="0" collapsed="false">
      <c r="A55" s="266" t="s">
        <v>211</v>
      </c>
      <c r="B55" s="317" t="s">
        <v>292</v>
      </c>
      <c r="C55" s="586" t="n">
        <v>1.79</v>
      </c>
      <c r="D55" s="550" t="s">
        <v>269</v>
      </c>
      <c r="E55" s="555" t="n">
        <f aca="false">0.0366+0.0022</f>
        <v>0.0388</v>
      </c>
      <c r="F55" s="562" t="n">
        <v>0.00697</v>
      </c>
      <c r="G55" s="553" t="n">
        <f aca="false">+C55/(1-F55)+E55</f>
        <v>1.84136387017512</v>
      </c>
      <c r="H55" s="550" t="s">
        <v>270</v>
      </c>
      <c r="I55" s="588" t="n">
        <f aca="false">0.017+0.0022</f>
        <v>0.0192</v>
      </c>
      <c r="J55" s="589" t="n">
        <v>0.02902</v>
      </c>
      <c r="K55" s="553" t="n">
        <f aca="false">+G55/(1-J55)+I55</f>
        <v>1.91559732041352</v>
      </c>
      <c r="L55" s="561" t="s">
        <v>271</v>
      </c>
      <c r="M55" s="555" t="n">
        <f aca="false">E56</f>
        <v>0.0226</v>
      </c>
      <c r="N55" s="562" t="n">
        <f aca="false">F56</f>
        <v>0.02776</v>
      </c>
      <c r="O55" s="563" t="n">
        <f aca="false">+K55/(1-N55)+M55</f>
        <v>1.99289264421698</v>
      </c>
      <c r="P55" s="557" t="n">
        <f aca="false">Weightings!$C$13</f>
        <v>31370.607479626</v>
      </c>
      <c r="Q55" s="553" t="n">
        <f aca="false">+P55/SUM($P$9:$P$19)*O55</f>
        <v>0.785229873606124</v>
      </c>
      <c r="R55" s="563"/>
      <c r="S55" s="273"/>
    </row>
    <row r="56" customFormat="false" ht="12.75" hidden="false" customHeight="false" outlineLevel="0" collapsed="false">
      <c r="A56" s="266" t="s">
        <v>212</v>
      </c>
      <c r="B56" s="317" t="s">
        <v>293</v>
      </c>
      <c r="C56" s="586" t="n">
        <v>1.93</v>
      </c>
      <c r="D56" s="550" t="s">
        <v>272</v>
      </c>
      <c r="E56" s="555" t="n">
        <f aca="false">0.0134+0.0022+0.007</f>
        <v>0.0226</v>
      </c>
      <c r="F56" s="562" t="n">
        <v>0.02776</v>
      </c>
      <c r="G56" s="553" t="n">
        <f aca="false">+C56/(1-F56)+E56</f>
        <v>2.00770655805151</v>
      </c>
      <c r="H56" s="550"/>
      <c r="I56" s="555" t="n">
        <v>0</v>
      </c>
      <c r="J56" s="556" t="n">
        <v>0</v>
      </c>
      <c r="K56" s="553" t="n">
        <f aca="false">+G56/(1-J56)+I56</f>
        <v>2.00770655805151</v>
      </c>
      <c r="L56" s="561"/>
      <c r="M56" s="555" t="n">
        <v>0</v>
      </c>
      <c r="N56" s="556" t="n">
        <v>0</v>
      </c>
      <c r="O56" s="553" t="n">
        <f aca="false">+K56/(1-N56)+M56</f>
        <v>2.00770655805151</v>
      </c>
      <c r="P56" s="557" t="n">
        <f aca="false">Weightings!$C$14</f>
        <v>5614.32270168218</v>
      </c>
      <c r="Q56" s="553" t="n">
        <f aca="false">+P56/SUM($P$9:$P$19)*O56</f>
        <v>0.141575332387822</v>
      </c>
      <c r="R56" s="553"/>
      <c r="S56" s="564"/>
    </row>
    <row r="57" customFormat="false" ht="12.75" hidden="false" customHeight="false" outlineLevel="0" collapsed="false">
      <c r="A57" s="266" t="s">
        <v>213</v>
      </c>
      <c r="B57" s="317" t="s">
        <v>294</v>
      </c>
      <c r="C57" s="586" t="n">
        <v>1.72</v>
      </c>
      <c r="D57" s="550" t="s">
        <v>295</v>
      </c>
      <c r="E57" s="588" t="n">
        <f aca="false">0.0299+0.0022+0.0097</f>
        <v>0.0418</v>
      </c>
      <c r="F57" s="589" t="n">
        <v>0.0458</v>
      </c>
      <c r="G57" s="553" t="n">
        <f aca="false">+C57/(1-F57)+E57</f>
        <v>1.84435711590861</v>
      </c>
      <c r="H57" s="550" t="s">
        <v>274</v>
      </c>
      <c r="I57" s="555" t="n">
        <v>0</v>
      </c>
      <c r="J57" s="556" t="n">
        <v>0.01</v>
      </c>
      <c r="K57" s="553" t="n">
        <f aca="false">+G57/(1-J57)+I57</f>
        <v>1.86298698576628</v>
      </c>
      <c r="L57" s="561"/>
      <c r="M57" s="555" t="n">
        <v>0</v>
      </c>
      <c r="N57" s="556" t="n">
        <v>0</v>
      </c>
      <c r="O57" s="553" t="n">
        <f aca="false">+K57/(1-N57)+M57</f>
        <v>1.86298698576628</v>
      </c>
      <c r="P57" s="557" t="n">
        <f aca="false">Weightings!$C$15</f>
        <v>3366</v>
      </c>
      <c r="Q57" s="553" t="n">
        <f aca="false">+P57/SUM($P$9:$P$19)*O57</f>
        <v>0.0787614881950672</v>
      </c>
      <c r="R57" s="553"/>
      <c r="S57" s="273"/>
    </row>
    <row r="58" customFormat="false" ht="12.75" hidden="false" customHeight="false" outlineLevel="0" collapsed="false">
      <c r="A58" s="266" t="s">
        <v>214</v>
      </c>
      <c r="B58" s="317" t="s">
        <v>289</v>
      </c>
      <c r="C58" s="586" t="n">
        <v>1.74</v>
      </c>
      <c r="D58" s="550" t="s">
        <v>296</v>
      </c>
      <c r="E58" s="588" t="n">
        <f aca="false">0.0277+0.0022+0.0097</f>
        <v>0.0396</v>
      </c>
      <c r="F58" s="589" t="n">
        <v>0.0423</v>
      </c>
      <c r="G58" s="553" t="n">
        <f aca="false">+C58/(1-F58)+E58</f>
        <v>1.85645287668372</v>
      </c>
      <c r="H58" s="550" t="s">
        <v>274</v>
      </c>
      <c r="I58" s="555" t="n">
        <v>0</v>
      </c>
      <c r="J58" s="556" t="n">
        <v>0.01</v>
      </c>
      <c r="K58" s="553" t="n">
        <f aca="false">+G58/(1-J58)+I58</f>
        <v>1.87520492594315</v>
      </c>
      <c r="M58" s="555" t="n">
        <v>0</v>
      </c>
      <c r="N58" s="556" t="n">
        <v>0</v>
      </c>
      <c r="O58" s="553" t="n">
        <f aca="false">+K58/(1-N58)+M58</f>
        <v>1.87520492594315</v>
      </c>
      <c r="P58" s="557" t="n">
        <f aca="false">Weightings!$C$16</f>
        <v>4950</v>
      </c>
      <c r="Q58" s="553" t="n">
        <f aca="false">+P58/SUM($P$9:$P$19)*O58</f>
        <v>0.11658533230776</v>
      </c>
      <c r="R58" s="553"/>
      <c r="S58" s="273"/>
    </row>
    <row r="59" customFormat="false" ht="12.75" hidden="false" customHeight="false" outlineLevel="0" collapsed="false">
      <c r="A59" s="266" t="s">
        <v>215</v>
      </c>
      <c r="B59" s="317" t="s">
        <v>144</v>
      </c>
      <c r="C59" s="586" t="n">
        <v>1.825</v>
      </c>
      <c r="D59" s="550" t="s">
        <v>297</v>
      </c>
      <c r="E59" s="588" t="n">
        <f aca="false">0.0251+0.0022+0.0097</f>
        <v>0.037</v>
      </c>
      <c r="F59" s="589" t="n">
        <v>0.0381</v>
      </c>
      <c r="G59" s="553" t="n">
        <f aca="false">+C59/(1-F59)+E59</f>
        <v>1.93428662023079</v>
      </c>
      <c r="H59" s="550" t="s">
        <v>274</v>
      </c>
      <c r="I59" s="555" t="n">
        <v>0</v>
      </c>
      <c r="J59" s="556" t="n">
        <v>0.01</v>
      </c>
      <c r="K59" s="553" t="n">
        <f aca="false">+G59/(1-J59)+I59</f>
        <v>1.95382486891999</v>
      </c>
      <c r="M59" s="555" t="n">
        <v>0</v>
      </c>
      <c r="N59" s="556" t="n">
        <v>0</v>
      </c>
      <c r="O59" s="553" t="n">
        <f aca="false">+K59/(1-N59)+M59</f>
        <v>1.95382486891999</v>
      </c>
      <c r="P59" s="557" t="n">
        <f aca="false">Weightings!$C$17</f>
        <v>11172.1727158949</v>
      </c>
      <c r="Q59" s="553" t="n">
        <f aca="false">+P59/SUM($P$9:$P$19)*O59</f>
        <v>0.274165784817659</v>
      </c>
      <c r="R59" s="553"/>
      <c r="S59" s="273"/>
    </row>
    <row r="60" customFormat="false" ht="12.75" hidden="false" customHeight="false" outlineLevel="0" collapsed="false">
      <c r="O60" s="403"/>
      <c r="P60" s="385"/>
      <c r="Q60" s="403"/>
      <c r="R60" s="403"/>
      <c r="S60" s="565"/>
    </row>
    <row r="61" customFormat="false" ht="13.5" hidden="false" customHeight="false" outlineLevel="0" collapsed="false">
      <c r="O61" s="566"/>
      <c r="P61" s="567"/>
      <c r="Q61" s="566"/>
      <c r="R61" s="566"/>
    </row>
    <row r="62" customFormat="false" ht="13.5" hidden="false" customHeight="false" outlineLevel="0" collapsed="false">
      <c r="O62" s="568" t="s">
        <v>277</v>
      </c>
      <c r="P62" s="569"/>
      <c r="Q62" s="570" t="n">
        <f aca="false">SUM(Q49:Q59)</f>
        <v>2.01502935986379</v>
      </c>
      <c r="R62" s="590" t="n">
        <f aca="false">B47</f>
        <v>37167</v>
      </c>
    </row>
    <row r="63" customFormat="false" ht="12.75" hidden="false" customHeight="false" outlineLevel="0" collapsed="false">
      <c r="O63" s="403"/>
      <c r="P63" s="403"/>
      <c r="Q63" s="403"/>
      <c r="R63" s="403"/>
      <c r="S63" s="403"/>
    </row>
    <row r="64" customFormat="false" ht="12.75" hidden="false" customHeight="false" outlineLevel="0" collapsed="false">
      <c r="D64" s="550"/>
      <c r="H64" s="553"/>
      <c r="O64" s="566" t="s">
        <v>298</v>
      </c>
      <c r="P64" s="571" t="n">
        <f aca="false">Weightings!C63</f>
        <v>0</v>
      </c>
      <c r="Q64" s="403" t="s">
        <v>279</v>
      </c>
      <c r="R64" s="572" t="s">
        <v>280</v>
      </c>
      <c r="S64" s="403"/>
    </row>
    <row r="65" customFormat="false" ht="13.5" hidden="false" customHeight="false" outlineLevel="0" collapsed="false">
      <c r="A65" s="591"/>
      <c r="B65" s="592"/>
      <c r="C65" s="591"/>
      <c r="D65" s="593"/>
      <c r="E65" s="591"/>
      <c r="F65" s="591"/>
      <c r="G65" s="591"/>
      <c r="H65" s="594"/>
      <c r="I65" s="591"/>
      <c r="J65" s="591"/>
      <c r="K65" s="591"/>
      <c r="L65" s="591"/>
      <c r="M65" s="591"/>
      <c r="N65" s="591"/>
      <c r="O65" s="591"/>
      <c r="P65" s="595"/>
      <c r="Q65" s="591"/>
      <c r="R65" s="591"/>
      <c r="S65" s="591"/>
    </row>
    <row r="66" customFormat="false" ht="14.25" hidden="false" customHeight="false" outlineLevel="0" collapsed="false">
      <c r="A66" s="267"/>
      <c r="B66" s="544"/>
      <c r="D66" s="269" t="s">
        <v>241</v>
      </c>
      <c r="H66" s="269" t="s">
        <v>242</v>
      </c>
      <c r="L66" s="269" t="s">
        <v>243</v>
      </c>
    </row>
    <row r="67" customFormat="false" ht="14.25" hidden="false" customHeight="false" outlineLevel="0" collapsed="false">
      <c r="A67" s="582" t="s">
        <v>284</v>
      </c>
      <c r="B67" s="583" t="n">
        <f aca="false">B47+1</f>
        <v>37168</v>
      </c>
      <c r="C67" s="584" t="n">
        <f aca="false">Q82</f>
        <v>2.20332680407923</v>
      </c>
      <c r="E67" s="585"/>
    </row>
    <row r="68" customFormat="false" ht="54" hidden="false" customHeight="true" outlineLevel="0" collapsed="false">
      <c r="A68" s="267" t="s">
        <v>244</v>
      </c>
      <c r="B68" s="315" t="s">
        <v>132</v>
      </c>
      <c r="C68" s="545" t="s">
        <v>286</v>
      </c>
      <c r="D68" s="546" t="s">
        <v>247</v>
      </c>
      <c r="E68" s="547" t="s">
        <v>248</v>
      </c>
      <c r="F68" s="547" t="s">
        <v>249</v>
      </c>
      <c r="G68" s="547" t="s">
        <v>250</v>
      </c>
      <c r="H68" s="546" t="s">
        <v>247</v>
      </c>
      <c r="I68" s="547" t="s">
        <v>248</v>
      </c>
      <c r="J68" s="547" t="s">
        <v>249</v>
      </c>
      <c r="K68" s="547" t="s">
        <v>250</v>
      </c>
      <c r="L68" s="546" t="s">
        <v>247</v>
      </c>
      <c r="M68" s="547" t="s">
        <v>248</v>
      </c>
      <c r="N68" s="547" t="s">
        <v>249</v>
      </c>
      <c r="O68" s="547" t="s">
        <v>250</v>
      </c>
      <c r="P68" s="547" t="s">
        <v>251</v>
      </c>
      <c r="Q68" s="547" t="s">
        <v>252</v>
      </c>
      <c r="R68" s="547"/>
      <c r="S68" s="547"/>
    </row>
    <row r="69" customFormat="false" ht="12.75" hidden="false" customHeight="false" outlineLevel="0" collapsed="false">
      <c r="A69" s="266" t="s">
        <v>253</v>
      </c>
      <c r="B69" s="317" t="s">
        <v>142</v>
      </c>
      <c r="C69" s="586" t="n">
        <v>1.95</v>
      </c>
      <c r="D69" s="550" t="s">
        <v>254</v>
      </c>
      <c r="E69" s="555" t="n">
        <v>0.0522</v>
      </c>
      <c r="F69" s="562" t="n">
        <v>0.0506</v>
      </c>
      <c r="G69" s="553" t="n">
        <f aca="false">+C69/(1-F69)+E69</f>
        <v>2.10612879713503</v>
      </c>
      <c r="H69" s="550" t="s">
        <v>255</v>
      </c>
      <c r="I69" s="555" t="n">
        <f aca="false">E71</f>
        <v>0.1043</v>
      </c>
      <c r="J69" s="556" t="n">
        <v>0.0228</v>
      </c>
      <c r="K69" s="553" t="n">
        <f aca="false">+G69/(1-J69)+I69</f>
        <v>2.25956892870961</v>
      </c>
      <c r="L69" s="550" t="s">
        <v>256</v>
      </c>
      <c r="M69" s="555" t="n">
        <v>0</v>
      </c>
      <c r="N69" s="556" t="n">
        <v>0.0025</v>
      </c>
      <c r="O69" s="553" t="n">
        <f aca="false">+K69/(1-N69)+M69</f>
        <v>2.26523200873144</v>
      </c>
      <c r="P69" s="557" t="n">
        <f aca="false">Weightings!$C$4</f>
        <v>1071.40153987277</v>
      </c>
      <c r="Q69" s="553" t="n">
        <f aca="false">+P69/SUM($P$9:$P$19)*O69</f>
        <v>0.0304828056264446</v>
      </c>
      <c r="R69" s="553"/>
      <c r="S69" s="558"/>
    </row>
    <row r="70" customFormat="false" ht="12.75" hidden="false" customHeight="false" outlineLevel="0" collapsed="false">
      <c r="A70" s="266" t="s">
        <v>257</v>
      </c>
      <c r="B70" s="317" t="s">
        <v>143</v>
      </c>
      <c r="C70" s="586" t="n">
        <v>1.92</v>
      </c>
      <c r="D70" s="550" t="s">
        <v>258</v>
      </c>
      <c r="E70" s="555" t="n">
        <v>0.0522</v>
      </c>
      <c r="F70" s="562" t="n">
        <v>0.058</v>
      </c>
      <c r="G70" s="553" t="n">
        <f aca="false">+C70/(1-F70)+E70</f>
        <v>2.09041656050955</v>
      </c>
      <c r="H70" s="550" t="s">
        <v>255</v>
      </c>
      <c r="I70" s="555" t="n">
        <f aca="false">E71</f>
        <v>0.1043</v>
      </c>
      <c r="J70" s="556" t="n">
        <v>0.0228</v>
      </c>
      <c r="K70" s="553" t="n">
        <f aca="false">+G70/(1-J70)+I70</f>
        <v>2.24349009466798</v>
      </c>
      <c r="L70" s="550" t="s">
        <v>256</v>
      </c>
      <c r="M70" s="555" t="n">
        <v>0</v>
      </c>
      <c r="N70" s="556" t="n">
        <v>0.0025</v>
      </c>
      <c r="O70" s="553" t="n">
        <f aca="false">+K70/(1-N70)+M70</f>
        <v>2.24911287686013</v>
      </c>
      <c r="P70" s="557" t="n">
        <f aca="false">Weightings!$C$5</f>
        <v>1309.88291792445</v>
      </c>
      <c r="Q70" s="553" t="n">
        <f aca="false">+P70/SUM($P$9:$P$19)*O70</f>
        <v>0.0370027252850152</v>
      </c>
      <c r="R70" s="553"/>
      <c r="S70" s="273"/>
    </row>
    <row r="71" customFormat="false" ht="12.75" hidden="false" customHeight="false" outlineLevel="0" collapsed="false">
      <c r="A71" s="266" t="s">
        <v>259</v>
      </c>
      <c r="B71" s="317" t="s">
        <v>287</v>
      </c>
      <c r="C71" s="586" t="n">
        <v>2.195</v>
      </c>
      <c r="D71" s="550" t="s">
        <v>260</v>
      </c>
      <c r="E71" s="555" t="n">
        <f aca="false">0.0951+0.0022+0.007</f>
        <v>0.1043</v>
      </c>
      <c r="F71" s="562" t="n">
        <v>0.0228</v>
      </c>
      <c r="G71" s="553" t="n">
        <f aca="false">+C71/(1-F71)+E71</f>
        <v>2.3505136717151</v>
      </c>
      <c r="H71" s="550" t="s">
        <v>256</v>
      </c>
      <c r="I71" s="555" t="n">
        <v>0</v>
      </c>
      <c r="J71" s="556" t="n">
        <v>0.0025</v>
      </c>
      <c r="K71" s="553" t="n">
        <f aca="false">+G71/(1-J71)+I71</f>
        <v>2.35640468342366</v>
      </c>
      <c r="L71" s="550"/>
      <c r="M71" s="555" t="n">
        <v>0</v>
      </c>
      <c r="N71" s="556" t="n">
        <v>0</v>
      </c>
      <c r="O71" s="553" t="n">
        <f aca="false">+K71/(1-N71)+M71</f>
        <v>2.35640468342366</v>
      </c>
      <c r="P71" s="557" t="n">
        <f aca="false">Weightings!$C$6</f>
        <v>19813.4520237259</v>
      </c>
      <c r="Q71" s="553" t="n">
        <f aca="false">+P71/SUM($P$9:$P$19)*O71</f>
        <v>0.586408160959378</v>
      </c>
      <c r="R71" s="553"/>
      <c r="S71" s="273"/>
    </row>
    <row r="72" customFormat="false" ht="12.75" hidden="false" customHeight="false" outlineLevel="0" collapsed="false">
      <c r="A72" s="266" t="s">
        <v>261</v>
      </c>
      <c r="B72" s="317" t="s">
        <v>288</v>
      </c>
      <c r="C72" s="586" t="n">
        <v>2.22</v>
      </c>
      <c r="D72" s="550" t="s">
        <v>262</v>
      </c>
      <c r="E72" s="555" t="n">
        <f aca="false">0.0951+0.0022+0.007</f>
        <v>0.1043</v>
      </c>
      <c r="F72" s="562" t="n">
        <v>0.0228</v>
      </c>
      <c r="G72" s="553" t="n">
        <f aca="false">+C72/(1-F72)+E72</f>
        <v>2.37609697093737</v>
      </c>
      <c r="H72" s="550" t="s">
        <v>256</v>
      </c>
      <c r="I72" s="555" t="n">
        <v>0</v>
      </c>
      <c r="J72" s="556" t="n">
        <v>0.0025</v>
      </c>
      <c r="K72" s="553" t="n">
        <f aca="false">+G72/(1-J72)+I72</f>
        <v>2.38205210119035</v>
      </c>
      <c r="L72" s="550"/>
      <c r="M72" s="555" t="n">
        <v>0</v>
      </c>
      <c r="N72" s="556" t="n">
        <v>0</v>
      </c>
      <c r="O72" s="553" t="n">
        <f aca="false">+K72/(1-N72)+M72</f>
        <v>2.38205210119035</v>
      </c>
      <c r="P72" s="557" t="n">
        <f aca="false">Weightings!$C$7</f>
        <v>669.603363940486</v>
      </c>
      <c r="Q72" s="553" t="n">
        <f aca="false">+P72/SUM($P$9:$P$19)*O72</f>
        <v>0.02003359380563</v>
      </c>
      <c r="R72" s="553"/>
      <c r="S72" s="558"/>
    </row>
    <row r="73" customFormat="false" ht="12.75" hidden="false" customHeight="false" outlineLevel="0" collapsed="false">
      <c r="A73" s="266" t="s">
        <v>206</v>
      </c>
      <c r="B73" s="317" t="s">
        <v>289</v>
      </c>
      <c r="C73" s="587" t="n">
        <f aca="false">C78</f>
        <v>1.895</v>
      </c>
      <c r="D73" s="550" t="s">
        <v>290</v>
      </c>
      <c r="E73" s="588" t="n">
        <f aca="false">0.0331+0.0022+0.0097</f>
        <v>0.045</v>
      </c>
      <c r="F73" s="589" t="n">
        <v>0.0504</v>
      </c>
      <c r="G73" s="553" t="n">
        <f aca="false">+C73/(1-F73)+E73</f>
        <v>2.04057708508846</v>
      </c>
      <c r="H73" s="550" t="s">
        <v>255</v>
      </c>
      <c r="I73" s="555" t="n">
        <f aca="false">E71</f>
        <v>0.1043</v>
      </c>
      <c r="J73" s="556" t="n">
        <v>0.0228</v>
      </c>
      <c r="K73" s="553" t="n">
        <f aca="false">+G73/(1-J73)+I73</f>
        <v>2.19248776615683</v>
      </c>
      <c r="L73" s="550" t="s">
        <v>256</v>
      </c>
      <c r="M73" s="555" t="n">
        <v>0</v>
      </c>
      <c r="N73" s="556" t="n">
        <v>0.0025</v>
      </c>
      <c r="O73" s="553" t="n">
        <f aca="false">+K73/(1-N73)+M73</f>
        <v>2.19798272296424</v>
      </c>
      <c r="P73" s="557" t="n">
        <f aca="false">Weightings!$C$8</f>
        <v>273.774605247488</v>
      </c>
      <c r="Q73" s="553" t="n">
        <f aca="false">+P73/SUM($P$9:$P$19)*O73</f>
        <v>0.00755800920677273</v>
      </c>
      <c r="R73" s="553"/>
      <c r="S73" s="273"/>
    </row>
    <row r="74" customFormat="false" ht="12.75" hidden="false" customHeight="false" outlineLevel="0" collapsed="false">
      <c r="A74" s="266" t="s">
        <v>207</v>
      </c>
      <c r="B74" s="317" t="s">
        <v>144</v>
      </c>
      <c r="C74" s="587" t="n">
        <f aca="false">C79</f>
        <v>1.99</v>
      </c>
      <c r="D74" s="550" t="s">
        <v>291</v>
      </c>
      <c r="E74" s="588" t="n">
        <f aca="false">0.0305+0.0022+0.0097</f>
        <v>0.0424</v>
      </c>
      <c r="F74" s="589" t="n">
        <v>0.0462</v>
      </c>
      <c r="G74" s="553" t="n">
        <f aca="false">+C74/(1-F74)+E74</f>
        <v>2.12879127699727</v>
      </c>
      <c r="H74" s="550" t="s">
        <v>255</v>
      </c>
      <c r="I74" s="555" t="n">
        <f aca="false">E71</f>
        <v>0.1043</v>
      </c>
      <c r="J74" s="556" t="n">
        <v>0.0228</v>
      </c>
      <c r="K74" s="553" t="n">
        <f aca="false">+G74/(1-J74)+I74</f>
        <v>2.28276016884699</v>
      </c>
      <c r="L74" s="550" t="s">
        <v>256</v>
      </c>
      <c r="M74" s="555" t="n">
        <v>0</v>
      </c>
      <c r="N74" s="556" t="n">
        <v>0.0025</v>
      </c>
      <c r="O74" s="553" t="n">
        <f aca="false">+K74/(1-N74)+M74</f>
        <v>2.28848137227768</v>
      </c>
      <c r="P74" s="557" t="n">
        <f aca="false">Weightings!$C$9</f>
        <v>6.55445647922163</v>
      </c>
      <c r="Q74" s="553" t="n">
        <f aca="false">+P74/SUM($P$9:$P$19)*O74</f>
        <v>0.000188397027675619</v>
      </c>
      <c r="R74" s="553"/>
      <c r="S74" s="273"/>
    </row>
    <row r="75" customFormat="false" ht="12.75" hidden="false" customHeight="false" outlineLevel="0" collapsed="false">
      <c r="A75" s="266" t="s">
        <v>211</v>
      </c>
      <c r="B75" s="317" t="s">
        <v>292</v>
      </c>
      <c r="C75" s="586" t="n">
        <v>1.96</v>
      </c>
      <c r="D75" s="550" t="s">
        <v>269</v>
      </c>
      <c r="E75" s="555" t="n">
        <f aca="false">0.0366+0.0022</f>
        <v>0.0388</v>
      </c>
      <c r="F75" s="562" t="n">
        <v>0.00697</v>
      </c>
      <c r="G75" s="553" t="n">
        <f aca="false">+C75/(1-F75)+E75</f>
        <v>2.01255708689566</v>
      </c>
      <c r="H75" s="550" t="s">
        <v>270</v>
      </c>
      <c r="I75" s="588" t="n">
        <f aca="false">0.017+0.0022</f>
        <v>0.0192</v>
      </c>
      <c r="J75" s="589" t="n">
        <v>0.02902</v>
      </c>
      <c r="K75" s="553" t="n">
        <f aca="false">+G75/(1-J75)+I75</f>
        <v>2.09190704535177</v>
      </c>
      <c r="L75" s="561" t="s">
        <v>271</v>
      </c>
      <c r="M75" s="555" t="n">
        <f aca="false">E76</f>
        <v>0.0226</v>
      </c>
      <c r="N75" s="562" t="n">
        <f aca="false">F76</f>
        <v>0.02776</v>
      </c>
      <c r="O75" s="563" t="n">
        <f aca="false">+K75/(1-N75)+M75</f>
        <v>2.1742364738663</v>
      </c>
      <c r="P75" s="557" t="n">
        <f aca="false">Weightings!$C$13</f>
        <v>31370.607479626</v>
      </c>
      <c r="Q75" s="553" t="n">
        <f aca="false">+P75/SUM($P$9:$P$19)*O75</f>
        <v>0.856682087978028</v>
      </c>
      <c r="R75" s="563"/>
      <c r="S75" s="273"/>
    </row>
    <row r="76" customFormat="false" ht="12.75" hidden="false" customHeight="false" outlineLevel="0" collapsed="false">
      <c r="A76" s="266" t="s">
        <v>212</v>
      </c>
      <c r="B76" s="317" t="s">
        <v>293</v>
      </c>
      <c r="C76" s="586" t="n">
        <v>2.105</v>
      </c>
      <c r="D76" s="550" t="s">
        <v>272</v>
      </c>
      <c r="E76" s="555" t="n">
        <f aca="false">0.0134+0.0022+0.007</f>
        <v>0.0226</v>
      </c>
      <c r="F76" s="562" t="n">
        <v>0.02776</v>
      </c>
      <c r="G76" s="553" t="n">
        <f aca="false">+C76/(1-F76)+E76</f>
        <v>2.18770326668312</v>
      </c>
      <c r="H76" s="550"/>
      <c r="I76" s="555" t="n">
        <v>0</v>
      </c>
      <c r="J76" s="556" t="n">
        <v>0</v>
      </c>
      <c r="K76" s="553" t="n">
        <f aca="false">+G76/(1-J76)+I76</f>
        <v>2.18770326668312</v>
      </c>
      <c r="L76" s="561"/>
      <c r="M76" s="555" t="n">
        <v>0</v>
      </c>
      <c r="N76" s="556" t="n">
        <v>0</v>
      </c>
      <c r="O76" s="553" t="n">
        <f aca="false">+K76/(1-N76)+M76</f>
        <v>2.18770326668312</v>
      </c>
      <c r="P76" s="557" t="n">
        <f aca="false">Weightings!$C$14</f>
        <v>5614.32270168218</v>
      </c>
      <c r="Q76" s="553" t="n">
        <f aca="false">+P76/SUM($P$9:$P$19)*O76</f>
        <v>0.154267971036155</v>
      </c>
      <c r="R76" s="553"/>
      <c r="S76" s="564"/>
    </row>
    <row r="77" customFormat="false" ht="12.75" hidden="false" customHeight="false" outlineLevel="0" collapsed="false">
      <c r="A77" s="266" t="s">
        <v>213</v>
      </c>
      <c r="B77" s="317" t="s">
        <v>294</v>
      </c>
      <c r="C77" s="586" t="n">
        <v>1.87</v>
      </c>
      <c r="D77" s="550" t="s">
        <v>295</v>
      </c>
      <c r="E77" s="588" t="n">
        <f aca="false">0.0299+0.0022+0.0097</f>
        <v>0.0418</v>
      </c>
      <c r="F77" s="589" t="n">
        <v>0.0458</v>
      </c>
      <c r="G77" s="553" t="n">
        <f aca="false">+C77/(1-F77)+E77</f>
        <v>2.00155686438902</v>
      </c>
      <c r="H77" s="550" t="s">
        <v>274</v>
      </c>
      <c r="I77" s="555" t="n">
        <v>0</v>
      </c>
      <c r="J77" s="556" t="n">
        <v>0.01</v>
      </c>
      <c r="K77" s="553" t="n">
        <f aca="false">+G77/(1-J77)+I77</f>
        <v>2.02177461049396</v>
      </c>
      <c r="L77" s="561"/>
      <c r="M77" s="555" t="n">
        <v>0</v>
      </c>
      <c r="N77" s="556" t="n">
        <v>0</v>
      </c>
      <c r="O77" s="553" t="n">
        <f aca="false">+K77/(1-N77)+M77</f>
        <v>2.02177461049396</v>
      </c>
      <c r="P77" s="557" t="n">
        <f aca="false">Weightings!$C$15</f>
        <v>3366</v>
      </c>
      <c r="Q77" s="553" t="n">
        <f aca="false">+P77/SUM($P$9:$P$19)*O77</f>
        <v>0.0854745515315606</v>
      </c>
      <c r="R77" s="553"/>
      <c r="S77" s="273"/>
    </row>
    <row r="78" customFormat="false" ht="12.75" hidden="false" customHeight="false" outlineLevel="0" collapsed="false">
      <c r="A78" s="266" t="s">
        <v>214</v>
      </c>
      <c r="B78" s="317" t="s">
        <v>289</v>
      </c>
      <c r="C78" s="586" t="n">
        <v>1.895</v>
      </c>
      <c r="D78" s="550" t="s">
        <v>296</v>
      </c>
      <c r="E78" s="588" t="n">
        <f aca="false">0.0277+0.0022+0.0097</f>
        <v>0.0396</v>
      </c>
      <c r="F78" s="589" t="n">
        <v>0.0423</v>
      </c>
      <c r="G78" s="553" t="n">
        <f aca="false">+C78/(1-F78)+E78</f>
        <v>2.01829896627336</v>
      </c>
      <c r="H78" s="550" t="s">
        <v>274</v>
      </c>
      <c r="I78" s="555" t="n">
        <v>0</v>
      </c>
      <c r="J78" s="556" t="n">
        <v>0.01</v>
      </c>
      <c r="K78" s="553" t="n">
        <f aca="false">+G78/(1-J78)+I78</f>
        <v>2.03868582451855</v>
      </c>
      <c r="M78" s="555" t="n">
        <v>0</v>
      </c>
      <c r="N78" s="556" t="n">
        <v>0</v>
      </c>
      <c r="O78" s="553" t="n">
        <f aca="false">+K78/(1-N78)+M78</f>
        <v>2.03868582451855</v>
      </c>
      <c r="P78" s="557" t="n">
        <f aca="false">Weightings!$C$16</f>
        <v>4950</v>
      </c>
      <c r="Q78" s="553" t="n">
        <f aca="false">+P78/SUM($P$9:$P$19)*O78</f>
        <v>0.126749274724239</v>
      </c>
      <c r="R78" s="553"/>
      <c r="S78" s="273"/>
    </row>
    <row r="79" customFormat="false" ht="12.75" hidden="false" customHeight="false" outlineLevel="0" collapsed="false">
      <c r="A79" s="266" t="s">
        <v>215</v>
      </c>
      <c r="B79" s="317" t="s">
        <v>144</v>
      </c>
      <c r="C79" s="586" t="n">
        <v>1.99</v>
      </c>
      <c r="D79" s="550" t="s">
        <v>297</v>
      </c>
      <c r="E79" s="588" t="n">
        <f aca="false">0.0251+0.0022+0.0097</f>
        <v>0.037</v>
      </c>
      <c r="F79" s="589" t="n">
        <v>0.0381</v>
      </c>
      <c r="G79" s="553" t="n">
        <f aca="false">+C79/(1-F79)+E79</f>
        <v>2.1058221228818</v>
      </c>
      <c r="H79" s="550" t="s">
        <v>274</v>
      </c>
      <c r="I79" s="555" t="n">
        <v>0</v>
      </c>
      <c r="J79" s="556" t="n">
        <v>0.01</v>
      </c>
      <c r="K79" s="553" t="n">
        <f aca="false">+G79/(1-J79)+I79</f>
        <v>2.12709305341596</v>
      </c>
      <c r="M79" s="555" t="n">
        <v>0</v>
      </c>
      <c r="N79" s="556" t="n">
        <v>0</v>
      </c>
      <c r="O79" s="553" t="n">
        <f aca="false">+K79/(1-N79)+M79</f>
        <v>2.12709305341596</v>
      </c>
      <c r="P79" s="557" t="n">
        <f aca="false">Weightings!$C$17</f>
        <v>11172.1727158949</v>
      </c>
      <c r="Q79" s="553" t="n">
        <f aca="false">+P79/SUM($P$9:$P$19)*O79</f>
        <v>0.298479226898333</v>
      </c>
      <c r="R79" s="553"/>
      <c r="S79" s="273"/>
    </row>
    <row r="80" customFormat="false" ht="12.75" hidden="false" customHeight="false" outlineLevel="0" collapsed="false">
      <c r="O80" s="403"/>
      <c r="P80" s="385"/>
      <c r="Q80" s="403"/>
      <c r="R80" s="403"/>
      <c r="S80" s="565"/>
    </row>
    <row r="81" customFormat="false" ht="13.5" hidden="false" customHeight="false" outlineLevel="0" collapsed="false">
      <c r="O81" s="566"/>
      <c r="P81" s="567"/>
      <c r="Q81" s="566"/>
      <c r="R81" s="566"/>
    </row>
    <row r="82" customFormat="false" ht="13.5" hidden="false" customHeight="false" outlineLevel="0" collapsed="false">
      <c r="O82" s="568" t="s">
        <v>277</v>
      </c>
      <c r="P82" s="569"/>
      <c r="Q82" s="570" t="n">
        <f aca="false">SUM(Q69:Q79)</f>
        <v>2.20332680407923</v>
      </c>
      <c r="R82" s="590" t="n">
        <f aca="false">B67</f>
        <v>37168</v>
      </c>
    </row>
    <row r="83" customFormat="false" ht="12.75" hidden="false" customHeight="false" outlineLevel="0" collapsed="false">
      <c r="O83" s="403"/>
      <c r="P83" s="403"/>
      <c r="Q83" s="403"/>
      <c r="R83" s="403"/>
      <c r="S83" s="403"/>
    </row>
    <row r="84" customFormat="false" ht="12.75" hidden="false" customHeight="false" outlineLevel="0" collapsed="false">
      <c r="D84" s="550"/>
      <c r="H84" s="553"/>
      <c r="O84" s="566" t="s">
        <v>298</v>
      </c>
      <c r="P84" s="571" t="n">
        <f aca="false">Weightings!C83</f>
        <v>0</v>
      </c>
      <c r="Q84" s="403" t="s">
        <v>279</v>
      </c>
      <c r="R84" s="572" t="s">
        <v>280</v>
      </c>
      <c r="S84" s="403"/>
    </row>
    <row r="85" customFormat="false" ht="13.5" hidden="false" customHeight="false" outlineLevel="0" collapsed="false">
      <c r="A85" s="591"/>
      <c r="B85" s="592"/>
      <c r="C85" s="591"/>
      <c r="D85" s="593"/>
      <c r="E85" s="591"/>
      <c r="F85" s="591"/>
      <c r="G85" s="591"/>
      <c r="H85" s="594"/>
      <c r="I85" s="591"/>
      <c r="J85" s="591"/>
      <c r="K85" s="591"/>
      <c r="L85" s="591"/>
      <c r="M85" s="591"/>
      <c r="N85" s="591"/>
      <c r="O85" s="591"/>
      <c r="P85" s="595"/>
      <c r="Q85" s="591"/>
      <c r="R85" s="591"/>
      <c r="S85" s="591"/>
    </row>
    <row r="86" customFormat="false" ht="14.25" hidden="false" customHeight="false" outlineLevel="0" collapsed="false">
      <c r="A86" s="267"/>
      <c r="B86" s="544"/>
      <c r="D86" s="269" t="s">
        <v>241</v>
      </c>
      <c r="H86" s="269" t="s">
        <v>242</v>
      </c>
      <c r="L86" s="269" t="s">
        <v>243</v>
      </c>
    </row>
    <row r="87" customFormat="false" ht="14.25" hidden="false" customHeight="false" outlineLevel="0" collapsed="false">
      <c r="A87" s="582" t="s">
        <v>284</v>
      </c>
      <c r="B87" s="583" t="n">
        <f aca="false">B67+1</f>
        <v>37169</v>
      </c>
      <c r="C87" s="584" t="n">
        <f aca="false">Q102</f>
        <v>2.36232423605629</v>
      </c>
      <c r="E87" s="585"/>
    </row>
    <row r="88" customFormat="false" ht="54" hidden="false" customHeight="true" outlineLevel="0" collapsed="false">
      <c r="A88" s="267" t="s">
        <v>244</v>
      </c>
      <c r="B88" s="315" t="s">
        <v>132</v>
      </c>
      <c r="C88" s="545" t="s">
        <v>286</v>
      </c>
      <c r="D88" s="546" t="s">
        <v>247</v>
      </c>
      <c r="E88" s="547" t="s">
        <v>248</v>
      </c>
      <c r="F88" s="547" t="s">
        <v>249</v>
      </c>
      <c r="G88" s="547" t="s">
        <v>250</v>
      </c>
      <c r="H88" s="546" t="s">
        <v>247</v>
      </c>
      <c r="I88" s="547" t="s">
        <v>248</v>
      </c>
      <c r="J88" s="547" t="s">
        <v>249</v>
      </c>
      <c r="K88" s="547" t="s">
        <v>250</v>
      </c>
      <c r="L88" s="546" t="s">
        <v>247</v>
      </c>
      <c r="M88" s="547" t="s">
        <v>248</v>
      </c>
      <c r="N88" s="547" t="s">
        <v>249</v>
      </c>
      <c r="O88" s="547" t="s">
        <v>250</v>
      </c>
      <c r="P88" s="547" t="s">
        <v>251</v>
      </c>
      <c r="Q88" s="547" t="s">
        <v>252</v>
      </c>
      <c r="R88" s="547"/>
      <c r="S88" s="547"/>
    </row>
    <row r="89" customFormat="false" ht="12.75" hidden="false" customHeight="false" outlineLevel="0" collapsed="false">
      <c r="A89" s="266" t="s">
        <v>253</v>
      </c>
      <c r="B89" s="317" t="s">
        <v>142</v>
      </c>
      <c r="C89" s="586" t="n">
        <v>2.1</v>
      </c>
      <c r="D89" s="550" t="s">
        <v>254</v>
      </c>
      <c r="E89" s="555" t="n">
        <v>0.0522</v>
      </c>
      <c r="F89" s="562" t="n">
        <v>0.0506</v>
      </c>
      <c r="G89" s="553" t="n">
        <f aca="false">+C89/(1-F89)+E89</f>
        <v>2.26412331999157</v>
      </c>
      <c r="H89" s="550" t="s">
        <v>255</v>
      </c>
      <c r="I89" s="555" t="n">
        <f aca="false">E91</f>
        <v>0.1043</v>
      </c>
      <c r="J89" s="556" t="n">
        <v>0.0228</v>
      </c>
      <c r="K89" s="553" t="n">
        <f aca="false">+G89/(1-J89)+I89</f>
        <v>2.42124977485834</v>
      </c>
      <c r="L89" s="550" t="s">
        <v>256</v>
      </c>
      <c r="M89" s="555" t="n">
        <v>0</v>
      </c>
      <c r="N89" s="556" t="n">
        <v>0.0025</v>
      </c>
      <c r="O89" s="553" t="n">
        <f aca="false">+K89/(1-N89)+M89</f>
        <v>2.42731807003343</v>
      </c>
      <c r="P89" s="557" t="n">
        <f aca="false">Weightings!$C$4</f>
        <v>1071.40153987277</v>
      </c>
      <c r="Q89" s="553" t="n">
        <f aca="false">+P89/SUM($P$9:$P$19)*O89</f>
        <v>0.0326639675923624</v>
      </c>
      <c r="R89" s="553"/>
      <c r="S89" s="558"/>
    </row>
    <row r="90" customFormat="false" ht="12.75" hidden="false" customHeight="false" outlineLevel="0" collapsed="false">
      <c r="A90" s="266" t="s">
        <v>257</v>
      </c>
      <c r="B90" s="317" t="s">
        <v>143</v>
      </c>
      <c r="C90" s="586" t="n">
        <v>2.04</v>
      </c>
      <c r="D90" s="550" t="s">
        <v>258</v>
      </c>
      <c r="E90" s="555" t="n">
        <v>0.0522</v>
      </c>
      <c r="F90" s="562" t="n">
        <v>0.058</v>
      </c>
      <c r="G90" s="553" t="n">
        <f aca="false">+C90/(1-F90)+E90</f>
        <v>2.2178050955414</v>
      </c>
      <c r="H90" s="550" t="s">
        <v>255</v>
      </c>
      <c r="I90" s="555" t="n">
        <f aca="false">E91</f>
        <v>0.1043</v>
      </c>
      <c r="J90" s="556" t="n">
        <v>0.0228</v>
      </c>
      <c r="K90" s="553" t="n">
        <f aca="false">+G90/(1-J90)+I90</f>
        <v>2.37385085503623</v>
      </c>
      <c r="L90" s="550" t="s">
        <v>256</v>
      </c>
      <c r="M90" s="555" t="n">
        <v>0</v>
      </c>
      <c r="N90" s="556" t="n">
        <v>0.0025</v>
      </c>
      <c r="O90" s="553" t="n">
        <f aca="false">+K90/(1-N90)+M90</f>
        <v>2.37980035592604</v>
      </c>
      <c r="P90" s="557" t="n">
        <f aca="false">Weightings!$C$5</f>
        <v>1309.88291792445</v>
      </c>
      <c r="Q90" s="553" t="n">
        <f aca="false">+P90/SUM($P$9:$P$19)*O90</f>
        <v>0.0391528142982523</v>
      </c>
      <c r="R90" s="553"/>
      <c r="S90" s="273"/>
    </row>
    <row r="91" customFormat="false" ht="12.75" hidden="false" customHeight="false" outlineLevel="0" collapsed="false">
      <c r="A91" s="266" t="s">
        <v>259</v>
      </c>
      <c r="B91" s="317" t="s">
        <v>287</v>
      </c>
      <c r="C91" s="586" t="n">
        <v>2.345</v>
      </c>
      <c r="D91" s="550" t="s">
        <v>260</v>
      </c>
      <c r="E91" s="555" t="n">
        <f aca="false">0.0951+0.0022+0.007</f>
        <v>0.1043</v>
      </c>
      <c r="F91" s="562" t="n">
        <v>0.0228</v>
      </c>
      <c r="G91" s="553" t="n">
        <f aca="false">+C91/(1-F91)+E91</f>
        <v>2.50401346704871</v>
      </c>
      <c r="H91" s="550" t="s">
        <v>256</v>
      </c>
      <c r="I91" s="555" t="n">
        <v>0</v>
      </c>
      <c r="J91" s="556" t="n">
        <v>0.0025</v>
      </c>
      <c r="K91" s="553" t="n">
        <f aca="false">+G91/(1-J91)+I91</f>
        <v>2.51028919002377</v>
      </c>
      <c r="L91" s="550"/>
      <c r="M91" s="555" t="n">
        <v>0</v>
      </c>
      <c r="N91" s="556" t="n">
        <v>0</v>
      </c>
      <c r="O91" s="553" t="n">
        <f aca="false">+K91/(1-N91)+M91</f>
        <v>2.51028919002377</v>
      </c>
      <c r="P91" s="557" t="n">
        <f aca="false">Weightings!$C$6</f>
        <v>19813.4520237259</v>
      </c>
      <c r="Q91" s="553" t="n">
        <f aca="false">+P91/SUM($P$9:$P$19)*O91</f>
        <v>0.624703421170965</v>
      </c>
      <c r="R91" s="553"/>
      <c r="S91" s="273"/>
    </row>
    <row r="92" customFormat="false" ht="12.75" hidden="false" customHeight="false" outlineLevel="0" collapsed="false">
      <c r="A92" s="266" t="s">
        <v>261</v>
      </c>
      <c r="B92" s="317" t="s">
        <v>288</v>
      </c>
      <c r="C92" s="586" t="n">
        <v>2.37</v>
      </c>
      <c r="D92" s="550" t="s">
        <v>262</v>
      </c>
      <c r="E92" s="555" t="n">
        <f aca="false">0.0951+0.0022+0.007</f>
        <v>0.1043</v>
      </c>
      <c r="F92" s="562" t="n">
        <v>0.0228</v>
      </c>
      <c r="G92" s="553" t="n">
        <f aca="false">+C92/(1-F92)+E92</f>
        <v>2.52959676627098</v>
      </c>
      <c r="H92" s="550" t="s">
        <v>256</v>
      </c>
      <c r="I92" s="555" t="n">
        <v>0</v>
      </c>
      <c r="J92" s="556" t="n">
        <v>0.0025</v>
      </c>
      <c r="K92" s="553" t="n">
        <f aca="false">+G92/(1-J92)+I92</f>
        <v>2.53593660779045</v>
      </c>
      <c r="L92" s="550"/>
      <c r="M92" s="555" t="n">
        <v>0</v>
      </c>
      <c r="N92" s="556" t="n">
        <v>0</v>
      </c>
      <c r="O92" s="553" t="n">
        <f aca="false">+K92/(1-N92)+M92</f>
        <v>2.53593660779045</v>
      </c>
      <c r="P92" s="557" t="n">
        <f aca="false">Weightings!$C$7</f>
        <v>669.603363940486</v>
      </c>
      <c r="Q92" s="553" t="n">
        <f aca="false">+P92/SUM($P$9:$P$19)*O92</f>
        <v>0.0213277971090194</v>
      </c>
      <c r="R92" s="553"/>
      <c r="S92" s="558"/>
    </row>
    <row r="93" customFormat="false" ht="12.75" hidden="false" customHeight="false" outlineLevel="0" collapsed="false">
      <c r="A93" s="266" t="s">
        <v>206</v>
      </c>
      <c r="B93" s="317" t="s">
        <v>289</v>
      </c>
      <c r="C93" s="587" t="n">
        <f aca="false">C98</f>
        <v>2.08</v>
      </c>
      <c r="D93" s="550" t="s">
        <v>290</v>
      </c>
      <c r="E93" s="588" t="n">
        <f aca="false">0.0331+0.0022+0.0097</f>
        <v>0.045</v>
      </c>
      <c r="F93" s="589" t="n">
        <v>0.0504</v>
      </c>
      <c r="G93" s="553" t="n">
        <f aca="false">+C93/(1-F93)+E93</f>
        <v>2.23539595619208</v>
      </c>
      <c r="H93" s="550" t="s">
        <v>255</v>
      </c>
      <c r="I93" s="555" t="n">
        <f aca="false">E91</f>
        <v>0.1043</v>
      </c>
      <c r="J93" s="556" t="n">
        <v>0.0228</v>
      </c>
      <c r="K93" s="553" t="n">
        <f aca="false">+G93/(1-J93)+I93</f>
        <v>2.39185214510037</v>
      </c>
      <c r="L93" s="550" t="s">
        <v>256</v>
      </c>
      <c r="M93" s="555" t="n">
        <v>0</v>
      </c>
      <c r="N93" s="556" t="n">
        <v>0.0025</v>
      </c>
      <c r="O93" s="553" t="n">
        <f aca="false">+K93/(1-N93)+M93</f>
        <v>2.39784676200538</v>
      </c>
      <c r="P93" s="557" t="n">
        <f aca="false">Weightings!$C$8</f>
        <v>273.774605247488</v>
      </c>
      <c r="Q93" s="553" t="n">
        <f aca="false">+P93/SUM($P$9:$P$19)*O93</f>
        <v>0.00824526403884826</v>
      </c>
      <c r="R93" s="553"/>
      <c r="S93" s="273"/>
    </row>
    <row r="94" customFormat="false" ht="12.75" hidden="false" customHeight="false" outlineLevel="0" collapsed="false">
      <c r="A94" s="266" t="s">
        <v>207</v>
      </c>
      <c r="B94" s="317" t="s">
        <v>144</v>
      </c>
      <c r="C94" s="587" t="n">
        <f aca="false">C99</f>
        <v>2.165</v>
      </c>
      <c r="D94" s="550" t="s">
        <v>291</v>
      </c>
      <c r="E94" s="588" t="n">
        <f aca="false">0.0305+0.0022+0.0097</f>
        <v>0.0424</v>
      </c>
      <c r="F94" s="589" t="n">
        <v>0.0462</v>
      </c>
      <c r="G94" s="553" t="n">
        <f aca="false">+C94/(1-F94)+E94</f>
        <v>2.31226789683372</v>
      </c>
      <c r="H94" s="550" t="s">
        <v>255</v>
      </c>
      <c r="I94" s="555" t="n">
        <f aca="false">E91</f>
        <v>0.1043</v>
      </c>
      <c r="J94" s="556" t="n">
        <v>0.0228</v>
      </c>
      <c r="K94" s="553" t="n">
        <f aca="false">+G94/(1-J94)+I94</f>
        <v>2.47051765946963</v>
      </c>
      <c r="L94" s="550" t="s">
        <v>256</v>
      </c>
      <c r="M94" s="555" t="n">
        <v>0</v>
      </c>
      <c r="N94" s="556" t="n">
        <v>0.0025</v>
      </c>
      <c r="O94" s="553" t="n">
        <f aca="false">+K94/(1-N94)+M94</f>
        <v>2.47670943305226</v>
      </c>
      <c r="P94" s="557" t="n">
        <f aca="false">Weightings!$C$9</f>
        <v>6.55445647922163</v>
      </c>
      <c r="Q94" s="553" t="n">
        <f aca="false">+P94/SUM($P$9:$P$19)*O94</f>
        <v>0.000203892721721747</v>
      </c>
      <c r="R94" s="553"/>
      <c r="S94" s="273"/>
    </row>
    <row r="95" customFormat="false" ht="12.75" hidden="false" customHeight="false" outlineLevel="0" collapsed="false">
      <c r="A95" s="266" t="s">
        <v>211</v>
      </c>
      <c r="B95" s="317" t="s">
        <v>292</v>
      </c>
      <c r="C95" s="586" t="n">
        <v>2.095</v>
      </c>
      <c r="D95" s="550" t="s">
        <v>269</v>
      </c>
      <c r="E95" s="555" t="n">
        <f aca="false">0.0366+0.0022</f>
        <v>0.0388</v>
      </c>
      <c r="F95" s="562" t="n">
        <v>0.00697</v>
      </c>
      <c r="G95" s="553" t="n">
        <f aca="false">+C95/(1-F95)+E95</f>
        <v>2.14850464135021</v>
      </c>
      <c r="H95" s="550" t="s">
        <v>270</v>
      </c>
      <c r="I95" s="588" t="n">
        <f aca="false">0.017+0.0022</f>
        <v>0.0192</v>
      </c>
      <c r="J95" s="589" t="n">
        <v>0.02902</v>
      </c>
      <c r="K95" s="553" t="n">
        <f aca="false">+G95/(1-J95)+I95</f>
        <v>2.23191770927332</v>
      </c>
      <c r="L95" s="561" t="s">
        <v>271</v>
      </c>
      <c r="M95" s="555" t="n">
        <f aca="false">E96</f>
        <v>0.0226</v>
      </c>
      <c r="N95" s="562" t="n">
        <f aca="false">F96</f>
        <v>0.02776</v>
      </c>
      <c r="O95" s="563" t="n">
        <f aca="false">+K95/(1-N95)+M95</f>
        <v>2.31824480917605</v>
      </c>
      <c r="P95" s="557" t="n">
        <f aca="false">Weightings!$C$13</f>
        <v>31370.607479626</v>
      </c>
      <c r="Q95" s="553" t="n">
        <f aca="false">+P95/SUM($P$9:$P$19)*O95</f>
        <v>0.913423552332187</v>
      </c>
      <c r="R95" s="563"/>
      <c r="S95" s="273"/>
    </row>
    <row r="96" customFormat="false" ht="12.75" hidden="false" customHeight="false" outlineLevel="0" collapsed="false">
      <c r="A96" s="266" t="s">
        <v>212</v>
      </c>
      <c r="B96" s="317" t="s">
        <v>293</v>
      </c>
      <c r="C96" s="586" t="n">
        <v>2.275</v>
      </c>
      <c r="D96" s="550" t="s">
        <v>272</v>
      </c>
      <c r="E96" s="555" t="n">
        <f aca="false">0.0134+0.0022+0.007</f>
        <v>0.0226</v>
      </c>
      <c r="F96" s="562" t="n">
        <v>0.02776</v>
      </c>
      <c r="G96" s="553" t="n">
        <f aca="false">+C96/(1-F96)+E96</f>
        <v>2.36255721221098</v>
      </c>
      <c r="H96" s="550"/>
      <c r="I96" s="555" t="n">
        <v>0</v>
      </c>
      <c r="J96" s="556" t="n">
        <v>0</v>
      </c>
      <c r="K96" s="553" t="n">
        <f aca="false">+G96/(1-J96)+I96</f>
        <v>2.36255721221098</v>
      </c>
      <c r="L96" s="561"/>
      <c r="M96" s="555" t="n">
        <v>0</v>
      </c>
      <c r="N96" s="556" t="n">
        <v>0</v>
      </c>
      <c r="O96" s="553" t="n">
        <f aca="false">+K96/(1-N96)+M96</f>
        <v>2.36255721221098</v>
      </c>
      <c r="P96" s="557" t="n">
        <f aca="false">Weightings!$C$14</f>
        <v>5614.32270168218</v>
      </c>
      <c r="Q96" s="553" t="n">
        <f aca="false">+P96/SUM($P$9:$P$19)*O96</f>
        <v>0.166597962865963</v>
      </c>
      <c r="R96" s="553"/>
      <c r="S96" s="564"/>
    </row>
    <row r="97" customFormat="false" ht="12.75" hidden="false" customHeight="false" outlineLevel="0" collapsed="false">
      <c r="A97" s="266" t="s">
        <v>213</v>
      </c>
      <c r="B97" s="317" t="s">
        <v>294</v>
      </c>
      <c r="C97" s="586" t="n">
        <v>2.035</v>
      </c>
      <c r="D97" s="550" t="s">
        <v>295</v>
      </c>
      <c r="E97" s="588" t="n">
        <f aca="false">0.0299+0.0022+0.0097</f>
        <v>0.0418</v>
      </c>
      <c r="F97" s="589" t="n">
        <v>0.0458</v>
      </c>
      <c r="G97" s="553" t="n">
        <f aca="false">+C97/(1-F97)+E97</f>
        <v>2.17447658771746</v>
      </c>
      <c r="H97" s="550" t="s">
        <v>274</v>
      </c>
      <c r="I97" s="555" t="n">
        <v>0</v>
      </c>
      <c r="J97" s="556" t="n">
        <v>0.01</v>
      </c>
      <c r="K97" s="553" t="n">
        <f aca="false">+G97/(1-J97)+I97</f>
        <v>2.1964409976944</v>
      </c>
      <c r="L97" s="561"/>
      <c r="M97" s="555" t="n">
        <v>0</v>
      </c>
      <c r="N97" s="556" t="n">
        <v>0</v>
      </c>
      <c r="O97" s="553" t="n">
        <f aca="false">+K97/(1-N97)+M97</f>
        <v>2.1964409976944</v>
      </c>
      <c r="P97" s="557" t="n">
        <f aca="false">Weightings!$C$15</f>
        <v>3366</v>
      </c>
      <c r="Q97" s="553" t="n">
        <f aca="false">+P97/SUM($P$9:$P$19)*O97</f>
        <v>0.0928589212017033</v>
      </c>
      <c r="R97" s="553"/>
      <c r="S97" s="273"/>
    </row>
    <row r="98" customFormat="false" ht="12.75" hidden="false" customHeight="false" outlineLevel="0" collapsed="false">
      <c r="A98" s="266" t="s">
        <v>214</v>
      </c>
      <c r="B98" s="317" t="s">
        <v>289</v>
      </c>
      <c r="C98" s="586" t="n">
        <v>2.08</v>
      </c>
      <c r="D98" s="550" t="s">
        <v>296</v>
      </c>
      <c r="E98" s="588" t="n">
        <f aca="false">0.0277+0.0022+0.0097</f>
        <v>0.0396</v>
      </c>
      <c r="F98" s="589" t="n">
        <v>0.0423</v>
      </c>
      <c r="G98" s="553" t="n">
        <f aca="false">+C98/(1-F98)+E98</f>
        <v>2.211470105461</v>
      </c>
      <c r="H98" s="550" t="s">
        <v>274</v>
      </c>
      <c r="I98" s="555" t="n">
        <v>0</v>
      </c>
      <c r="J98" s="556" t="n">
        <v>0.01</v>
      </c>
      <c r="K98" s="553" t="n">
        <f aca="false">+G98/(1-J98)+I98</f>
        <v>2.23380818733434</v>
      </c>
      <c r="M98" s="555" t="n">
        <v>0</v>
      </c>
      <c r="N98" s="556" t="n">
        <v>0</v>
      </c>
      <c r="O98" s="553" t="n">
        <f aca="false">+K98/(1-N98)+M98</f>
        <v>2.23380818733434</v>
      </c>
      <c r="P98" s="557" t="n">
        <f aca="false">Weightings!$C$16</f>
        <v>4950</v>
      </c>
      <c r="Q98" s="553" t="n">
        <f aca="false">+P98/SUM($P$9:$P$19)*O98</f>
        <v>0.138880431801972</v>
      </c>
      <c r="R98" s="553"/>
      <c r="S98" s="273"/>
    </row>
    <row r="99" customFormat="false" ht="12.75" hidden="false" customHeight="false" outlineLevel="0" collapsed="false">
      <c r="A99" s="266" t="s">
        <v>215</v>
      </c>
      <c r="B99" s="317" t="s">
        <v>144</v>
      </c>
      <c r="C99" s="586" t="n">
        <v>2.165</v>
      </c>
      <c r="D99" s="550" t="s">
        <v>297</v>
      </c>
      <c r="E99" s="588" t="n">
        <f aca="false">0.0251+0.0022+0.0097</f>
        <v>0.037</v>
      </c>
      <c r="F99" s="589" t="n">
        <v>0.0381</v>
      </c>
      <c r="G99" s="553" t="n">
        <f aca="false">+C99/(1-F99)+E99</f>
        <v>2.28775371660256</v>
      </c>
      <c r="H99" s="550" t="s">
        <v>274</v>
      </c>
      <c r="I99" s="555" t="n">
        <v>0</v>
      </c>
      <c r="J99" s="556" t="n">
        <v>0.01</v>
      </c>
      <c r="K99" s="553" t="n">
        <f aca="false">+G99/(1-J99)+I99</f>
        <v>2.31086234000258</v>
      </c>
      <c r="M99" s="555" t="n">
        <v>0</v>
      </c>
      <c r="N99" s="556" t="n">
        <v>0</v>
      </c>
      <c r="O99" s="553" t="n">
        <f aca="false">+K99/(1-N99)+M99</f>
        <v>2.31086234000258</v>
      </c>
      <c r="P99" s="557" t="n">
        <f aca="false">Weightings!$C$17</f>
        <v>11172.1727158949</v>
      </c>
      <c r="Q99" s="553" t="n">
        <f aca="false">+P99/SUM($P$9:$P$19)*O99</f>
        <v>0.32426621092329</v>
      </c>
      <c r="R99" s="553"/>
      <c r="S99" s="273"/>
    </row>
    <row r="100" customFormat="false" ht="12.75" hidden="false" customHeight="false" outlineLevel="0" collapsed="false">
      <c r="O100" s="403"/>
      <c r="P100" s="385"/>
      <c r="Q100" s="403"/>
      <c r="R100" s="403"/>
      <c r="S100" s="565"/>
    </row>
    <row r="101" customFormat="false" ht="13.5" hidden="false" customHeight="false" outlineLevel="0" collapsed="false">
      <c r="O101" s="566"/>
      <c r="P101" s="567"/>
      <c r="Q101" s="566"/>
      <c r="R101" s="566"/>
    </row>
    <row r="102" customFormat="false" ht="13.5" hidden="false" customHeight="false" outlineLevel="0" collapsed="false">
      <c r="O102" s="568" t="s">
        <v>277</v>
      </c>
      <c r="P102" s="569"/>
      <c r="Q102" s="570" t="n">
        <f aca="false">SUM(Q89:Q99)</f>
        <v>2.36232423605629</v>
      </c>
      <c r="R102" s="590" t="n">
        <f aca="false">B87</f>
        <v>37169</v>
      </c>
    </row>
    <row r="103" customFormat="false" ht="12.75" hidden="false" customHeight="false" outlineLevel="0" collapsed="false">
      <c r="O103" s="403"/>
      <c r="P103" s="403"/>
      <c r="Q103" s="403"/>
      <c r="R103" s="403"/>
      <c r="S103" s="403"/>
    </row>
    <row r="104" customFormat="false" ht="12.75" hidden="false" customHeight="false" outlineLevel="0" collapsed="false">
      <c r="D104" s="550"/>
      <c r="H104" s="553"/>
      <c r="O104" s="566" t="s">
        <v>298</v>
      </c>
      <c r="P104" s="571" t="n">
        <f aca="false">Weightings!C103</f>
        <v>0</v>
      </c>
      <c r="Q104" s="403" t="s">
        <v>279</v>
      </c>
      <c r="R104" s="572" t="s">
        <v>280</v>
      </c>
      <c r="S104" s="403"/>
    </row>
    <row r="105" customFormat="false" ht="13.5" hidden="false" customHeight="false" outlineLevel="0" collapsed="false">
      <c r="A105" s="591"/>
      <c r="B105" s="592"/>
      <c r="C105" s="591"/>
      <c r="D105" s="593"/>
      <c r="E105" s="591"/>
      <c r="F105" s="591"/>
      <c r="G105" s="591"/>
      <c r="H105" s="594"/>
      <c r="I105" s="591"/>
      <c r="J105" s="591"/>
      <c r="K105" s="591"/>
      <c r="L105" s="591"/>
      <c r="M105" s="591"/>
      <c r="N105" s="591"/>
      <c r="O105" s="591"/>
      <c r="P105" s="595"/>
      <c r="Q105" s="591"/>
      <c r="R105" s="591"/>
      <c r="S105" s="591"/>
    </row>
    <row r="106" customFormat="false" ht="14.25" hidden="false" customHeight="false" outlineLevel="0" collapsed="false">
      <c r="A106" s="267"/>
      <c r="B106" s="544"/>
      <c r="D106" s="269" t="s">
        <v>241</v>
      </c>
      <c r="H106" s="269" t="s">
        <v>242</v>
      </c>
      <c r="L106" s="269" t="s">
        <v>243</v>
      </c>
    </row>
    <row r="107" customFormat="false" ht="14.25" hidden="false" customHeight="false" outlineLevel="0" collapsed="false">
      <c r="A107" s="582" t="s">
        <v>284</v>
      </c>
      <c r="B107" s="583" t="n">
        <f aca="false">B87+1</f>
        <v>37170</v>
      </c>
      <c r="C107" s="584" t="n">
        <f aca="false">Q122</f>
        <v>2.37625100158515</v>
      </c>
      <c r="E107" s="585"/>
    </row>
    <row r="108" customFormat="false" ht="54" hidden="false" customHeight="true" outlineLevel="0" collapsed="false">
      <c r="A108" s="267" t="s">
        <v>244</v>
      </c>
      <c r="B108" s="315" t="s">
        <v>132</v>
      </c>
      <c r="C108" s="545" t="s">
        <v>286</v>
      </c>
      <c r="D108" s="546" t="s">
        <v>247</v>
      </c>
      <c r="E108" s="547" t="s">
        <v>248</v>
      </c>
      <c r="F108" s="547" t="s">
        <v>249</v>
      </c>
      <c r="G108" s="547" t="s">
        <v>250</v>
      </c>
      <c r="H108" s="546" t="s">
        <v>247</v>
      </c>
      <c r="I108" s="547" t="s">
        <v>248</v>
      </c>
      <c r="J108" s="547" t="s">
        <v>249</v>
      </c>
      <c r="K108" s="547" t="s">
        <v>250</v>
      </c>
      <c r="L108" s="546" t="s">
        <v>247</v>
      </c>
      <c r="M108" s="547" t="s">
        <v>248</v>
      </c>
      <c r="N108" s="547" t="s">
        <v>249</v>
      </c>
      <c r="O108" s="547" t="s">
        <v>250</v>
      </c>
      <c r="P108" s="547" t="s">
        <v>251</v>
      </c>
      <c r="Q108" s="547" t="s">
        <v>252</v>
      </c>
      <c r="R108" s="547"/>
      <c r="S108" s="547"/>
    </row>
    <row r="109" customFormat="false" ht="12.75" hidden="false" customHeight="false" outlineLevel="0" collapsed="false">
      <c r="A109" s="266" t="s">
        <v>253</v>
      </c>
      <c r="B109" s="317" t="s">
        <v>142</v>
      </c>
      <c r="C109" s="586" t="n">
        <v>2.115</v>
      </c>
      <c r="D109" s="550" t="s">
        <v>254</v>
      </c>
      <c r="E109" s="555" t="n">
        <v>0.0522</v>
      </c>
      <c r="F109" s="562" t="n">
        <v>0.0506</v>
      </c>
      <c r="G109" s="553" t="n">
        <f aca="false">+C109/(1-F109)+E109</f>
        <v>2.27992277227723</v>
      </c>
      <c r="H109" s="550" t="s">
        <v>255</v>
      </c>
      <c r="I109" s="555" t="n">
        <f aca="false">E111</f>
        <v>0.1043</v>
      </c>
      <c r="J109" s="556" t="n">
        <v>0.0228</v>
      </c>
      <c r="K109" s="553" t="n">
        <f aca="false">+G109/(1-J109)+I109</f>
        <v>2.43741785947322</v>
      </c>
      <c r="L109" s="550" t="s">
        <v>256</v>
      </c>
      <c r="M109" s="555" t="n">
        <v>0</v>
      </c>
      <c r="N109" s="556" t="n">
        <v>0.0025</v>
      </c>
      <c r="O109" s="553" t="n">
        <f aca="false">+K109/(1-N109)+M109</f>
        <v>2.44352667616363</v>
      </c>
      <c r="P109" s="557" t="n">
        <f aca="false">Weightings!$C$4</f>
        <v>1071.40153987277</v>
      </c>
      <c r="Q109" s="553" t="n">
        <f aca="false">+P109/SUM($P$9:$P$19)*O109</f>
        <v>0.0328820837889541</v>
      </c>
      <c r="R109" s="553"/>
      <c r="S109" s="558"/>
    </row>
    <row r="110" customFormat="false" ht="12.75" hidden="false" customHeight="false" outlineLevel="0" collapsed="false">
      <c r="A110" s="266" t="s">
        <v>257</v>
      </c>
      <c r="B110" s="317" t="s">
        <v>143</v>
      </c>
      <c r="C110" s="586" t="n">
        <v>2.04</v>
      </c>
      <c r="D110" s="550" t="s">
        <v>258</v>
      </c>
      <c r="E110" s="555" t="n">
        <v>0.0522</v>
      </c>
      <c r="F110" s="562" t="n">
        <v>0.058</v>
      </c>
      <c r="G110" s="553" t="n">
        <f aca="false">+C110/(1-F110)+E110</f>
        <v>2.2178050955414</v>
      </c>
      <c r="H110" s="550" t="s">
        <v>255</v>
      </c>
      <c r="I110" s="555" t="n">
        <f aca="false">E111</f>
        <v>0.1043</v>
      </c>
      <c r="J110" s="556" t="n">
        <v>0.0228</v>
      </c>
      <c r="K110" s="553" t="n">
        <f aca="false">+G110/(1-J110)+I110</f>
        <v>2.37385085503623</v>
      </c>
      <c r="L110" s="550" t="s">
        <v>256</v>
      </c>
      <c r="M110" s="555" t="n">
        <v>0</v>
      </c>
      <c r="N110" s="556" t="n">
        <v>0.0025</v>
      </c>
      <c r="O110" s="553" t="n">
        <f aca="false">+K110/(1-N110)+M110</f>
        <v>2.37980035592604</v>
      </c>
      <c r="P110" s="557" t="n">
        <f aca="false">Weightings!$C$5</f>
        <v>1309.88291792445</v>
      </c>
      <c r="Q110" s="553" t="n">
        <f aca="false">+P110/SUM($P$9:$P$19)*O110</f>
        <v>0.0391528142982523</v>
      </c>
      <c r="R110" s="553"/>
      <c r="S110" s="273"/>
    </row>
    <row r="111" customFormat="false" ht="12.75" hidden="false" customHeight="false" outlineLevel="0" collapsed="false">
      <c r="A111" s="266" t="s">
        <v>259</v>
      </c>
      <c r="B111" s="317" t="s">
        <v>287</v>
      </c>
      <c r="C111" s="586" t="n">
        <v>2.39</v>
      </c>
      <c r="D111" s="550" t="s">
        <v>260</v>
      </c>
      <c r="E111" s="555" t="n">
        <f aca="false">0.0951+0.0022+0.007</f>
        <v>0.1043</v>
      </c>
      <c r="F111" s="562" t="n">
        <v>0.0228</v>
      </c>
      <c r="G111" s="553" t="n">
        <f aca="false">+C111/(1-F111)+E111</f>
        <v>2.55006340564879</v>
      </c>
      <c r="H111" s="550" t="s">
        <v>256</v>
      </c>
      <c r="I111" s="555" t="n">
        <v>0</v>
      </c>
      <c r="J111" s="556" t="n">
        <v>0.0025</v>
      </c>
      <c r="K111" s="553" t="n">
        <f aca="false">+G111/(1-J111)+I111</f>
        <v>2.5564545420038</v>
      </c>
      <c r="L111" s="550"/>
      <c r="M111" s="555" t="n">
        <v>0</v>
      </c>
      <c r="N111" s="556" t="n">
        <v>0</v>
      </c>
      <c r="O111" s="553" t="n">
        <f aca="false">+K111/(1-N111)+M111</f>
        <v>2.5564545420038</v>
      </c>
      <c r="P111" s="557" t="n">
        <f aca="false">Weightings!$C$6</f>
        <v>19813.4520237259</v>
      </c>
      <c r="Q111" s="553" t="n">
        <f aca="false">+P111/SUM($P$9:$P$19)*O111</f>
        <v>0.636191999234441</v>
      </c>
      <c r="R111" s="553"/>
      <c r="S111" s="273"/>
    </row>
    <row r="112" customFormat="false" ht="12.75" hidden="false" customHeight="false" outlineLevel="0" collapsed="false">
      <c r="A112" s="266" t="s">
        <v>261</v>
      </c>
      <c r="B112" s="317" t="s">
        <v>288</v>
      </c>
      <c r="C112" s="586" t="n">
        <v>2.405</v>
      </c>
      <c r="D112" s="550" t="s">
        <v>262</v>
      </c>
      <c r="E112" s="555" t="n">
        <f aca="false">0.0951+0.0022+0.007</f>
        <v>0.1043</v>
      </c>
      <c r="F112" s="562" t="n">
        <v>0.0228</v>
      </c>
      <c r="G112" s="553" t="n">
        <f aca="false">+C112/(1-F112)+E112</f>
        <v>2.56541338518215</v>
      </c>
      <c r="H112" s="550" t="s">
        <v>256</v>
      </c>
      <c r="I112" s="555" t="n">
        <v>0</v>
      </c>
      <c r="J112" s="556" t="n">
        <v>0.0025</v>
      </c>
      <c r="K112" s="553" t="n">
        <f aca="false">+G112/(1-J112)+I112</f>
        <v>2.57184299266381</v>
      </c>
      <c r="L112" s="550"/>
      <c r="M112" s="555" t="n">
        <v>0</v>
      </c>
      <c r="N112" s="556" t="n">
        <v>0</v>
      </c>
      <c r="O112" s="553" t="n">
        <f aca="false">+K112/(1-N112)+M112</f>
        <v>2.57184299266381</v>
      </c>
      <c r="P112" s="557" t="n">
        <f aca="false">Weightings!$C$7</f>
        <v>669.603363940486</v>
      </c>
      <c r="Q112" s="553" t="n">
        <f aca="false">+P112/SUM($P$9:$P$19)*O112</f>
        <v>0.0216297778798103</v>
      </c>
      <c r="R112" s="553"/>
      <c r="S112" s="558"/>
    </row>
    <row r="113" customFormat="false" ht="12.75" hidden="false" customHeight="false" outlineLevel="0" collapsed="false">
      <c r="A113" s="266" t="s">
        <v>206</v>
      </c>
      <c r="B113" s="317" t="s">
        <v>289</v>
      </c>
      <c r="C113" s="587" t="n">
        <f aca="false">C118</f>
        <v>2.055</v>
      </c>
      <c r="D113" s="550" t="s">
        <v>290</v>
      </c>
      <c r="E113" s="588" t="n">
        <f aca="false">0.0331+0.0022+0.0097</f>
        <v>0.045</v>
      </c>
      <c r="F113" s="589" t="n">
        <v>0.0504</v>
      </c>
      <c r="G113" s="553" t="n">
        <f aca="false">+C113/(1-F113)+E113</f>
        <v>2.20906908171862</v>
      </c>
      <c r="H113" s="550" t="s">
        <v>255</v>
      </c>
      <c r="I113" s="555" t="n">
        <f aca="false">E111</f>
        <v>0.1043</v>
      </c>
      <c r="J113" s="556" t="n">
        <v>0.0228</v>
      </c>
      <c r="K113" s="553" t="n">
        <f aca="false">+G113/(1-J113)+I113</f>
        <v>2.3649110128107</v>
      </c>
      <c r="L113" s="550" t="s">
        <v>256</v>
      </c>
      <c r="M113" s="555" t="n">
        <v>0</v>
      </c>
      <c r="N113" s="556" t="n">
        <v>0.0025</v>
      </c>
      <c r="O113" s="553" t="n">
        <f aca="false">+K113/(1-N113)+M113</f>
        <v>2.3708381080809</v>
      </c>
      <c r="P113" s="557" t="n">
        <f aca="false">Weightings!$C$8</f>
        <v>273.774605247488</v>
      </c>
      <c r="Q113" s="553" t="n">
        <f aca="false">+P113/SUM($P$9:$P$19)*O113</f>
        <v>0.00815239176424346</v>
      </c>
      <c r="R113" s="553"/>
      <c r="S113" s="273"/>
    </row>
    <row r="114" customFormat="false" ht="12.75" hidden="false" customHeight="false" outlineLevel="0" collapsed="false">
      <c r="A114" s="266" t="s">
        <v>207</v>
      </c>
      <c r="B114" s="317" t="s">
        <v>144</v>
      </c>
      <c r="C114" s="587" t="n">
        <f aca="false">C119</f>
        <v>2.175</v>
      </c>
      <c r="D114" s="550" t="s">
        <v>291</v>
      </c>
      <c r="E114" s="588" t="n">
        <f aca="false">0.0305+0.0022+0.0097</f>
        <v>0.0424</v>
      </c>
      <c r="F114" s="589" t="n">
        <v>0.0462</v>
      </c>
      <c r="G114" s="553" t="n">
        <f aca="false">+C114/(1-F114)+E114</f>
        <v>2.32275227511009</v>
      </c>
      <c r="H114" s="550" t="s">
        <v>255</v>
      </c>
      <c r="I114" s="555" t="n">
        <f aca="false">E111</f>
        <v>0.1043</v>
      </c>
      <c r="J114" s="556" t="n">
        <v>0.0228</v>
      </c>
      <c r="K114" s="553" t="n">
        <f aca="false">+G114/(1-J114)+I114</f>
        <v>2.48124665893378</v>
      </c>
      <c r="L114" s="550" t="s">
        <v>256</v>
      </c>
      <c r="M114" s="555" t="n">
        <v>0</v>
      </c>
      <c r="N114" s="556" t="n">
        <v>0.0025</v>
      </c>
      <c r="O114" s="553" t="n">
        <f aca="false">+K114/(1-N114)+M114</f>
        <v>2.48746532223937</v>
      </c>
      <c r="P114" s="557" t="n">
        <f aca="false">Weightings!$C$9</f>
        <v>6.55445647922163</v>
      </c>
      <c r="Q114" s="553" t="n">
        <f aca="false">+P114/SUM($P$9:$P$19)*O114</f>
        <v>0.000204778189952954</v>
      </c>
      <c r="R114" s="553"/>
      <c r="S114" s="273"/>
    </row>
    <row r="115" customFormat="false" ht="12.75" hidden="false" customHeight="false" outlineLevel="0" collapsed="false">
      <c r="A115" s="266" t="s">
        <v>211</v>
      </c>
      <c r="B115" s="317" t="s">
        <v>292</v>
      </c>
      <c r="C115" s="586" t="n">
        <v>2.095</v>
      </c>
      <c r="D115" s="550" t="s">
        <v>269</v>
      </c>
      <c r="E115" s="555" t="n">
        <f aca="false">0.0366+0.0022</f>
        <v>0.0388</v>
      </c>
      <c r="F115" s="562" t="n">
        <v>0.00697</v>
      </c>
      <c r="G115" s="553" t="n">
        <f aca="false">+C115/(1-F115)+E115</f>
        <v>2.14850464135021</v>
      </c>
      <c r="H115" s="550" t="s">
        <v>270</v>
      </c>
      <c r="I115" s="588" t="n">
        <f aca="false">0.017+0.0022</f>
        <v>0.0192</v>
      </c>
      <c r="J115" s="589" t="n">
        <v>0.02902</v>
      </c>
      <c r="K115" s="553" t="n">
        <f aca="false">+G115/(1-J115)+I115</f>
        <v>2.23191770927332</v>
      </c>
      <c r="L115" s="561" t="s">
        <v>271</v>
      </c>
      <c r="M115" s="555" t="n">
        <f aca="false">E116</f>
        <v>0.0226</v>
      </c>
      <c r="N115" s="562" t="n">
        <f aca="false">F116</f>
        <v>0.02776</v>
      </c>
      <c r="O115" s="563" t="n">
        <f aca="false">+K115/(1-N115)+M115</f>
        <v>2.31824480917605</v>
      </c>
      <c r="P115" s="557" t="n">
        <f aca="false">Weightings!$C$13</f>
        <v>31370.607479626</v>
      </c>
      <c r="Q115" s="553" t="n">
        <f aca="false">+P115/SUM($P$9:$P$19)*O115</f>
        <v>0.913423552332187</v>
      </c>
      <c r="R115" s="563"/>
      <c r="S115" s="273"/>
    </row>
    <row r="116" customFormat="false" ht="12.75" hidden="false" customHeight="false" outlineLevel="0" collapsed="false">
      <c r="A116" s="266" t="s">
        <v>212</v>
      </c>
      <c r="B116" s="317" t="s">
        <v>293</v>
      </c>
      <c r="C116" s="586" t="n">
        <v>2.305</v>
      </c>
      <c r="D116" s="550" t="s">
        <v>272</v>
      </c>
      <c r="E116" s="555" t="n">
        <f aca="false">0.0134+0.0022+0.007</f>
        <v>0.0226</v>
      </c>
      <c r="F116" s="562" t="n">
        <v>0.02776</v>
      </c>
      <c r="G116" s="553" t="n">
        <f aca="false">+C116/(1-F116)+E116</f>
        <v>2.39341379083354</v>
      </c>
      <c r="H116" s="550"/>
      <c r="I116" s="555" t="n">
        <v>0</v>
      </c>
      <c r="J116" s="556" t="n">
        <v>0</v>
      </c>
      <c r="K116" s="553" t="n">
        <f aca="false">+G116/(1-J116)+I116</f>
        <v>2.39341379083354</v>
      </c>
      <c r="L116" s="561"/>
      <c r="M116" s="555" t="n">
        <v>0</v>
      </c>
      <c r="N116" s="556" t="n">
        <v>0</v>
      </c>
      <c r="O116" s="553" t="n">
        <f aca="false">+K116/(1-N116)+M116</f>
        <v>2.39341379083354</v>
      </c>
      <c r="P116" s="557" t="n">
        <f aca="false">Weightings!$C$14</f>
        <v>5614.32270168218</v>
      </c>
      <c r="Q116" s="553" t="n">
        <f aca="false">+P116/SUM($P$9:$P$19)*O116</f>
        <v>0.168773843777106</v>
      </c>
      <c r="R116" s="553"/>
      <c r="S116" s="564"/>
    </row>
    <row r="117" customFormat="false" ht="12.75" hidden="false" customHeight="false" outlineLevel="0" collapsed="false">
      <c r="A117" s="266" t="s">
        <v>213</v>
      </c>
      <c r="B117" s="317" t="s">
        <v>294</v>
      </c>
      <c r="C117" s="586" t="n">
        <v>2.035</v>
      </c>
      <c r="D117" s="550" t="s">
        <v>295</v>
      </c>
      <c r="E117" s="588" t="n">
        <f aca="false">0.0299+0.0022+0.0097</f>
        <v>0.0418</v>
      </c>
      <c r="F117" s="589" t="n">
        <v>0.0458</v>
      </c>
      <c r="G117" s="553" t="n">
        <f aca="false">+C117/(1-F117)+E117</f>
        <v>2.17447658771746</v>
      </c>
      <c r="H117" s="550" t="s">
        <v>274</v>
      </c>
      <c r="I117" s="555" t="n">
        <v>0</v>
      </c>
      <c r="J117" s="556" t="n">
        <v>0.01</v>
      </c>
      <c r="K117" s="553" t="n">
        <f aca="false">+G117/(1-J117)+I117</f>
        <v>2.1964409976944</v>
      </c>
      <c r="L117" s="561"/>
      <c r="M117" s="555" t="n">
        <v>0</v>
      </c>
      <c r="N117" s="556" t="n">
        <v>0</v>
      </c>
      <c r="O117" s="553" t="n">
        <f aca="false">+K117/(1-N117)+M117</f>
        <v>2.1964409976944</v>
      </c>
      <c r="P117" s="557" t="n">
        <f aca="false">Weightings!$C$15</f>
        <v>3366</v>
      </c>
      <c r="Q117" s="553" t="n">
        <f aca="false">+P117/SUM($P$9:$P$19)*O117</f>
        <v>0.0928589212017033</v>
      </c>
      <c r="R117" s="553"/>
      <c r="S117" s="273"/>
    </row>
    <row r="118" customFormat="false" ht="12.75" hidden="false" customHeight="false" outlineLevel="0" collapsed="false">
      <c r="A118" s="266" t="s">
        <v>214</v>
      </c>
      <c r="B118" s="317" t="s">
        <v>289</v>
      </c>
      <c r="C118" s="586" t="n">
        <v>2.055</v>
      </c>
      <c r="D118" s="550" t="s">
        <v>296</v>
      </c>
      <c r="E118" s="588" t="n">
        <f aca="false">0.0277+0.0022+0.0097</f>
        <v>0.0396</v>
      </c>
      <c r="F118" s="589" t="n">
        <v>0.0423</v>
      </c>
      <c r="G118" s="553" t="n">
        <f aca="false">+C118/(1-F118)+E118</f>
        <v>2.18536589746267</v>
      </c>
      <c r="H118" s="550" t="s">
        <v>274</v>
      </c>
      <c r="I118" s="555" t="n">
        <v>0</v>
      </c>
      <c r="J118" s="556" t="n">
        <v>0.01</v>
      </c>
      <c r="K118" s="553" t="n">
        <f aca="false">+G118/(1-J118)+I118</f>
        <v>2.20744030046735</v>
      </c>
      <c r="M118" s="555" t="n">
        <v>0</v>
      </c>
      <c r="N118" s="556" t="n">
        <v>0</v>
      </c>
      <c r="O118" s="553" t="n">
        <f aca="false">+K118/(1-N118)+M118</f>
        <v>2.20744030046735</v>
      </c>
      <c r="P118" s="557" t="n">
        <f aca="false">Weightings!$C$16</f>
        <v>4950</v>
      </c>
      <c r="Q118" s="553" t="n">
        <f aca="false">+P118/SUM($P$9:$P$19)*O118</f>
        <v>0.137241086250927</v>
      </c>
      <c r="R118" s="553"/>
      <c r="S118" s="273"/>
    </row>
    <row r="119" customFormat="false" ht="12.75" hidden="false" customHeight="false" outlineLevel="0" collapsed="false">
      <c r="A119" s="266" t="s">
        <v>215</v>
      </c>
      <c r="B119" s="317" t="s">
        <v>144</v>
      </c>
      <c r="C119" s="586" t="n">
        <v>2.175</v>
      </c>
      <c r="D119" s="550" t="s">
        <v>297</v>
      </c>
      <c r="E119" s="588" t="n">
        <f aca="false">0.0251+0.0022+0.0097</f>
        <v>0.037</v>
      </c>
      <c r="F119" s="589" t="n">
        <v>0.0381</v>
      </c>
      <c r="G119" s="553" t="n">
        <f aca="false">+C119/(1-F119)+E119</f>
        <v>2.29814980767232</v>
      </c>
      <c r="H119" s="550" t="s">
        <v>274</v>
      </c>
      <c r="I119" s="555" t="n">
        <v>0</v>
      </c>
      <c r="J119" s="556" t="n">
        <v>0.01</v>
      </c>
      <c r="K119" s="553" t="n">
        <f aca="false">+G119/(1-J119)+I119</f>
        <v>2.32136344209325</v>
      </c>
      <c r="M119" s="555" t="n">
        <v>0</v>
      </c>
      <c r="N119" s="556" t="n">
        <v>0</v>
      </c>
      <c r="O119" s="553" t="n">
        <f aca="false">+K119/(1-N119)+M119</f>
        <v>2.32136344209325</v>
      </c>
      <c r="P119" s="557" t="n">
        <f aca="false">Weightings!$C$17</f>
        <v>11172.1727158949</v>
      </c>
      <c r="Q119" s="553" t="n">
        <f aca="false">+P119/SUM($P$9:$P$19)*O119</f>
        <v>0.325739752867574</v>
      </c>
      <c r="R119" s="553"/>
      <c r="S119" s="273"/>
    </row>
    <row r="120" customFormat="false" ht="12.75" hidden="false" customHeight="false" outlineLevel="0" collapsed="false">
      <c r="O120" s="403"/>
      <c r="P120" s="385"/>
      <c r="Q120" s="403"/>
      <c r="R120" s="403"/>
      <c r="S120" s="565"/>
    </row>
    <row r="121" customFormat="false" ht="13.5" hidden="false" customHeight="false" outlineLevel="0" collapsed="false">
      <c r="O121" s="566"/>
      <c r="P121" s="567"/>
      <c r="Q121" s="566"/>
      <c r="R121" s="566"/>
    </row>
    <row r="122" customFormat="false" ht="13.5" hidden="false" customHeight="false" outlineLevel="0" collapsed="false">
      <c r="O122" s="568" t="s">
        <v>277</v>
      </c>
      <c r="P122" s="569"/>
      <c r="Q122" s="570" t="n">
        <f aca="false">SUM(Q109:Q119)</f>
        <v>2.37625100158515</v>
      </c>
      <c r="R122" s="590" t="n">
        <f aca="false">B107</f>
        <v>37170</v>
      </c>
    </row>
    <row r="123" customFormat="false" ht="12.75" hidden="false" customHeight="false" outlineLevel="0" collapsed="false">
      <c r="O123" s="403"/>
      <c r="P123" s="403"/>
      <c r="Q123" s="403"/>
      <c r="R123" s="403"/>
      <c r="S123" s="403"/>
    </row>
    <row r="124" customFormat="false" ht="12.75" hidden="false" customHeight="false" outlineLevel="0" collapsed="false">
      <c r="D124" s="550"/>
      <c r="H124" s="553"/>
      <c r="O124" s="566" t="s">
        <v>298</v>
      </c>
      <c r="P124" s="571" t="n">
        <f aca="false">Weightings!C123</f>
        <v>0</v>
      </c>
      <c r="Q124" s="403" t="s">
        <v>279</v>
      </c>
      <c r="R124" s="572" t="s">
        <v>280</v>
      </c>
      <c r="S124" s="403"/>
    </row>
    <row r="125" customFormat="false" ht="13.5" hidden="false" customHeight="false" outlineLevel="0" collapsed="false">
      <c r="A125" s="591"/>
      <c r="B125" s="592"/>
      <c r="C125" s="591"/>
      <c r="D125" s="593"/>
      <c r="E125" s="591"/>
      <c r="F125" s="591"/>
      <c r="G125" s="591"/>
      <c r="H125" s="594"/>
      <c r="I125" s="591"/>
      <c r="J125" s="591"/>
      <c r="K125" s="591"/>
      <c r="L125" s="591"/>
      <c r="M125" s="591"/>
      <c r="N125" s="591"/>
      <c r="O125" s="591"/>
      <c r="P125" s="595"/>
      <c r="Q125" s="591"/>
      <c r="R125" s="591"/>
      <c r="S125" s="591"/>
    </row>
    <row r="126" customFormat="false" ht="14.25" hidden="false" customHeight="false" outlineLevel="0" collapsed="false">
      <c r="A126" s="267"/>
      <c r="B126" s="544"/>
      <c r="D126" s="269" t="s">
        <v>241</v>
      </c>
      <c r="H126" s="269" t="s">
        <v>242</v>
      </c>
      <c r="L126" s="269" t="s">
        <v>243</v>
      </c>
    </row>
    <row r="127" customFormat="false" ht="14.25" hidden="false" customHeight="false" outlineLevel="0" collapsed="false">
      <c r="A127" s="582" t="s">
        <v>284</v>
      </c>
      <c r="B127" s="583" t="n">
        <f aca="false">B107+1</f>
        <v>37171</v>
      </c>
      <c r="C127" s="584" t="n">
        <f aca="false">Q142</f>
        <v>2.37625100158515</v>
      </c>
      <c r="E127" s="585"/>
    </row>
    <row r="128" customFormat="false" ht="54" hidden="false" customHeight="true" outlineLevel="0" collapsed="false">
      <c r="A128" s="267" t="s">
        <v>244</v>
      </c>
      <c r="B128" s="315" t="s">
        <v>132</v>
      </c>
      <c r="C128" s="545" t="s">
        <v>286</v>
      </c>
      <c r="D128" s="546" t="s">
        <v>247</v>
      </c>
      <c r="E128" s="547" t="s">
        <v>248</v>
      </c>
      <c r="F128" s="547" t="s">
        <v>249</v>
      </c>
      <c r="G128" s="547" t="s">
        <v>250</v>
      </c>
      <c r="H128" s="546" t="s">
        <v>247</v>
      </c>
      <c r="I128" s="547" t="s">
        <v>248</v>
      </c>
      <c r="J128" s="547" t="s">
        <v>249</v>
      </c>
      <c r="K128" s="547" t="s">
        <v>250</v>
      </c>
      <c r="L128" s="546" t="s">
        <v>247</v>
      </c>
      <c r="M128" s="547" t="s">
        <v>248</v>
      </c>
      <c r="N128" s="547" t="s">
        <v>249</v>
      </c>
      <c r="O128" s="547" t="s">
        <v>250</v>
      </c>
      <c r="P128" s="547" t="s">
        <v>251</v>
      </c>
      <c r="Q128" s="547" t="s">
        <v>252</v>
      </c>
      <c r="R128" s="547"/>
      <c r="S128" s="547"/>
    </row>
    <row r="129" customFormat="false" ht="12.75" hidden="false" customHeight="false" outlineLevel="0" collapsed="false">
      <c r="A129" s="266" t="s">
        <v>253</v>
      </c>
      <c r="B129" s="317" t="s">
        <v>142</v>
      </c>
      <c r="C129" s="586" t="n">
        <v>2.115</v>
      </c>
      <c r="D129" s="550" t="s">
        <v>254</v>
      </c>
      <c r="E129" s="555" t="n">
        <v>0.0522</v>
      </c>
      <c r="F129" s="562" t="n">
        <v>0.0506</v>
      </c>
      <c r="G129" s="553" t="n">
        <f aca="false">+C129/(1-F129)+E129</f>
        <v>2.27992277227723</v>
      </c>
      <c r="H129" s="550" t="s">
        <v>255</v>
      </c>
      <c r="I129" s="555" t="n">
        <f aca="false">E131</f>
        <v>0.1043</v>
      </c>
      <c r="J129" s="556" t="n">
        <v>0.0228</v>
      </c>
      <c r="K129" s="553" t="n">
        <f aca="false">+G129/(1-J129)+I129</f>
        <v>2.43741785947322</v>
      </c>
      <c r="L129" s="550" t="s">
        <v>256</v>
      </c>
      <c r="M129" s="555" t="n">
        <v>0</v>
      </c>
      <c r="N129" s="556" t="n">
        <v>0.0025</v>
      </c>
      <c r="O129" s="553" t="n">
        <f aca="false">+K129/(1-N129)+M129</f>
        <v>2.44352667616363</v>
      </c>
      <c r="P129" s="557" t="n">
        <f aca="false">Weightings!$C$4</f>
        <v>1071.40153987277</v>
      </c>
      <c r="Q129" s="553" t="n">
        <f aca="false">+P129/SUM($P$9:$P$19)*O129</f>
        <v>0.0328820837889541</v>
      </c>
      <c r="R129" s="553"/>
      <c r="S129" s="558"/>
    </row>
    <row r="130" customFormat="false" ht="12.75" hidden="false" customHeight="false" outlineLevel="0" collapsed="false">
      <c r="A130" s="266" t="s">
        <v>257</v>
      </c>
      <c r="B130" s="317" t="s">
        <v>143</v>
      </c>
      <c r="C130" s="586" t="n">
        <v>2.04</v>
      </c>
      <c r="D130" s="550" t="s">
        <v>258</v>
      </c>
      <c r="E130" s="555" t="n">
        <v>0.0522</v>
      </c>
      <c r="F130" s="562" t="n">
        <v>0.058</v>
      </c>
      <c r="G130" s="553" t="n">
        <f aca="false">+C130/(1-F130)+E130</f>
        <v>2.2178050955414</v>
      </c>
      <c r="H130" s="550" t="s">
        <v>255</v>
      </c>
      <c r="I130" s="555" t="n">
        <f aca="false">E131</f>
        <v>0.1043</v>
      </c>
      <c r="J130" s="556" t="n">
        <v>0.0228</v>
      </c>
      <c r="K130" s="553" t="n">
        <f aca="false">+G130/(1-J130)+I130</f>
        <v>2.37385085503623</v>
      </c>
      <c r="L130" s="550" t="s">
        <v>256</v>
      </c>
      <c r="M130" s="555" t="n">
        <v>0</v>
      </c>
      <c r="N130" s="556" t="n">
        <v>0.0025</v>
      </c>
      <c r="O130" s="553" t="n">
        <f aca="false">+K130/(1-N130)+M130</f>
        <v>2.37980035592604</v>
      </c>
      <c r="P130" s="557" t="n">
        <f aca="false">Weightings!$C$5</f>
        <v>1309.88291792445</v>
      </c>
      <c r="Q130" s="553" t="n">
        <f aca="false">+P130/SUM($P$9:$P$19)*O130</f>
        <v>0.0391528142982523</v>
      </c>
      <c r="R130" s="553"/>
      <c r="S130" s="273"/>
    </row>
    <row r="131" customFormat="false" ht="12.75" hidden="false" customHeight="false" outlineLevel="0" collapsed="false">
      <c r="A131" s="266" t="s">
        <v>259</v>
      </c>
      <c r="B131" s="317" t="s">
        <v>287</v>
      </c>
      <c r="C131" s="586" t="n">
        <v>2.39</v>
      </c>
      <c r="D131" s="550" t="s">
        <v>260</v>
      </c>
      <c r="E131" s="555" t="n">
        <f aca="false">0.0951+0.0022+0.007</f>
        <v>0.1043</v>
      </c>
      <c r="F131" s="562" t="n">
        <v>0.0228</v>
      </c>
      <c r="G131" s="553" t="n">
        <f aca="false">+C131/(1-F131)+E131</f>
        <v>2.55006340564879</v>
      </c>
      <c r="H131" s="550" t="s">
        <v>256</v>
      </c>
      <c r="I131" s="555" t="n">
        <v>0</v>
      </c>
      <c r="J131" s="556" t="n">
        <v>0.0025</v>
      </c>
      <c r="K131" s="553" t="n">
        <f aca="false">+G131/(1-J131)+I131</f>
        <v>2.5564545420038</v>
      </c>
      <c r="L131" s="550"/>
      <c r="M131" s="555" t="n">
        <v>0</v>
      </c>
      <c r="N131" s="556" t="n">
        <v>0</v>
      </c>
      <c r="O131" s="553" t="n">
        <f aca="false">+K131/(1-N131)+M131</f>
        <v>2.5564545420038</v>
      </c>
      <c r="P131" s="557" t="n">
        <f aca="false">Weightings!$C$6</f>
        <v>19813.4520237259</v>
      </c>
      <c r="Q131" s="553" t="n">
        <f aca="false">+P131/SUM($P$9:$P$19)*O131</f>
        <v>0.636191999234441</v>
      </c>
      <c r="R131" s="553"/>
      <c r="S131" s="273"/>
    </row>
    <row r="132" customFormat="false" ht="12.75" hidden="false" customHeight="false" outlineLevel="0" collapsed="false">
      <c r="A132" s="266" t="s">
        <v>261</v>
      </c>
      <c r="B132" s="317" t="s">
        <v>288</v>
      </c>
      <c r="C132" s="586" t="n">
        <v>2.405</v>
      </c>
      <c r="D132" s="550" t="s">
        <v>262</v>
      </c>
      <c r="E132" s="555" t="n">
        <f aca="false">0.0951+0.0022+0.007</f>
        <v>0.1043</v>
      </c>
      <c r="F132" s="562" t="n">
        <v>0.0228</v>
      </c>
      <c r="G132" s="553" t="n">
        <f aca="false">+C132/(1-F132)+E132</f>
        <v>2.56541338518215</v>
      </c>
      <c r="H132" s="550" t="s">
        <v>256</v>
      </c>
      <c r="I132" s="555" t="n">
        <v>0</v>
      </c>
      <c r="J132" s="556" t="n">
        <v>0.0025</v>
      </c>
      <c r="K132" s="553" t="n">
        <f aca="false">+G132/(1-J132)+I132</f>
        <v>2.57184299266381</v>
      </c>
      <c r="L132" s="550"/>
      <c r="M132" s="555" t="n">
        <v>0</v>
      </c>
      <c r="N132" s="556" t="n">
        <v>0</v>
      </c>
      <c r="O132" s="553" t="n">
        <f aca="false">+K132/(1-N132)+M132</f>
        <v>2.57184299266381</v>
      </c>
      <c r="P132" s="557" t="n">
        <f aca="false">Weightings!$C$7</f>
        <v>669.603363940486</v>
      </c>
      <c r="Q132" s="553" t="n">
        <f aca="false">+P132/SUM($P$9:$P$19)*O132</f>
        <v>0.0216297778798103</v>
      </c>
      <c r="R132" s="553"/>
      <c r="S132" s="558"/>
    </row>
    <row r="133" customFormat="false" ht="12.75" hidden="false" customHeight="false" outlineLevel="0" collapsed="false">
      <c r="A133" s="266" t="s">
        <v>206</v>
      </c>
      <c r="B133" s="317" t="s">
        <v>289</v>
      </c>
      <c r="C133" s="587" t="n">
        <f aca="false">C138</f>
        <v>2.055</v>
      </c>
      <c r="D133" s="550" t="s">
        <v>290</v>
      </c>
      <c r="E133" s="588" t="n">
        <f aca="false">0.0331+0.0022+0.0097</f>
        <v>0.045</v>
      </c>
      <c r="F133" s="589" t="n">
        <v>0.0504</v>
      </c>
      <c r="G133" s="553" t="n">
        <f aca="false">+C133/(1-F133)+E133</f>
        <v>2.20906908171862</v>
      </c>
      <c r="H133" s="550" t="s">
        <v>255</v>
      </c>
      <c r="I133" s="555" t="n">
        <f aca="false">E131</f>
        <v>0.1043</v>
      </c>
      <c r="J133" s="556" t="n">
        <v>0.0228</v>
      </c>
      <c r="K133" s="553" t="n">
        <f aca="false">+G133/(1-J133)+I133</f>
        <v>2.3649110128107</v>
      </c>
      <c r="L133" s="550" t="s">
        <v>256</v>
      </c>
      <c r="M133" s="555" t="n">
        <v>0</v>
      </c>
      <c r="N133" s="556" t="n">
        <v>0.0025</v>
      </c>
      <c r="O133" s="553" t="n">
        <f aca="false">+K133/(1-N133)+M133</f>
        <v>2.3708381080809</v>
      </c>
      <c r="P133" s="557" t="n">
        <f aca="false">Weightings!$C$8</f>
        <v>273.774605247488</v>
      </c>
      <c r="Q133" s="553" t="n">
        <f aca="false">+P133/SUM($P$9:$P$19)*O133</f>
        <v>0.00815239176424346</v>
      </c>
      <c r="R133" s="553"/>
      <c r="S133" s="273"/>
    </row>
    <row r="134" customFormat="false" ht="12.75" hidden="false" customHeight="false" outlineLevel="0" collapsed="false">
      <c r="A134" s="266" t="s">
        <v>207</v>
      </c>
      <c r="B134" s="317" t="s">
        <v>144</v>
      </c>
      <c r="C134" s="587" t="n">
        <f aca="false">C139</f>
        <v>2.175</v>
      </c>
      <c r="D134" s="550" t="s">
        <v>291</v>
      </c>
      <c r="E134" s="588" t="n">
        <f aca="false">0.0305+0.0022+0.0097</f>
        <v>0.0424</v>
      </c>
      <c r="F134" s="589" t="n">
        <v>0.0462</v>
      </c>
      <c r="G134" s="553" t="n">
        <f aca="false">+C134/(1-F134)+E134</f>
        <v>2.32275227511009</v>
      </c>
      <c r="H134" s="550" t="s">
        <v>255</v>
      </c>
      <c r="I134" s="555" t="n">
        <f aca="false">E131</f>
        <v>0.1043</v>
      </c>
      <c r="J134" s="556" t="n">
        <v>0.0228</v>
      </c>
      <c r="K134" s="553" t="n">
        <f aca="false">+G134/(1-J134)+I134</f>
        <v>2.48124665893378</v>
      </c>
      <c r="L134" s="550" t="s">
        <v>256</v>
      </c>
      <c r="M134" s="555" t="n">
        <v>0</v>
      </c>
      <c r="N134" s="556" t="n">
        <v>0.0025</v>
      </c>
      <c r="O134" s="553" t="n">
        <f aca="false">+K134/(1-N134)+M134</f>
        <v>2.48746532223937</v>
      </c>
      <c r="P134" s="557" t="n">
        <f aca="false">Weightings!$C$9</f>
        <v>6.55445647922163</v>
      </c>
      <c r="Q134" s="553" t="n">
        <f aca="false">+P134/SUM($P$9:$P$19)*O134</f>
        <v>0.000204778189952954</v>
      </c>
      <c r="R134" s="553"/>
      <c r="S134" s="273"/>
    </row>
    <row r="135" customFormat="false" ht="12.75" hidden="false" customHeight="false" outlineLevel="0" collapsed="false">
      <c r="A135" s="266" t="s">
        <v>211</v>
      </c>
      <c r="B135" s="317" t="s">
        <v>292</v>
      </c>
      <c r="C135" s="586" t="n">
        <v>2.095</v>
      </c>
      <c r="D135" s="550" t="s">
        <v>269</v>
      </c>
      <c r="E135" s="555" t="n">
        <f aca="false">0.0366+0.0022</f>
        <v>0.0388</v>
      </c>
      <c r="F135" s="562" t="n">
        <v>0.00697</v>
      </c>
      <c r="G135" s="553" t="n">
        <f aca="false">+C135/(1-F135)+E135</f>
        <v>2.14850464135021</v>
      </c>
      <c r="H135" s="550" t="s">
        <v>270</v>
      </c>
      <c r="I135" s="588" t="n">
        <f aca="false">0.017+0.0022</f>
        <v>0.0192</v>
      </c>
      <c r="J135" s="589" t="n">
        <v>0.02902</v>
      </c>
      <c r="K135" s="553" t="n">
        <f aca="false">+G135/(1-J135)+I135</f>
        <v>2.23191770927332</v>
      </c>
      <c r="L135" s="561" t="s">
        <v>271</v>
      </c>
      <c r="M135" s="555" t="n">
        <f aca="false">E136</f>
        <v>0.0226</v>
      </c>
      <c r="N135" s="562" t="n">
        <f aca="false">F136</f>
        <v>0.02776</v>
      </c>
      <c r="O135" s="563" t="n">
        <f aca="false">+K135/(1-N135)+M135</f>
        <v>2.31824480917605</v>
      </c>
      <c r="P135" s="557" t="n">
        <f aca="false">Weightings!$C$13</f>
        <v>31370.607479626</v>
      </c>
      <c r="Q135" s="553" t="n">
        <f aca="false">+P135/SUM($P$9:$P$19)*O135</f>
        <v>0.913423552332187</v>
      </c>
      <c r="R135" s="563"/>
      <c r="S135" s="273"/>
    </row>
    <row r="136" customFormat="false" ht="12.75" hidden="false" customHeight="false" outlineLevel="0" collapsed="false">
      <c r="A136" s="266" t="s">
        <v>212</v>
      </c>
      <c r="B136" s="317" t="s">
        <v>293</v>
      </c>
      <c r="C136" s="586" t="n">
        <v>2.305</v>
      </c>
      <c r="D136" s="550" t="s">
        <v>272</v>
      </c>
      <c r="E136" s="555" t="n">
        <f aca="false">0.0134+0.0022+0.007</f>
        <v>0.0226</v>
      </c>
      <c r="F136" s="562" t="n">
        <v>0.02776</v>
      </c>
      <c r="G136" s="553" t="n">
        <f aca="false">+C136/(1-F136)+E136</f>
        <v>2.39341379083354</v>
      </c>
      <c r="H136" s="550"/>
      <c r="I136" s="555" t="n">
        <v>0</v>
      </c>
      <c r="J136" s="556" t="n">
        <v>0</v>
      </c>
      <c r="K136" s="553" t="n">
        <f aca="false">+G136/(1-J136)+I136</f>
        <v>2.39341379083354</v>
      </c>
      <c r="L136" s="561"/>
      <c r="M136" s="555" t="n">
        <v>0</v>
      </c>
      <c r="N136" s="556" t="n">
        <v>0</v>
      </c>
      <c r="O136" s="553" t="n">
        <f aca="false">+K136/(1-N136)+M136</f>
        <v>2.39341379083354</v>
      </c>
      <c r="P136" s="557" t="n">
        <f aca="false">Weightings!$C$14</f>
        <v>5614.32270168218</v>
      </c>
      <c r="Q136" s="553" t="n">
        <f aca="false">+P136/SUM($P$9:$P$19)*O136</f>
        <v>0.168773843777106</v>
      </c>
      <c r="R136" s="553"/>
      <c r="S136" s="564"/>
    </row>
    <row r="137" customFormat="false" ht="12.75" hidden="false" customHeight="false" outlineLevel="0" collapsed="false">
      <c r="A137" s="266" t="s">
        <v>213</v>
      </c>
      <c r="B137" s="317" t="s">
        <v>294</v>
      </c>
      <c r="C137" s="586" t="n">
        <v>2.035</v>
      </c>
      <c r="D137" s="550" t="s">
        <v>295</v>
      </c>
      <c r="E137" s="588" t="n">
        <f aca="false">0.0299+0.0022+0.0097</f>
        <v>0.0418</v>
      </c>
      <c r="F137" s="589" t="n">
        <v>0.0458</v>
      </c>
      <c r="G137" s="553" t="n">
        <f aca="false">+C137/(1-F137)+E137</f>
        <v>2.17447658771746</v>
      </c>
      <c r="H137" s="550" t="s">
        <v>274</v>
      </c>
      <c r="I137" s="555" t="n">
        <v>0</v>
      </c>
      <c r="J137" s="556" t="n">
        <v>0.01</v>
      </c>
      <c r="K137" s="553" t="n">
        <f aca="false">+G137/(1-J137)+I137</f>
        <v>2.1964409976944</v>
      </c>
      <c r="L137" s="561"/>
      <c r="M137" s="555" t="n">
        <v>0</v>
      </c>
      <c r="N137" s="556" t="n">
        <v>0</v>
      </c>
      <c r="O137" s="553" t="n">
        <f aca="false">+K137/(1-N137)+M137</f>
        <v>2.1964409976944</v>
      </c>
      <c r="P137" s="557" t="n">
        <f aca="false">Weightings!$C$15</f>
        <v>3366</v>
      </c>
      <c r="Q137" s="553" t="n">
        <f aca="false">+P137/SUM($P$9:$P$19)*O137</f>
        <v>0.0928589212017033</v>
      </c>
      <c r="R137" s="553"/>
      <c r="S137" s="273"/>
    </row>
    <row r="138" customFormat="false" ht="12.75" hidden="false" customHeight="false" outlineLevel="0" collapsed="false">
      <c r="A138" s="266" t="s">
        <v>214</v>
      </c>
      <c r="B138" s="317" t="s">
        <v>289</v>
      </c>
      <c r="C138" s="586" t="n">
        <v>2.055</v>
      </c>
      <c r="D138" s="550" t="s">
        <v>296</v>
      </c>
      <c r="E138" s="588" t="n">
        <f aca="false">0.0277+0.0022+0.0097</f>
        <v>0.0396</v>
      </c>
      <c r="F138" s="589" t="n">
        <v>0.0423</v>
      </c>
      <c r="G138" s="553" t="n">
        <f aca="false">+C138/(1-F138)+E138</f>
        <v>2.18536589746267</v>
      </c>
      <c r="H138" s="550" t="s">
        <v>274</v>
      </c>
      <c r="I138" s="555" t="n">
        <v>0</v>
      </c>
      <c r="J138" s="556" t="n">
        <v>0.01</v>
      </c>
      <c r="K138" s="553" t="n">
        <f aca="false">+G138/(1-J138)+I138</f>
        <v>2.20744030046735</v>
      </c>
      <c r="M138" s="555" t="n">
        <v>0</v>
      </c>
      <c r="N138" s="556" t="n">
        <v>0</v>
      </c>
      <c r="O138" s="553" t="n">
        <f aca="false">+K138/(1-N138)+M138</f>
        <v>2.20744030046735</v>
      </c>
      <c r="P138" s="557" t="n">
        <f aca="false">Weightings!$C$16</f>
        <v>4950</v>
      </c>
      <c r="Q138" s="553" t="n">
        <f aca="false">+P138/SUM($P$9:$P$19)*O138</f>
        <v>0.137241086250927</v>
      </c>
      <c r="R138" s="553"/>
      <c r="S138" s="273"/>
    </row>
    <row r="139" customFormat="false" ht="12.75" hidden="false" customHeight="false" outlineLevel="0" collapsed="false">
      <c r="A139" s="266" t="s">
        <v>215</v>
      </c>
      <c r="B139" s="317" t="s">
        <v>144</v>
      </c>
      <c r="C139" s="586" t="n">
        <v>2.175</v>
      </c>
      <c r="D139" s="550" t="s">
        <v>297</v>
      </c>
      <c r="E139" s="588" t="n">
        <f aca="false">0.0251+0.0022+0.0097</f>
        <v>0.037</v>
      </c>
      <c r="F139" s="589" t="n">
        <v>0.0381</v>
      </c>
      <c r="G139" s="553" t="n">
        <f aca="false">+C139/(1-F139)+E139</f>
        <v>2.29814980767232</v>
      </c>
      <c r="H139" s="550" t="s">
        <v>274</v>
      </c>
      <c r="I139" s="555" t="n">
        <v>0</v>
      </c>
      <c r="J139" s="556" t="n">
        <v>0.01</v>
      </c>
      <c r="K139" s="553" t="n">
        <f aca="false">+G139/(1-J139)+I139</f>
        <v>2.32136344209325</v>
      </c>
      <c r="M139" s="555" t="n">
        <v>0</v>
      </c>
      <c r="N139" s="556" t="n">
        <v>0</v>
      </c>
      <c r="O139" s="553" t="n">
        <f aca="false">+K139/(1-N139)+M139</f>
        <v>2.32136344209325</v>
      </c>
      <c r="P139" s="557" t="n">
        <f aca="false">Weightings!$C$17</f>
        <v>11172.1727158949</v>
      </c>
      <c r="Q139" s="553" t="n">
        <f aca="false">+P139/SUM($P$9:$P$19)*O139</f>
        <v>0.325739752867574</v>
      </c>
      <c r="R139" s="553"/>
      <c r="S139" s="273"/>
    </row>
    <row r="140" customFormat="false" ht="12.75" hidden="false" customHeight="false" outlineLevel="0" collapsed="false">
      <c r="O140" s="403"/>
      <c r="P140" s="385"/>
      <c r="Q140" s="403"/>
      <c r="R140" s="403"/>
      <c r="S140" s="565"/>
    </row>
    <row r="141" customFormat="false" ht="13.5" hidden="false" customHeight="false" outlineLevel="0" collapsed="false">
      <c r="O141" s="566"/>
      <c r="P141" s="567"/>
      <c r="Q141" s="566"/>
      <c r="R141" s="566"/>
    </row>
    <row r="142" customFormat="false" ht="13.5" hidden="false" customHeight="false" outlineLevel="0" collapsed="false">
      <c r="O142" s="568" t="s">
        <v>277</v>
      </c>
      <c r="P142" s="569"/>
      <c r="Q142" s="570" t="n">
        <f aca="false">SUM(Q129:Q139)</f>
        <v>2.37625100158515</v>
      </c>
      <c r="R142" s="590" t="n">
        <f aca="false">B127</f>
        <v>37171</v>
      </c>
    </row>
    <row r="143" customFormat="false" ht="12.75" hidden="false" customHeight="false" outlineLevel="0" collapsed="false">
      <c r="O143" s="403"/>
      <c r="P143" s="403"/>
      <c r="Q143" s="403"/>
      <c r="R143" s="403"/>
      <c r="S143" s="403"/>
    </row>
    <row r="144" customFormat="false" ht="12.75" hidden="false" customHeight="false" outlineLevel="0" collapsed="false">
      <c r="D144" s="550"/>
      <c r="H144" s="553"/>
      <c r="O144" s="566" t="s">
        <v>298</v>
      </c>
      <c r="P144" s="571" t="n">
        <f aca="false">Weightings!C143</f>
        <v>0</v>
      </c>
      <c r="Q144" s="403" t="s">
        <v>279</v>
      </c>
      <c r="R144" s="572" t="s">
        <v>280</v>
      </c>
      <c r="S144" s="403"/>
    </row>
    <row r="145" customFormat="false" ht="13.5" hidden="false" customHeight="false" outlineLevel="0" collapsed="false">
      <c r="A145" s="591"/>
      <c r="B145" s="592"/>
      <c r="C145" s="591"/>
      <c r="D145" s="593"/>
      <c r="E145" s="591"/>
      <c r="F145" s="591"/>
      <c r="G145" s="591"/>
      <c r="H145" s="594"/>
      <c r="I145" s="591"/>
      <c r="J145" s="591"/>
      <c r="K145" s="591"/>
      <c r="L145" s="591"/>
      <c r="M145" s="591"/>
      <c r="N145" s="591"/>
      <c r="O145" s="591"/>
      <c r="P145" s="595"/>
      <c r="Q145" s="591"/>
      <c r="R145" s="591"/>
      <c r="S145" s="591"/>
    </row>
    <row r="146" customFormat="false" ht="14.25" hidden="false" customHeight="false" outlineLevel="0" collapsed="false">
      <c r="A146" s="267"/>
      <c r="B146" s="544"/>
      <c r="D146" s="269" t="s">
        <v>241</v>
      </c>
      <c r="H146" s="269" t="s">
        <v>242</v>
      </c>
      <c r="L146" s="269" t="s">
        <v>243</v>
      </c>
    </row>
    <row r="147" customFormat="false" ht="14.25" hidden="false" customHeight="false" outlineLevel="0" collapsed="false">
      <c r="A147" s="582" t="s">
        <v>284</v>
      </c>
      <c r="B147" s="583" t="n">
        <f aca="false">B127+1</f>
        <v>37172</v>
      </c>
      <c r="C147" s="584" t="n">
        <f aca="false">Q162</f>
        <v>2.37625100158515</v>
      </c>
      <c r="E147" s="585"/>
    </row>
    <row r="148" customFormat="false" ht="54" hidden="false" customHeight="true" outlineLevel="0" collapsed="false">
      <c r="A148" s="267" t="s">
        <v>244</v>
      </c>
      <c r="B148" s="315" t="s">
        <v>132</v>
      </c>
      <c r="C148" s="545" t="s">
        <v>286</v>
      </c>
      <c r="D148" s="546" t="s">
        <v>247</v>
      </c>
      <c r="E148" s="547" t="s">
        <v>248</v>
      </c>
      <c r="F148" s="547" t="s">
        <v>249</v>
      </c>
      <c r="G148" s="547" t="s">
        <v>250</v>
      </c>
      <c r="H148" s="546" t="s">
        <v>247</v>
      </c>
      <c r="I148" s="547" t="s">
        <v>248</v>
      </c>
      <c r="J148" s="547" t="s">
        <v>249</v>
      </c>
      <c r="K148" s="547" t="s">
        <v>250</v>
      </c>
      <c r="L148" s="546" t="s">
        <v>247</v>
      </c>
      <c r="M148" s="547" t="s">
        <v>248</v>
      </c>
      <c r="N148" s="547" t="s">
        <v>249</v>
      </c>
      <c r="O148" s="547" t="s">
        <v>250</v>
      </c>
      <c r="P148" s="547" t="s">
        <v>251</v>
      </c>
      <c r="Q148" s="547" t="s">
        <v>252</v>
      </c>
      <c r="R148" s="547"/>
      <c r="S148" s="547"/>
    </row>
    <row r="149" customFormat="false" ht="12.75" hidden="false" customHeight="false" outlineLevel="0" collapsed="false">
      <c r="A149" s="266" t="s">
        <v>253</v>
      </c>
      <c r="B149" s="317" t="s">
        <v>142</v>
      </c>
      <c r="C149" s="586" t="n">
        <v>2.115</v>
      </c>
      <c r="D149" s="550" t="s">
        <v>254</v>
      </c>
      <c r="E149" s="555" t="n">
        <v>0.0522</v>
      </c>
      <c r="F149" s="562" t="n">
        <v>0.0506</v>
      </c>
      <c r="G149" s="553" t="n">
        <f aca="false">+C149/(1-F149)+E149</f>
        <v>2.27992277227723</v>
      </c>
      <c r="H149" s="550" t="s">
        <v>255</v>
      </c>
      <c r="I149" s="555" t="n">
        <f aca="false">E151</f>
        <v>0.1043</v>
      </c>
      <c r="J149" s="556" t="n">
        <v>0.0228</v>
      </c>
      <c r="K149" s="553" t="n">
        <f aca="false">+G149/(1-J149)+I149</f>
        <v>2.43741785947322</v>
      </c>
      <c r="L149" s="550" t="s">
        <v>256</v>
      </c>
      <c r="M149" s="555" t="n">
        <v>0</v>
      </c>
      <c r="N149" s="556" t="n">
        <v>0.0025</v>
      </c>
      <c r="O149" s="553" t="n">
        <f aca="false">+K149/(1-N149)+M149</f>
        <v>2.44352667616363</v>
      </c>
      <c r="P149" s="557" t="n">
        <f aca="false">Weightings!$C$4</f>
        <v>1071.40153987277</v>
      </c>
      <c r="Q149" s="553" t="n">
        <f aca="false">+P149/SUM($P$9:$P$19)*O149</f>
        <v>0.0328820837889541</v>
      </c>
      <c r="R149" s="553"/>
      <c r="S149" s="558"/>
    </row>
    <row r="150" customFormat="false" ht="12.75" hidden="false" customHeight="false" outlineLevel="0" collapsed="false">
      <c r="A150" s="266" t="s">
        <v>257</v>
      </c>
      <c r="B150" s="317" t="s">
        <v>143</v>
      </c>
      <c r="C150" s="586" t="n">
        <v>2.04</v>
      </c>
      <c r="D150" s="550" t="s">
        <v>258</v>
      </c>
      <c r="E150" s="555" t="n">
        <v>0.0522</v>
      </c>
      <c r="F150" s="562" t="n">
        <v>0.058</v>
      </c>
      <c r="G150" s="553" t="n">
        <f aca="false">+C150/(1-F150)+E150</f>
        <v>2.2178050955414</v>
      </c>
      <c r="H150" s="550" t="s">
        <v>255</v>
      </c>
      <c r="I150" s="555" t="n">
        <f aca="false">E151</f>
        <v>0.1043</v>
      </c>
      <c r="J150" s="556" t="n">
        <v>0.0228</v>
      </c>
      <c r="K150" s="553" t="n">
        <f aca="false">+G150/(1-J150)+I150</f>
        <v>2.37385085503623</v>
      </c>
      <c r="L150" s="550" t="s">
        <v>256</v>
      </c>
      <c r="M150" s="555" t="n">
        <v>0</v>
      </c>
      <c r="N150" s="556" t="n">
        <v>0.0025</v>
      </c>
      <c r="O150" s="553" t="n">
        <f aca="false">+K150/(1-N150)+M150</f>
        <v>2.37980035592604</v>
      </c>
      <c r="P150" s="557" t="n">
        <f aca="false">Weightings!$C$5</f>
        <v>1309.88291792445</v>
      </c>
      <c r="Q150" s="553" t="n">
        <f aca="false">+P150/SUM($P$9:$P$19)*O150</f>
        <v>0.0391528142982523</v>
      </c>
      <c r="R150" s="553"/>
      <c r="S150" s="273"/>
    </row>
    <row r="151" customFormat="false" ht="12.75" hidden="false" customHeight="false" outlineLevel="0" collapsed="false">
      <c r="A151" s="266" t="s">
        <v>259</v>
      </c>
      <c r="B151" s="317" t="s">
        <v>287</v>
      </c>
      <c r="C151" s="586" t="n">
        <v>2.39</v>
      </c>
      <c r="D151" s="550" t="s">
        <v>260</v>
      </c>
      <c r="E151" s="555" t="n">
        <f aca="false">0.0951+0.0022+0.007</f>
        <v>0.1043</v>
      </c>
      <c r="F151" s="562" t="n">
        <v>0.0228</v>
      </c>
      <c r="G151" s="553" t="n">
        <f aca="false">+C151/(1-F151)+E151</f>
        <v>2.55006340564879</v>
      </c>
      <c r="H151" s="550" t="s">
        <v>256</v>
      </c>
      <c r="I151" s="555" t="n">
        <v>0</v>
      </c>
      <c r="J151" s="556" t="n">
        <v>0.0025</v>
      </c>
      <c r="K151" s="553" t="n">
        <f aca="false">+G151/(1-J151)+I151</f>
        <v>2.5564545420038</v>
      </c>
      <c r="L151" s="550"/>
      <c r="M151" s="555" t="n">
        <v>0</v>
      </c>
      <c r="N151" s="556" t="n">
        <v>0</v>
      </c>
      <c r="O151" s="553" t="n">
        <f aca="false">+K151/(1-N151)+M151</f>
        <v>2.5564545420038</v>
      </c>
      <c r="P151" s="557" t="n">
        <f aca="false">Weightings!$C$6</f>
        <v>19813.4520237259</v>
      </c>
      <c r="Q151" s="553" t="n">
        <f aca="false">+P151/SUM($P$9:$P$19)*O151</f>
        <v>0.636191999234441</v>
      </c>
      <c r="R151" s="553"/>
      <c r="S151" s="273"/>
    </row>
    <row r="152" customFormat="false" ht="12.75" hidden="false" customHeight="false" outlineLevel="0" collapsed="false">
      <c r="A152" s="266" t="s">
        <v>261</v>
      </c>
      <c r="B152" s="317" t="s">
        <v>288</v>
      </c>
      <c r="C152" s="586" t="n">
        <v>2.405</v>
      </c>
      <c r="D152" s="550" t="s">
        <v>262</v>
      </c>
      <c r="E152" s="555" t="n">
        <f aca="false">0.0951+0.0022+0.007</f>
        <v>0.1043</v>
      </c>
      <c r="F152" s="562" t="n">
        <v>0.0228</v>
      </c>
      <c r="G152" s="553" t="n">
        <f aca="false">+C152/(1-F152)+E152</f>
        <v>2.56541338518215</v>
      </c>
      <c r="H152" s="550" t="s">
        <v>256</v>
      </c>
      <c r="I152" s="555" t="n">
        <v>0</v>
      </c>
      <c r="J152" s="556" t="n">
        <v>0.0025</v>
      </c>
      <c r="K152" s="553" t="n">
        <f aca="false">+G152/(1-J152)+I152</f>
        <v>2.57184299266381</v>
      </c>
      <c r="L152" s="550"/>
      <c r="M152" s="555" t="n">
        <v>0</v>
      </c>
      <c r="N152" s="556" t="n">
        <v>0</v>
      </c>
      <c r="O152" s="553" t="n">
        <f aca="false">+K152/(1-N152)+M152</f>
        <v>2.57184299266381</v>
      </c>
      <c r="P152" s="557" t="n">
        <f aca="false">Weightings!$C$7</f>
        <v>669.603363940486</v>
      </c>
      <c r="Q152" s="553" t="n">
        <f aca="false">+P152/SUM($P$9:$P$19)*O152</f>
        <v>0.0216297778798103</v>
      </c>
      <c r="R152" s="553"/>
      <c r="S152" s="558"/>
    </row>
    <row r="153" customFormat="false" ht="12.75" hidden="false" customHeight="false" outlineLevel="0" collapsed="false">
      <c r="A153" s="266" t="s">
        <v>206</v>
      </c>
      <c r="B153" s="317" t="s">
        <v>289</v>
      </c>
      <c r="C153" s="587" t="n">
        <f aca="false">C158</f>
        <v>2.055</v>
      </c>
      <c r="D153" s="550" t="s">
        <v>290</v>
      </c>
      <c r="E153" s="588" t="n">
        <f aca="false">0.0331+0.0022+0.0097</f>
        <v>0.045</v>
      </c>
      <c r="F153" s="589" t="n">
        <v>0.0504</v>
      </c>
      <c r="G153" s="553" t="n">
        <f aca="false">+C153/(1-F153)+E153</f>
        <v>2.20906908171862</v>
      </c>
      <c r="H153" s="550" t="s">
        <v>255</v>
      </c>
      <c r="I153" s="555" t="n">
        <f aca="false">E151</f>
        <v>0.1043</v>
      </c>
      <c r="J153" s="556" t="n">
        <v>0.0228</v>
      </c>
      <c r="K153" s="553" t="n">
        <f aca="false">+G153/(1-J153)+I153</f>
        <v>2.3649110128107</v>
      </c>
      <c r="L153" s="550" t="s">
        <v>256</v>
      </c>
      <c r="M153" s="555" t="n">
        <v>0</v>
      </c>
      <c r="N153" s="556" t="n">
        <v>0.0025</v>
      </c>
      <c r="O153" s="553" t="n">
        <f aca="false">+K153/(1-N153)+M153</f>
        <v>2.3708381080809</v>
      </c>
      <c r="P153" s="557" t="n">
        <f aca="false">Weightings!$C$8</f>
        <v>273.774605247488</v>
      </c>
      <c r="Q153" s="553" t="n">
        <f aca="false">+P153/SUM($P$9:$P$19)*O153</f>
        <v>0.00815239176424346</v>
      </c>
      <c r="R153" s="553"/>
      <c r="S153" s="273"/>
    </row>
    <row r="154" customFormat="false" ht="12.75" hidden="false" customHeight="false" outlineLevel="0" collapsed="false">
      <c r="A154" s="266" t="s">
        <v>207</v>
      </c>
      <c r="B154" s="317" t="s">
        <v>144</v>
      </c>
      <c r="C154" s="587" t="n">
        <f aca="false">C159</f>
        <v>2.175</v>
      </c>
      <c r="D154" s="550" t="s">
        <v>291</v>
      </c>
      <c r="E154" s="588" t="n">
        <f aca="false">0.0305+0.0022+0.0097</f>
        <v>0.0424</v>
      </c>
      <c r="F154" s="589" t="n">
        <v>0.0462</v>
      </c>
      <c r="G154" s="553" t="n">
        <f aca="false">+C154/(1-F154)+E154</f>
        <v>2.32275227511009</v>
      </c>
      <c r="H154" s="550" t="s">
        <v>255</v>
      </c>
      <c r="I154" s="555" t="n">
        <f aca="false">E151</f>
        <v>0.1043</v>
      </c>
      <c r="J154" s="556" t="n">
        <v>0.0228</v>
      </c>
      <c r="K154" s="553" t="n">
        <f aca="false">+G154/(1-J154)+I154</f>
        <v>2.48124665893378</v>
      </c>
      <c r="L154" s="550" t="s">
        <v>256</v>
      </c>
      <c r="M154" s="555" t="n">
        <v>0</v>
      </c>
      <c r="N154" s="556" t="n">
        <v>0.0025</v>
      </c>
      <c r="O154" s="553" t="n">
        <f aca="false">+K154/(1-N154)+M154</f>
        <v>2.48746532223937</v>
      </c>
      <c r="P154" s="557" t="n">
        <f aca="false">Weightings!$C$9</f>
        <v>6.55445647922163</v>
      </c>
      <c r="Q154" s="553" t="n">
        <f aca="false">+P154/SUM($P$9:$P$19)*O154</f>
        <v>0.000204778189952954</v>
      </c>
      <c r="R154" s="553"/>
      <c r="S154" s="273"/>
    </row>
    <row r="155" customFormat="false" ht="12.75" hidden="false" customHeight="false" outlineLevel="0" collapsed="false">
      <c r="A155" s="266" t="s">
        <v>211</v>
      </c>
      <c r="B155" s="317" t="s">
        <v>292</v>
      </c>
      <c r="C155" s="586" t="n">
        <v>2.095</v>
      </c>
      <c r="D155" s="550" t="s">
        <v>269</v>
      </c>
      <c r="E155" s="555" t="n">
        <f aca="false">0.0366+0.0022</f>
        <v>0.0388</v>
      </c>
      <c r="F155" s="562" t="n">
        <v>0.00697</v>
      </c>
      <c r="G155" s="553" t="n">
        <f aca="false">+C155/(1-F155)+E155</f>
        <v>2.14850464135021</v>
      </c>
      <c r="H155" s="550" t="s">
        <v>270</v>
      </c>
      <c r="I155" s="588" t="n">
        <f aca="false">0.017+0.0022</f>
        <v>0.0192</v>
      </c>
      <c r="J155" s="589" t="n">
        <v>0.02902</v>
      </c>
      <c r="K155" s="553" t="n">
        <f aca="false">+G155/(1-J155)+I155</f>
        <v>2.23191770927332</v>
      </c>
      <c r="L155" s="561" t="s">
        <v>271</v>
      </c>
      <c r="M155" s="555" t="n">
        <f aca="false">E156</f>
        <v>0.0226</v>
      </c>
      <c r="N155" s="562" t="n">
        <f aca="false">F156</f>
        <v>0.02776</v>
      </c>
      <c r="O155" s="563" t="n">
        <f aca="false">+K155/(1-N155)+M155</f>
        <v>2.31824480917605</v>
      </c>
      <c r="P155" s="557" t="n">
        <f aca="false">Weightings!$C$13</f>
        <v>31370.607479626</v>
      </c>
      <c r="Q155" s="553" t="n">
        <f aca="false">+P155/SUM($P$9:$P$19)*O155</f>
        <v>0.913423552332187</v>
      </c>
      <c r="R155" s="563"/>
      <c r="S155" s="273"/>
    </row>
    <row r="156" customFormat="false" ht="12.75" hidden="false" customHeight="false" outlineLevel="0" collapsed="false">
      <c r="A156" s="266" t="s">
        <v>212</v>
      </c>
      <c r="B156" s="317" t="s">
        <v>293</v>
      </c>
      <c r="C156" s="586" t="n">
        <v>2.305</v>
      </c>
      <c r="D156" s="550" t="s">
        <v>272</v>
      </c>
      <c r="E156" s="555" t="n">
        <f aca="false">0.0134+0.0022+0.007</f>
        <v>0.0226</v>
      </c>
      <c r="F156" s="562" t="n">
        <v>0.02776</v>
      </c>
      <c r="G156" s="553" t="n">
        <f aca="false">+C156/(1-F156)+E156</f>
        <v>2.39341379083354</v>
      </c>
      <c r="H156" s="550"/>
      <c r="I156" s="555" t="n">
        <v>0</v>
      </c>
      <c r="J156" s="556" t="n">
        <v>0</v>
      </c>
      <c r="K156" s="553" t="n">
        <f aca="false">+G156/(1-J156)+I156</f>
        <v>2.39341379083354</v>
      </c>
      <c r="L156" s="561"/>
      <c r="M156" s="555" t="n">
        <v>0</v>
      </c>
      <c r="N156" s="556" t="n">
        <v>0</v>
      </c>
      <c r="O156" s="553" t="n">
        <f aca="false">+K156/(1-N156)+M156</f>
        <v>2.39341379083354</v>
      </c>
      <c r="P156" s="557" t="n">
        <f aca="false">Weightings!$C$14</f>
        <v>5614.32270168218</v>
      </c>
      <c r="Q156" s="553" t="n">
        <f aca="false">+P156/SUM($P$9:$P$19)*O156</f>
        <v>0.168773843777106</v>
      </c>
      <c r="R156" s="553"/>
      <c r="S156" s="564"/>
    </row>
    <row r="157" customFormat="false" ht="12.75" hidden="false" customHeight="false" outlineLevel="0" collapsed="false">
      <c r="A157" s="266" t="s">
        <v>213</v>
      </c>
      <c r="B157" s="317" t="s">
        <v>294</v>
      </c>
      <c r="C157" s="586" t="n">
        <v>2.035</v>
      </c>
      <c r="D157" s="550" t="s">
        <v>295</v>
      </c>
      <c r="E157" s="588" t="n">
        <f aca="false">0.0299+0.0022+0.0097</f>
        <v>0.0418</v>
      </c>
      <c r="F157" s="589" t="n">
        <v>0.0458</v>
      </c>
      <c r="G157" s="553" t="n">
        <f aca="false">+C157/(1-F157)+E157</f>
        <v>2.17447658771746</v>
      </c>
      <c r="H157" s="550" t="s">
        <v>274</v>
      </c>
      <c r="I157" s="555" t="n">
        <v>0</v>
      </c>
      <c r="J157" s="556" t="n">
        <v>0.01</v>
      </c>
      <c r="K157" s="553" t="n">
        <f aca="false">+G157/(1-J157)+I157</f>
        <v>2.1964409976944</v>
      </c>
      <c r="L157" s="561"/>
      <c r="M157" s="555" t="n">
        <v>0</v>
      </c>
      <c r="N157" s="556" t="n">
        <v>0</v>
      </c>
      <c r="O157" s="553" t="n">
        <f aca="false">+K157/(1-N157)+M157</f>
        <v>2.1964409976944</v>
      </c>
      <c r="P157" s="557" t="n">
        <f aca="false">Weightings!$C$15</f>
        <v>3366</v>
      </c>
      <c r="Q157" s="553" t="n">
        <f aca="false">+P157/SUM($P$9:$P$19)*O157</f>
        <v>0.0928589212017033</v>
      </c>
      <c r="R157" s="553"/>
      <c r="S157" s="273"/>
    </row>
    <row r="158" customFormat="false" ht="12.75" hidden="false" customHeight="false" outlineLevel="0" collapsed="false">
      <c r="A158" s="266" t="s">
        <v>214</v>
      </c>
      <c r="B158" s="317" t="s">
        <v>289</v>
      </c>
      <c r="C158" s="586" t="n">
        <v>2.055</v>
      </c>
      <c r="D158" s="550" t="s">
        <v>296</v>
      </c>
      <c r="E158" s="588" t="n">
        <f aca="false">0.0277+0.0022+0.0097</f>
        <v>0.0396</v>
      </c>
      <c r="F158" s="589" t="n">
        <v>0.0423</v>
      </c>
      <c r="G158" s="553" t="n">
        <f aca="false">+C158/(1-F158)+E158</f>
        <v>2.18536589746267</v>
      </c>
      <c r="H158" s="550" t="s">
        <v>274</v>
      </c>
      <c r="I158" s="555" t="n">
        <v>0</v>
      </c>
      <c r="J158" s="556" t="n">
        <v>0.01</v>
      </c>
      <c r="K158" s="553" t="n">
        <f aca="false">+G158/(1-J158)+I158</f>
        <v>2.20744030046735</v>
      </c>
      <c r="M158" s="555" t="n">
        <v>0</v>
      </c>
      <c r="N158" s="556" t="n">
        <v>0</v>
      </c>
      <c r="O158" s="553" t="n">
        <f aca="false">+K158/(1-N158)+M158</f>
        <v>2.20744030046735</v>
      </c>
      <c r="P158" s="557" t="n">
        <f aca="false">Weightings!$C$16</f>
        <v>4950</v>
      </c>
      <c r="Q158" s="553" t="n">
        <f aca="false">+P158/SUM($P$9:$P$19)*O158</f>
        <v>0.137241086250927</v>
      </c>
      <c r="R158" s="553"/>
      <c r="S158" s="273"/>
    </row>
    <row r="159" customFormat="false" ht="12.75" hidden="false" customHeight="false" outlineLevel="0" collapsed="false">
      <c r="A159" s="266" t="s">
        <v>215</v>
      </c>
      <c r="B159" s="317" t="s">
        <v>144</v>
      </c>
      <c r="C159" s="586" t="n">
        <v>2.175</v>
      </c>
      <c r="D159" s="550" t="s">
        <v>297</v>
      </c>
      <c r="E159" s="588" t="n">
        <f aca="false">0.0251+0.0022+0.0097</f>
        <v>0.037</v>
      </c>
      <c r="F159" s="589" t="n">
        <v>0.0381</v>
      </c>
      <c r="G159" s="553" t="n">
        <f aca="false">+C159/(1-F159)+E159</f>
        <v>2.29814980767232</v>
      </c>
      <c r="H159" s="550" t="s">
        <v>274</v>
      </c>
      <c r="I159" s="555" t="n">
        <v>0</v>
      </c>
      <c r="J159" s="556" t="n">
        <v>0.01</v>
      </c>
      <c r="K159" s="553" t="n">
        <f aca="false">+G159/(1-J159)+I159</f>
        <v>2.32136344209325</v>
      </c>
      <c r="M159" s="555" t="n">
        <v>0</v>
      </c>
      <c r="N159" s="556" t="n">
        <v>0</v>
      </c>
      <c r="O159" s="553" t="n">
        <f aca="false">+K159/(1-N159)+M159</f>
        <v>2.32136344209325</v>
      </c>
      <c r="P159" s="557" t="n">
        <f aca="false">Weightings!$C$17</f>
        <v>11172.1727158949</v>
      </c>
      <c r="Q159" s="553" t="n">
        <f aca="false">+P159/SUM($P$9:$P$19)*O159</f>
        <v>0.325739752867574</v>
      </c>
      <c r="R159" s="553"/>
      <c r="S159" s="273"/>
    </row>
    <row r="160" customFormat="false" ht="12.75" hidden="false" customHeight="false" outlineLevel="0" collapsed="false">
      <c r="O160" s="403"/>
      <c r="P160" s="385"/>
      <c r="Q160" s="403"/>
      <c r="R160" s="403"/>
      <c r="S160" s="565"/>
    </row>
    <row r="161" customFormat="false" ht="13.5" hidden="false" customHeight="false" outlineLevel="0" collapsed="false">
      <c r="O161" s="566"/>
      <c r="P161" s="567"/>
      <c r="Q161" s="566"/>
      <c r="R161" s="566"/>
    </row>
    <row r="162" customFormat="false" ht="13.5" hidden="false" customHeight="false" outlineLevel="0" collapsed="false">
      <c r="O162" s="568" t="s">
        <v>277</v>
      </c>
      <c r="P162" s="569"/>
      <c r="Q162" s="570" t="n">
        <f aca="false">SUM(Q149:Q159)</f>
        <v>2.37625100158515</v>
      </c>
      <c r="R162" s="590" t="n">
        <f aca="false">B147</f>
        <v>37172</v>
      </c>
    </row>
    <row r="163" customFormat="false" ht="12.75" hidden="false" customHeight="false" outlineLevel="0" collapsed="false">
      <c r="O163" s="403"/>
      <c r="P163" s="403"/>
      <c r="Q163" s="403"/>
      <c r="R163" s="403"/>
      <c r="S163" s="403"/>
    </row>
    <row r="164" customFormat="false" ht="12.75" hidden="false" customHeight="false" outlineLevel="0" collapsed="false">
      <c r="D164" s="550"/>
      <c r="H164" s="553"/>
      <c r="O164" s="566" t="s">
        <v>298</v>
      </c>
      <c r="P164" s="571" t="n">
        <f aca="false">Weightings!C163</f>
        <v>0</v>
      </c>
      <c r="Q164" s="403" t="s">
        <v>279</v>
      </c>
      <c r="R164" s="572" t="s">
        <v>280</v>
      </c>
      <c r="S164" s="403"/>
    </row>
    <row r="165" customFormat="false" ht="13.5" hidden="false" customHeight="false" outlineLevel="0" collapsed="false">
      <c r="A165" s="591"/>
      <c r="B165" s="592"/>
      <c r="C165" s="591"/>
      <c r="D165" s="593"/>
      <c r="E165" s="591"/>
      <c r="F165" s="591"/>
      <c r="G165" s="591"/>
      <c r="H165" s="594"/>
      <c r="I165" s="591"/>
      <c r="J165" s="591"/>
      <c r="K165" s="591"/>
      <c r="L165" s="591"/>
      <c r="M165" s="591"/>
      <c r="N165" s="591"/>
      <c r="O165" s="591"/>
      <c r="P165" s="595"/>
      <c r="Q165" s="591"/>
      <c r="R165" s="591"/>
      <c r="S165" s="591"/>
    </row>
    <row r="166" customFormat="false" ht="14.25" hidden="false" customHeight="false" outlineLevel="0" collapsed="false">
      <c r="A166" s="267"/>
      <c r="B166" s="544"/>
      <c r="D166" s="269" t="s">
        <v>241</v>
      </c>
      <c r="H166" s="269" t="s">
        <v>242</v>
      </c>
      <c r="L166" s="269" t="s">
        <v>243</v>
      </c>
    </row>
    <row r="167" customFormat="false" ht="14.25" hidden="false" customHeight="false" outlineLevel="0" collapsed="false">
      <c r="A167" s="582" t="s">
        <v>284</v>
      </c>
      <c r="B167" s="583" t="n">
        <f aca="false">B147+1</f>
        <v>37173</v>
      </c>
      <c r="C167" s="584" t="n">
        <f aca="false">Q182</f>
        <v>2.28244283279003</v>
      </c>
      <c r="E167" s="585"/>
    </row>
    <row r="168" customFormat="false" ht="54" hidden="false" customHeight="true" outlineLevel="0" collapsed="false">
      <c r="A168" s="267" t="s">
        <v>244</v>
      </c>
      <c r="B168" s="315" t="s">
        <v>132</v>
      </c>
      <c r="C168" s="545" t="s">
        <v>286</v>
      </c>
      <c r="D168" s="546" t="s">
        <v>247</v>
      </c>
      <c r="E168" s="547" t="s">
        <v>248</v>
      </c>
      <c r="F168" s="547" t="s">
        <v>249</v>
      </c>
      <c r="G168" s="547" t="s">
        <v>250</v>
      </c>
      <c r="H168" s="546" t="s">
        <v>247</v>
      </c>
      <c r="I168" s="547" t="s">
        <v>248</v>
      </c>
      <c r="J168" s="547" t="s">
        <v>249</v>
      </c>
      <c r="K168" s="547" t="s">
        <v>250</v>
      </c>
      <c r="L168" s="546" t="s">
        <v>247</v>
      </c>
      <c r="M168" s="547" t="s">
        <v>248</v>
      </c>
      <c r="N168" s="547" t="s">
        <v>249</v>
      </c>
      <c r="O168" s="547" t="s">
        <v>250</v>
      </c>
      <c r="P168" s="547" t="s">
        <v>251</v>
      </c>
      <c r="Q168" s="547" t="s">
        <v>252</v>
      </c>
      <c r="R168" s="547"/>
      <c r="S168" s="547"/>
    </row>
    <row r="169" customFormat="false" ht="12.75" hidden="false" customHeight="false" outlineLevel="0" collapsed="false">
      <c r="A169" s="266" t="s">
        <v>253</v>
      </c>
      <c r="B169" s="317" t="s">
        <v>142</v>
      </c>
      <c r="C169" s="586" t="n">
        <v>2.02</v>
      </c>
      <c r="D169" s="550" t="s">
        <v>254</v>
      </c>
      <c r="E169" s="555" t="n">
        <v>0.0522</v>
      </c>
      <c r="F169" s="562" t="n">
        <v>0.0506</v>
      </c>
      <c r="G169" s="553" t="n">
        <f aca="false">+C169/(1-F169)+E169</f>
        <v>2.17985957446809</v>
      </c>
      <c r="H169" s="550" t="s">
        <v>255</v>
      </c>
      <c r="I169" s="555" t="n">
        <f aca="false">E171</f>
        <v>0.1043</v>
      </c>
      <c r="J169" s="556" t="n">
        <v>0.0228</v>
      </c>
      <c r="K169" s="553" t="n">
        <f aca="false">+G169/(1-J169)+I169</f>
        <v>2.33501999024569</v>
      </c>
      <c r="L169" s="550" t="s">
        <v>256</v>
      </c>
      <c r="M169" s="555" t="n">
        <v>0</v>
      </c>
      <c r="N169" s="556" t="n">
        <v>0.0025</v>
      </c>
      <c r="O169" s="553" t="n">
        <f aca="false">+K169/(1-N169)+M169</f>
        <v>2.34087217067237</v>
      </c>
      <c r="P169" s="557" t="n">
        <f aca="false">Weightings!$C$4</f>
        <v>1071.40153987277</v>
      </c>
      <c r="Q169" s="553" t="n">
        <f aca="false">+P169/SUM($P$9:$P$19)*O169</f>
        <v>0.0315006812105396</v>
      </c>
      <c r="R169" s="553"/>
      <c r="S169" s="558"/>
    </row>
    <row r="170" customFormat="false" ht="12.75" hidden="false" customHeight="false" outlineLevel="0" collapsed="false">
      <c r="A170" s="266" t="s">
        <v>257</v>
      </c>
      <c r="B170" s="317" t="s">
        <v>143</v>
      </c>
      <c r="C170" s="586" t="n">
        <v>1.945</v>
      </c>
      <c r="D170" s="550" t="s">
        <v>258</v>
      </c>
      <c r="E170" s="555" t="n">
        <v>0.0522</v>
      </c>
      <c r="F170" s="562" t="n">
        <v>0.058</v>
      </c>
      <c r="G170" s="553" t="n">
        <f aca="false">+C170/(1-F170)+E170</f>
        <v>2.11695583864119</v>
      </c>
      <c r="H170" s="550" t="s">
        <v>255</v>
      </c>
      <c r="I170" s="555" t="n">
        <f aca="false">E171</f>
        <v>0.1043</v>
      </c>
      <c r="J170" s="556" t="n">
        <v>0.0228</v>
      </c>
      <c r="K170" s="553" t="n">
        <f aca="false">+G170/(1-J170)+I170</f>
        <v>2.27064858641137</v>
      </c>
      <c r="L170" s="550" t="s">
        <v>256</v>
      </c>
      <c r="M170" s="555" t="n">
        <v>0</v>
      </c>
      <c r="N170" s="556" t="n">
        <v>0.0025</v>
      </c>
      <c r="O170" s="553" t="n">
        <f aca="false">+K170/(1-N170)+M170</f>
        <v>2.27633943499887</v>
      </c>
      <c r="P170" s="557" t="n">
        <f aca="false">Weightings!$C$5</f>
        <v>1309.88291792445</v>
      </c>
      <c r="Q170" s="553" t="n">
        <f aca="false">+P170/SUM($P$9:$P$19)*O170</f>
        <v>0.0374506604961063</v>
      </c>
      <c r="R170" s="553"/>
      <c r="S170" s="273"/>
    </row>
    <row r="171" customFormat="false" ht="12.75" hidden="false" customHeight="false" outlineLevel="0" collapsed="false">
      <c r="A171" s="266" t="s">
        <v>259</v>
      </c>
      <c r="B171" s="317" t="s">
        <v>287</v>
      </c>
      <c r="C171" s="586" t="n">
        <v>2.28</v>
      </c>
      <c r="D171" s="550" t="s">
        <v>260</v>
      </c>
      <c r="E171" s="555" t="n">
        <f aca="false">0.0951+0.0022+0.007</f>
        <v>0.1043</v>
      </c>
      <c r="F171" s="562" t="n">
        <v>0.0228</v>
      </c>
      <c r="G171" s="553" t="n">
        <f aca="false">+C171/(1-F171)+E171</f>
        <v>2.43749688907081</v>
      </c>
      <c r="H171" s="550" t="s">
        <v>256</v>
      </c>
      <c r="I171" s="555" t="n">
        <v>0</v>
      </c>
      <c r="J171" s="556" t="n">
        <v>0.0025</v>
      </c>
      <c r="K171" s="553" t="n">
        <f aca="false">+G171/(1-J171)+I171</f>
        <v>2.44360590383039</v>
      </c>
      <c r="L171" s="550"/>
      <c r="M171" s="555" t="n">
        <v>0</v>
      </c>
      <c r="N171" s="556" t="n">
        <v>0</v>
      </c>
      <c r="O171" s="553" t="n">
        <f aca="false">+K171/(1-N171)+M171</f>
        <v>2.44360590383039</v>
      </c>
      <c r="P171" s="557" t="n">
        <f aca="false">Weightings!$C$6</f>
        <v>19813.4520237259</v>
      </c>
      <c r="Q171" s="553" t="n">
        <f aca="false">+P171/SUM($P$9:$P$19)*O171</f>
        <v>0.608108808412611</v>
      </c>
      <c r="R171" s="553"/>
      <c r="S171" s="273"/>
    </row>
    <row r="172" customFormat="false" ht="12.75" hidden="false" customHeight="false" outlineLevel="0" collapsed="false">
      <c r="A172" s="266" t="s">
        <v>261</v>
      </c>
      <c r="B172" s="317" t="s">
        <v>288</v>
      </c>
      <c r="C172" s="586" t="n">
        <v>2.34</v>
      </c>
      <c r="D172" s="550" t="s">
        <v>262</v>
      </c>
      <c r="E172" s="555" t="n">
        <f aca="false">0.0951+0.0022+0.007</f>
        <v>0.1043</v>
      </c>
      <c r="F172" s="562" t="n">
        <v>0.0228</v>
      </c>
      <c r="G172" s="553" t="n">
        <f aca="false">+C172/(1-F172)+E172</f>
        <v>2.49889680720426</v>
      </c>
      <c r="H172" s="550" t="s">
        <v>256</v>
      </c>
      <c r="I172" s="555" t="n">
        <v>0</v>
      </c>
      <c r="J172" s="556" t="n">
        <v>0.0025</v>
      </c>
      <c r="K172" s="553" t="n">
        <f aca="false">+G172/(1-J172)+I172</f>
        <v>2.50515970647043</v>
      </c>
      <c r="L172" s="550"/>
      <c r="M172" s="555" t="n">
        <v>0</v>
      </c>
      <c r="N172" s="556" t="n">
        <v>0</v>
      </c>
      <c r="O172" s="553" t="n">
        <f aca="false">+K172/(1-N172)+M172</f>
        <v>2.50515970647043</v>
      </c>
      <c r="P172" s="557" t="n">
        <f aca="false">Weightings!$C$7</f>
        <v>669.603363940486</v>
      </c>
      <c r="Q172" s="553" t="n">
        <f aca="false">+P172/SUM($P$9:$P$19)*O172</f>
        <v>0.0210689564483416</v>
      </c>
      <c r="R172" s="553"/>
      <c r="S172" s="558"/>
    </row>
    <row r="173" customFormat="false" ht="12.75" hidden="false" customHeight="false" outlineLevel="0" collapsed="false">
      <c r="A173" s="266" t="s">
        <v>206</v>
      </c>
      <c r="B173" s="317" t="s">
        <v>289</v>
      </c>
      <c r="C173" s="587" t="n">
        <f aca="false">C178</f>
        <v>1.99</v>
      </c>
      <c r="D173" s="550" t="s">
        <v>290</v>
      </c>
      <c r="E173" s="588" t="n">
        <f aca="false">0.0331+0.0022+0.0097</f>
        <v>0.045</v>
      </c>
      <c r="F173" s="589" t="n">
        <v>0.0504</v>
      </c>
      <c r="G173" s="553" t="n">
        <f aca="false">+C173/(1-F173)+E173</f>
        <v>2.14061920808762</v>
      </c>
      <c r="H173" s="550" t="s">
        <v>255</v>
      </c>
      <c r="I173" s="555" t="n">
        <f aca="false">E171</f>
        <v>0.1043</v>
      </c>
      <c r="J173" s="556" t="n">
        <v>0.0228</v>
      </c>
      <c r="K173" s="553" t="n">
        <f aca="false">+G173/(1-J173)+I173</f>
        <v>2.29486406885757</v>
      </c>
      <c r="L173" s="550" t="s">
        <v>256</v>
      </c>
      <c r="M173" s="555" t="n">
        <v>0</v>
      </c>
      <c r="N173" s="556" t="n">
        <v>0.0025</v>
      </c>
      <c r="O173" s="553" t="n">
        <f aca="false">+K173/(1-N173)+M173</f>
        <v>2.30061560787726</v>
      </c>
      <c r="P173" s="557" t="n">
        <f aca="false">Weightings!$C$8</f>
        <v>273.774605247488</v>
      </c>
      <c r="Q173" s="553" t="n">
        <f aca="false">+P173/SUM($P$9:$P$19)*O173</f>
        <v>0.00791092385027097</v>
      </c>
      <c r="R173" s="553"/>
      <c r="S173" s="273"/>
    </row>
    <row r="174" customFormat="false" ht="12.75" hidden="false" customHeight="false" outlineLevel="0" collapsed="false">
      <c r="A174" s="266" t="s">
        <v>207</v>
      </c>
      <c r="B174" s="317" t="s">
        <v>144</v>
      </c>
      <c r="C174" s="587" t="n">
        <f aca="false">C179</f>
        <v>2.1</v>
      </c>
      <c r="D174" s="550" t="s">
        <v>291</v>
      </c>
      <c r="E174" s="588" t="n">
        <f aca="false">0.0305+0.0022+0.0097</f>
        <v>0.0424</v>
      </c>
      <c r="F174" s="589" t="n">
        <v>0.0462</v>
      </c>
      <c r="G174" s="553" t="n">
        <f aca="false">+C174/(1-F174)+E174</f>
        <v>2.24411943803732</v>
      </c>
      <c r="H174" s="550" t="s">
        <v>255</v>
      </c>
      <c r="I174" s="555" t="n">
        <f aca="false">E171</f>
        <v>0.1043</v>
      </c>
      <c r="J174" s="556" t="n">
        <v>0.0228</v>
      </c>
      <c r="K174" s="553" t="n">
        <f aca="false">+G174/(1-J174)+I174</f>
        <v>2.40077916295264</v>
      </c>
      <c r="L174" s="550" t="s">
        <v>256</v>
      </c>
      <c r="M174" s="555" t="n">
        <v>0</v>
      </c>
      <c r="N174" s="556" t="n">
        <v>0.0025</v>
      </c>
      <c r="O174" s="553" t="n">
        <f aca="false">+K174/(1-N174)+M174</f>
        <v>2.40679615333598</v>
      </c>
      <c r="P174" s="557" t="n">
        <f aca="false">Weightings!$C$9</f>
        <v>6.55445647922163</v>
      </c>
      <c r="Q174" s="553" t="n">
        <f aca="false">+P174/SUM($P$9:$P$19)*O174</f>
        <v>0.000198137178218899</v>
      </c>
      <c r="R174" s="553"/>
      <c r="S174" s="273"/>
    </row>
    <row r="175" customFormat="false" ht="12.75" hidden="false" customHeight="false" outlineLevel="0" collapsed="false">
      <c r="A175" s="266" t="s">
        <v>211</v>
      </c>
      <c r="B175" s="317" t="s">
        <v>292</v>
      </c>
      <c r="C175" s="586" t="n">
        <v>2</v>
      </c>
      <c r="D175" s="550" t="s">
        <v>269</v>
      </c>
      <c r="E175" s="555" t="n">
        <f aca="false">0.0366+0.0022</f>
        <v>0.0388</v>
      </c>
      <c r="F175" s="562" t="n">
        <v>0.00697</v>
      </c>
      <c r="G175" s="553" t="n">
        <f aca="false">+C175/(1-F175)+E175</f>
        <v>2.05283784377109</v>
      </c>
      <c r="H175" s="550" t="s">
        <v>270</v>
      </c>
      <c r="I175" s="588" t="n">
        <f aca="false">0.017+0.0022</f>
        <v>0.0192</v>
      </c>
      <c r="J175" s="589" t="n">
        <v>0.02902</v>
      </c>
      <c r="K175" s="553" t="n">
        <f aca="false">+G175/(1-J175)+I175</f>
        <v>2.13339168651371</v>
      </c>
      <c r="L175" s="561" t="s">
        <v>271</v>
      </c>
      <c r="M175" s="555" t="n">
        <f aca="false">E176</f>
        <v>0.0226</v>
      </c>
      <c r="N175" s="562" t="n">
        <f aca="false">F176</f>
        <v>0.02776</v>
      </c>
      <c r="O175" s="563" t="n">
        <f aca="false">+K175/(1-N175)+M175</f>
        <v>2.21690561025437</v>
      </c>
      <c r="P175" s="557" t="n">
        <f aca="false">Weightings!$C$13</f>
        <v>31370.607479626</v>
      </c>
      <c r="Q175" s="553" t="n">
        <f aca="false">+P175/SUM($P$9:$P$19)*O175</f>
        <v>0.873494373712594</v>
      </c>
      <c r="R175" s="563"/>
      <c r="S175" s="273"/>
    </row>
    <row r="176" customFormat="false" ht="12.75" hidden="false" customHeight="false" outlineLevel="0" collapsed="false">
      <c r="A176" s="266" t="s">
        <v>212</v>
      </c>
      <c r="B176" s="317" t="s">
        <v>293</v>
      </c>
      <c r="C176" s="586" t="n">
        <v>2.245</v>
      </c>
      <c r="D176" s="550" t="s">
        <v>272</v>
      </c>
      <c r="E176" s="555" t="n">
        <f aca="false">0.0134+0.0022+0.007</f>
        <v>0.0226</v>
      </c>
      <c r="F176" s="562" t="n">
        <v>0.02776</v>
      </c>
      <c r="G176" s="553" t="n">
        <f aca="false">+C176/(1-F176)+E176</f>
        <v>2.33170063358841</v>
      </c>
      <c r="H176" s="550"/>
      <c r="I176" s="555" t="n">
        <v>0</v>
      </c>
      <c r="J176" s="556" t="n">
        <v>0</v>
      </c>
      <c r="K176" s="553" t="n">
        <f aca="false">+G176/(1-J176)+I176</f>
        <v>2.33170063358841</v>
      </c>
      <c r="L176" s="561"/>
      <c r="M176" s="555" t="n">
        <v>0</v>
      </c>
      <c r="N176" s="556" t="n">
        <v>0</v>
      </c>
      <c r="O176" s="553" t="n">
        <f aca="false">+K176/(1-N176)+M176</f>
        <v>2.33170063358841</v>
      </c>
      <c r="P176" s="557" t="n">
        <f aca="false">Weightings!$C$14</f>
        <v>5614.32270168218</v>
      </c>
      <c r="Q176" s="553" t="n">
        <f aca="false">+P176/SUM($P$9:$P$19)*O176</f>
        <v>0.16442208195482</v>
      </c>
      <c r="R176" s="553"/>
      <c r="S176" s="564"/>
    </row>
    <row r="177" customFormat="false" ht="12.75" hidden="false" customHeight="false" outlineLevel="0" collapsed="false">
      <c r="A177" s="266" t="s">
        <v>213</v>
      </c>
      <c r="B177" s="317" t="s">
        <v>294</v>
      </c>
      <c r="C177" s="586" t="n">
        <v>1.985</v>
      </c>
      <c r="D177" s="550" t="s">
        <v>295</v>
      </c>
      <c r="E177" s="588" t="n">
        <f aca="false">0.0299+0.0022+0.0097</f>
        <v>0.0418</v>
      </c>
      <c r="F177" s="589" t="n">
        <v>0.0458</v>
      </c>
      <c r="G177" s="553" t="n">
        <f aca="false">+C177/(1-F177)+E177</f>
        <v>2.12207667155733</v>
      </c>
      <c r="H177" s="550" t="s">
        <v>274</v>
      </c>
      <c r="I177" s="555" t="n">
        <v>0</v>
      </c>
      <c r="J177" s="556" t="n">
        <v>0.01</v>
      </c>
      <c r="K177" s="553" t="n">
        <f aca="false">+G177/(1-J177)+I177</f>
        <v>2.14351178945184</v>
      </c>
      <c r="L177" s="561"/>
      <c r="M177" s="555" t="n">
        <v>0</v>
      </c>
      <c r="N177" s="556" t="n">
        <v>0</v>
      </c>
      <c r="O177" s="553" t="n">
        <f aca="false">+K177/(1-N177)+M177</f>
        <v>2.14351178945184</v>
      </c>
      <c r="P177" s="557" t="n">
        <f aca="false">Weightings!$C$15</f>
        <v>3366</v>
      </c>
      <c r="Q177" s="553" t="n">
        <f aca="false">+P177/SUM($P$9:$P$19)*O177</f>
        <v>0.0906212334228722</v>
      </c>
      <c r="R177" s="553"/>
      <c r="S177" s="273"/>
    </row>
    <row r="178" customFormat="false" ht="12.75" hidden="false" customHeight="false" outlineLevel="0" collapsed="false">
      <c r="A178" s="266" t="s">
        <v>214</v>
      </c>
      <c r="B178" s="317" t="s">
        <v>289</v>
      </c>
      <c r="C178" s="586" t="n">
        <v>1.99</v>
      </c>
      <c r="D178" s="550" t="s">
        <v>296</v>
      </c>
      <c r="E178" s="588" t="n">
        <f aca="false">0.0277+0.0022+0.0097</f>
        <v>0.0396</v>
      </c>
      <c r="F178" s="589" t="n">
        <v>0.0423</v>
      </c>
      <c r="G178" s="553" t="n">
        <f aca="false">+C178/(1-F178)+E178</f>
        <v>2.11749495666701</v>
      </c>
      <c r="H178" s="550" t="s">
        <v>274</v>
      </c>
      <c r="I178" s="555" t="n">
        <v>0</v>
      </c>
      <c r="J178" s="556" t="n">
        <v>0.01</v>
      </c>
      <c r="K178" s="553" t="n">
        <f aca="false">+G178/(1-J178)+I178</f>
        <v>2.13888379461315</v>
      </c>
      <c r="M178" s="555" t="n">
        <v>0</v>
      </c>
      <c r="N178" s="556" t="n">
        <v>0</v>
      </c>
      <c r="O178" s="553" t="n">
        <f aca="false">+K178/(1-N178)+M178</f>
        <v>2.13888379461315</v>
      </c>
      <c r="P178" s="557" t="n">
        <f aca="false">Weightings!$C$16</f>
        <v>4950</v>
      </c>
      <c r="Q178" s="553" t="n">
        <f aca="false">+P178/SUM($P$9:$P$19)*O178</f>
        <v>0.13297878781821</v>
      </c>
      <c r="R178" s="553"/>
      <c r="S178" s="273"/>
    </row>
    <row r="179" customFormat="false" ht="12.75" hidden="false" customHeight="false" outlineLevel="0" collapsed="false">
      <c r="A179" s="266" t="s">
        <v>215</v>
      </c>
      <c r="B179" s="317" t="s">
        <v>144</v>
      </c>
      <c r="C179" s="586" t="n">
        <v>2.1</v>
      </c>
      <c r="D179" s="550" t="s">
        <v>297</v>
      </c>
      <c r="E179" s="588" t="n">
        <f aca="false">0.0251+0.0022+0.0097</f>
        <v>0.037</v>
      </c>
      <c r="F179" s="589" t="n">
        <v>0.0381</v>
      </c>
      <c r="G179" s="553" t="n">
        <f aca="false">+C179/(1-F179)+E179</f>
        <v>2.22017912464913</v>
      </c>
      <c r="H179" s="550" t="s">
        <v>274</v>
      </c>
      <c r="I179" s="555" t="n">
        <v>0</v>
      </c>
      <c r="J179" s="556" t="n">
        <v>0.01</v>
      </c>
      <c r="K179" s="553" t="n">
        <f aca="false">+G179/(1-J179)+I179</f>
        <v>2.24260517641326</v>
      </c>
      <c r="M179" s="555" t="n">
        <v>0</v>
      </c>
      <c r="N179" s="556" t="n">
        <v>0</v>
      </c>
      <c r="O179" s="553" t="n">
        <f aca="false">+K179/(1-N179)+M179</f>
        <v>2.24260517641326</v>
      </c>
      <c r="P179" s="557" t="n">
        <f aca="false">Weightings!$C$17</f>
        <v>11172.1727158949</v>
      </c>
      <c r="Q179" s="553" t="n">
        <f aca="false">+P179/SUM($P$9:$P$19)*O179</f>
        <v>0.314688188285449</v>
      </c>
      <c r="R179" s="553"/>
      <c r="S179" s="273"/>
    </row>
    <row r="180" customFormat="false" ht="12.75" hidden="false" customHeight="false" outlineLevel="0" collapsed="false">
      <c r="O180" s="403"/>
      <c r="P180" s="385"/>
      <c r="Q180" s="403"/>
      <c r="R180" s="403"/>
      <c r="S180" s="565"/>
    </row>
    <row r="181" customFormat="false" ht="13.5" hidden="false" customHeight="false" outlineLevel="0" collapsed="false">
      <c r="O181" s="566"/>
      <c r="P181" s="567"/>
      <c r="Q181" s="566"/>
      <c r="R181" s="566"/>
    </row>
    <row r="182" customFormat="false" ht="13.5" hidden="false" customHeight="false" outlineLevel="0" collapsed="false">
      <c r="O182" s="568" t="s">
        <v>277</v>
      </c>
      <c r="P182" s="569"/>
      <c r="Q182" s="570" t="n">
        <f aca="false">SUM(Q169:Q179)</f>
        <v>2.28244283279003</v>
      </c>
      <c r="R182" s="590" t="n">
        <f aca="false">B167</f>
        <v>37173</v>
      </c>
    </row>
    <row r="183" customFormat="false" ht="12.75" hidden="false" customHeight="false" outlineLevel="0" collapsed="false">
      <c r="O183" s="403"/>
      <c r="P183" s="403"/>
      <c r="Q183" s="403"/>
      <c r="R183" s="403"/>
      <c r="S183" s="403"/>
    </row>
    <row r="184" customFormat="false" ht="12.75" hidden="false" customHeight="false" outlineLevel="0" collapsed="false">
      <c r="D184" s="550"/>
      <c r="H184" s="553"/>
      <c r="O184" s="566" t="s">
        <v>298</v>
      </c>
      <c r="P184" s="571" t="n">
        <f aca="false">Weightings!C183</f>
        <v>0</v>
      </c>
      <c r="Q184" s="403" t="s">
        <v>279</v>
      </c>
      <c r="R184" s="572" t="s">
        <v>280</v>
      </c>
      <c r="S184" s="403"/>
    </row>
    <row r="185" customFormat="false" ht="13.5" hidden="false" customHeight="false" outlineLevel="0" collapsed="false">
      <c r="A185" s="591"/>
      <c r="B185" s="592"/>
      <c r="C185" s="591"/>
      <c r="D185" s="593"/>
      <c r="E185" s="591"/>
      <c r="F185" s="591"/>
      <c r="G185" s="591"/>
      <c r="H185" s="594"/>
      <c r="I185" s="591"/>
      <c r="J185" s="591"/>
      <c r="K185" s="591"/>
      <c r="L185" s="591"/>
      <c r="M185" s="591"/>
      <c r="N185" s="591"/>
      <c r="O185" s="591"/>
      <c r="P185" s="595"/>
      <c r="Q185" s="591"/>
      <c r="R185" s="591"/>
      <c r="S185" s="591"/>
    </row>
    <row r="186" customFormat="false" ht="14.25" hidden="false" customHeight="false" outlineLevel="0" collapsed="false">
      <c r="A186" s="267"/>
      <c r="B186" s="544"/>
      <c r="D186" s="269" t="s">
        <v>241</v>
      </c>
      <c r="H186" s="269" t="s">
        <v>242</v>
      </c>
      <c r="L186" s="269" t="s">
        <v>243</v>
      </c>
    </row>
    <row r="187" customFormat="false" ht="14.25" hidden="false" customHeight="false" outlineLevel="0" collapsed="false">
      <c r="A187" s="582" t="s">
        <v>284</v>
      </c>
      <c r="B187" s="583" t="n">
        <f aca="false">B167+1</f>
        <v>37174</v>
      </c>
      <c r="C187" s="584" t="n">
        <f aca="false">Q202</f>
        <v>2.35366866187904</v>
      </c>
      <c r="E187" s="585"/>
    </row>
    <row r="188" customFormat="false" ht="54" hidden="false" customHeight="true" outlineLevel="0" collapsed="false">
      <c r="A188" s="267" t="s">
        <v>244</v>
      </c>
      <c r="B188" s="315" t="s">
        <v>132</v>
      </c>
      <c r="C188" s="545" t="s">
        <v>286</v>
      </c>
      <c r="D188" s="546" t="s">
        <v>247</v>
      </c>
      <c r="E188" s="547" t="s">
        <v>248</v>
      </c>
      <c r="F188" s="547" t="s">
        <v>249</v>
      </c>
      <c r="G188" s="547" t="s">
        <v>250</v>
      </c>
      <c r="H188" s="546" t="s">
        <v>247</v>
      </c>
      <c r="I188" s="547" t="s">
        <v>248</v>
      </c>
      <c r="J188" s="547" t="s">
        <v>249</v>
      </c>
      <c r="K188" s="547" t="s">
        <v>250</v>
      </c>
      <c r="L188" s="546" t="s">
        <v>247</v>
      </c>
      <c r="M188" s="547" t="s">
        <v>248</v>
      </c>
      <c r="N188" s="547" t="s">
        <v>249</v>
      </c>
      <c r="O188" s="547" t="s">
        <v>250</v>
      </c>
      <c r="P188" s="547" t="s">
        <v>251</v>
      </c>
      <c r="Q188" s="547" t="s">
        <v>252</v>
      </c>
      <c r="R188" s="547"/>
      <c r="S188" s="547"/>
    </row>
    <row r="189" customFormat="false" ht="12.75" hidden="false" customHeight="false" outlineLevel="0" collapsed="false">
      <c r="A189" s="266" t="s">
        <v>253</v>
      </c>
      <c r="B189" s="317" t="s">
        <v>142</v>
      </c>
      <c r="C189" s="586" t="n">
        <v>2.085</v>
      </c>
      <c r="D189" s="550" t="s">
        <v>254</v>
      </c>
      <c r="E189" s="555" t="n">
        <v>0.0522</v>
      </c>
      <c r="F189" s="562" t="n">
        <v>0.0506</v>
      </c>
      <c r="G189" s="553" t="n">
        <f aca="false">+C189/(1-F189)+E189</f>
        <v>2.24832386770592</v>
      </c>
      <c r="H189" s="550" t="s">
        <v>255</v>
      </c>
      <c r="I189" s="555" t="n">
        <f aca="false">E191</f>
        <v>0.1043</v>
      </c>
      <c r="J189" s="556" t="n">
        <v>0.0228</v>
      </c>
      <c r="K189" s="553" t="n">
        <f aca="false">+G189/(1-J189)+I189</f>
        <v>2.40508169024347</v>
      </c>
      <c r="L189" s="550" t="s">
        <v>256</v>
      </c>
      <c r="M189" s="555" t="n">
        <v>0</v>
      </c>
      <c r="N189" s="556" t="n">
        <v>0.0025</v>
      </c>
      <c r="O189" s="553" t="n">
        <f aca="false">+K189/(1-N189)+M189</f>
        <v>2.41110946390323</v>
      </c>
      <c r="P189" s="557" t="n">
        <f aca="false">Weightings!$C$4</f>
        <v>1071.40153987277</v>
      </c>
      <c r="Q189" s="553" t="n">
        <f aca="false">+P189/SUM($P$9:$P$19)*O189</f>
        <v>0.0324458513957706</v>
      </c>
      <c r="R189" s="553"/>
      <c r="S189" s="558"/>
    </row>
    <row r="190" customFormat="false" ht="12.75" hidden="false" customHeight="false" outlineLevel="0" collapsed="false">
      <c r="A190" s="266" t="s">
        <v>257</v>
      </c>
      <c r="B190" s="317" t="s">
        <v>143</v>
      </c>
      <c r="C190" s="586" t="n">
        <v>2.03</v>
      </c>
      <c r="D190" s="550" t="s">
        <v>258</v>
      </c>
      <c r="E190" s="555" t="n">
        <v>0.0522</v>
      </c>
      <c r="F190" s="562" t="n">
        <v>0.058</v>
      </c>
      <c r="G190" s="553" t="n">
        <f aca="false">+C190/(1-F190)+E190</f>
        <v>2.20718938428875</v>
      </c>
      <c r="H190" s="550" t="s">
        <v>255</v>
      </c>
      <c r="I190" s="555" t="n">
        <f aca="false">E191</f>
        <v>0.1043</v>
      </c>
      <c r="J190" s="556" t="n">
        <v>0.0228</v>
      </c>
      <c r="K190" s="553" t="n">
        <f aca="false">+G190/(1-J190)+I190</f>
        <v>2.36298745833887</v>
      </c>
      <c r="L190" s="550" t="s">
        <v>256</v>
      </c>
      <c r="M190" s="555" t="n">
        <v>0</v>
      </c>
      <c r="N190" s="556" t="n">
        <v>0.0025</v>
      </c>
      <c r="O190" s="553" t="n">
        <f aca="false">+K190/(1-N190)+M190</f>
        <v>2.36890973267055</v>
      </c>
      <c r="P190" s="557" t="n">
        <f aca="false">Weightings!$C$5</f>
        <v>1309.88291792445</v>
      </c>
      <c r="Q190" s="553" t="n">
        <f aca="false">+P190/SUM($P$9:$P$19)*O190</f>
        <v>0.0389736402138159</v>
      </c>
      <c r="R190" s="553"/>
      <c r="S190" s="273"/>
    </row>
    <row r="191" customFormat="false" ht="12.75" hidden="false" customHeight="false" outlineLevel="0" collapsed="false">
      <c r="A191" s="266" t="s">
        <v>259</v>
      </c>
      <c r="B191" s="317" t="s">
        <v>287</v>
      </c>
      <c r="C191" s="586" t="n">
        <v>2.32</v>
      </c>
      <c r="D191" s="550" t="s">
        <v>260</v>
      </c>
      <c r="E191" s="555" t="n">
        <f aca="false">0.0951+0.0022+0.007</f>
        <v>0.1043</v>
      </c>
      <c r="F191" s="562" t="n">
        <v>0.0228</v>
      </c>
      <c r="G191" s="553" t="n">
        <f aca="false">+C191/(1-F191)+E191</f>
        <v>2.47843016782644</v>
      </c>
      <c r="H191" s="550" t="s">
        <v>256</v>
      </c>
      <c r="I191" s="555" t="n">
        <v>0</v>
      </c>
      <c r="J191" s="556" t="n">
        <v>0.0025</v>
      </c>
      <c r="K191" s="553" t="n">
        <f aca="false">+G191/(1-J191)+I191</f>
        <v>2.48464177225709</v>
      </c>
      <c r="L191" s="550"/>
      <c r="M191" s="555" t="n">
        <v>0</v>
      </c>
      <c r="N191" s="556" t="n">
        <v>0</v>
      </c>
      <c r="O191" s="553" t="n">
        <f aca="false">+K191/(1-N191)+M191</f>
        <v>2.48464177225709</v>
      </c>
      <c r="P191" s="557" t="n">
        <f aca="false">Weightings!$C$6</f>
        <v>19813.4520237259</v>
      </c>
      <c r="Q191" s="553" t="n">
        <f aca="false">+P191/SUM($P$9:$P$19)*O191</f>
        <v>0.618320877802367</v>
      </c>
      <c r="R191" s="553"/>
      <c r="S191" s="273"/>
    </row>
    <row r="192" customFormat="false" ht="12.75" hidden="false" customHeight="false" outlineLevel="0" collapsed="false">
      <c r="A192" s="266" t="s">
        <v>261</v>
      </c>
      <c r="B192" s="317" t="s">
        <v>288</v>
      </c>
      <c r="C192" s="586" t="n">
        <v>2.335</v>
      </c>
      <c r="D192" s="550" t="s">
        <v>262</v>
      </c>
      <c r="E192" s="555" t="n">
        <f aca="false">0.0951+0.0022+0.007</f>
        <v>0.1043</v>
      </c>
      <c r="F192" s="562" t="n">
        <v>0.0228</v>
      </c>
      <c r="G192" s="553" t="n">
        <f aca="false">+C192/(1-F192)+E192</f>
        <v>2.4937801473598</v>
      </c>
      <c r="H192" s="550" t="s">
        <v>256</v>
      </c>
      <c r="I192" s="555" t="n">
        <v>0</v>
      </c>
      <c r="J192" s="556" t="n">
        <v>0.0025</v>
      </c>
      <c r="K192" s="553" t="n">
        <f aca="false">+G192/(1-J192)+I192</f>
        <v>2.5000302229171</v>
      </c>
      <c r="L192" s="550"/>
      <c r="M192" s="555" t="n">
        <v>0</v>
      </c>
      <c r="N192" s="556" t="n">
        <v>0</v>
      </c>
      <c r="O192" s="553" t="n">
        <f aca="false">+K192/(1-N192)+M192</f>
        <v>2.5000302229171</v>
      </c>
      <c r="P192" s="557" t="n">
        <f aca="false">Weightings!$C$7</f>
        <v>669.603363940486</v>
      </c>
      <c r="Q192" s="553" t="n">
        <f aca="false">+P192/SUM($P$9:$P$19)*O192</f>
        <v>0.0210258163382286</v>
      </c>
      <c r="R192" s="553"/>
      <c r="S192" s="558"/>
    </row>
    <row r="193" customFormat="false" ht="12.75" hidden="false" customHeight="false" outlineLevel="0" collapsed="false">
      <c r="A193" s="266" t="s">
        <v>206</v>
      </c>
      <c r="B193" s="317" t="s">
        <v>289</v>
      </c>
      <c r="C193" s="587" t="n">
        <f aca="false">C198</f>
        <v>2.06</v>
      </c>
      <c r="D193" s="550" t="s">
        <v>290</v>
      </c>
      <c r="E193" s="588" t="n">
        <f aca="false">0.0331+0.0022+0.0097</f>
        <v>0.045</v>
      </c>
      <c r="F193" s="589" t="n">
        <v>0.0504</v>
      </c>
      <c r="G193" s="553" t="n">
        <f aca="false">+C193/(1-F193)+E193</f>
        <v>2.21433445661331</v>
      </c>
      <c r="H193" s="550" t="s">
        <v>255</v>
      </c>
      <c r="I193" s="555" t="n">
        <f aca="false">E191</f>
        <v>0.1043</v>
      </c>
      <c r="J193" s="556" t="n">
        <v>0.0228</v>
      </c>
      <c r="K193" s="553" t="n">
        <f aca="false">+G193/(1-J193)+I193</f>
        <v>2.37029923926864</v>
      </c>
      <c r="L193" s="550" t="s">
        <v>256</v>
      </c>
      <c r="M193" s="555" t="n">
        <v>0</v>
      </c>
      <c r="N193" s="556" t="n">
        <v>0.0025</v>
      </c>
      <c r="O193" s="553" t="n">
        <f aca="false">+K193/(1-N193)+M193</f>
        <v>2.3762398388658</v>
      </c>
      <c r="P193" s="557" t="n">
        <f aca="false">Weightings!$C$8</f>
        <v>273.774605247488</v>
      </c>
      <c r="Q193" s="553" t="n">
        <f aca="false">+P193/SUM($P$9:$P$19)*O193</f>
        <v>0.00817096621916441</v>
      </c>
      <c r="R193" s="553"/>
      <c r="S193" s="273"/>
    </row>
    <row r="194" customFormat="false" ht="12.75" hidden="false" customHeight="false" outlineLevel="0" collapsed="false">
      <c r="A194" s="266" t="s">
        <v>207</v>
      </c>
      <c r="B194" s="317" t="s">
        <v>144</v>
      </c>
      <c r="C194" s="587" t="n">
        <f aca="false">C199</f>
        <v>2.19</v>
      </c>
      <c r="D194" s="550" t="s">
        <v>291</v>
      </c>
      <c r="E194" s="588" t="n">
        <f aca="false">0.0305+0.0022+0.0097</f>
        <v>0.0424</v>
      </c>
      <c r="F194" s="589" t="n">
        <v>0.0462</v>
      </c>
      <c r="G194" s="553" t="n">
        <f aca="false">+C194/(1-F194)+E194</f>
        <v>2.33847884252464</v>
      </c>
      <c r="H194" s="550" t="s">
        <v>255</v>
      </c>
      <c r="I194" s="555" t="n">
        <f aca="false">E191</f>
        <v>0.1043</v>
      </c>
      <c r="J194" s="556" t="n">
        <v>0.0228</v>
      </c>
      <c r="K194" s="553" t="n">
        <f aca="false">+G194/(1-J194)+I194</f>
        <v>2.49734015813</v>
      </c>
      <c r="L194" s="550" t="s">
        <v>256</v>
      </c>
      <c r="M194" s="555" t="n">
        <v>0</v>
      </c>
      <c r="N194" s="556" t="n">
        <v>0.0025</v>
      </c>
      <c r="O194" s="553" t="n">
        <f aca="false">+K194/(1-N194)+M194</f>
        <v>2.50359915602005</v>
      </c>
      <c r="P194" s="557" t="n">
        <f aca="false">Weightings!$C$9</f>
        <v>6.55445647922163</v>
      </c>
      <c r="Q194" s="553" t="n">
        <f aca="false">+P194/SUM($P$9:$P$19)*O194</f>
        <v>0.000206106392299765</v>
      </c>
      <c r="R194" s="553"/>
      <c r="S194" s="273"/>
    </row>
    <row r="195" customFormat="false" ht="12.75" hidden="false" customHeight="false" outlineLevel="0" collapsed="false">
      <c r="A195" s="266" t="s">
        <v>211</v>
      </c>
      <c r="B195" s="317" t="s">
        <v>292</v>
      </c>
      <c r="C195" s="586" t="n">
        <v>2.08</v>
      </c>
      <c r="D195" s="550" t="s">
        <v>269</v>
      </c>
      <c r="E195" s="555" t="n">
        <f aca="false">0.0366+0.0022</f>
        <v>0.0388</v>
      </c>
      <c r="F195" s="562" t="n">
        <v>0.00697</v>
      </c>
      <c r="G195" s="553" t="n">
        <f aca="false">+C195/(1-F195)+E195</f>
        <v>2.13339935752193</v>
      </c>
      <c r="H195" s="550" t="s">
        <v>270</v>
      </c>
      <c r="I195" s="588" t="n">
        <f aca="false">0.017+0.0022</f>
        <v>0.0192</v>
      </c>
      <c r="J195" s="589" t="n">
        <v>0.02902</v>
      </c>
      <c r="K195" s="553" t="n">
        <f aca="false">+G195/(1-J195)+I195</f>
        <v>2.2163609688376</v>
      </c>
      <c r="L195" s="561" t="s">
        <v>271</v>
      </c>
      <c r="M195" s="555" t="n">
        <f aca="false">E196</f>
        <v>0.0226</v>
      </c>
      <c r="N195" s="562" t="n">
        <f aca="false">F196</f>
        <v>0.02776</v>
      </c>
      <c r="O195" s="563" t="n">
        <f aca="false">+K195/(1-N195)+M195</f>
        <v>2.30224388303052</v>
      </c>
      <c r="P195" s="557" t="n">
        <f aca="false">Weightings!$C$13</f>
        <v>31370.607479626</v>
      </c>
      <c r="Q195" s="553" t="n">
        <f aca="false">+P195/SUM($P$9:$P$19)*O195</f>
        <v>0.907118945181725</v>
      </c>
      <c r="R195" s="563"/>
      <c r="S195" s="273"/>
    </row>
    <row r="196" customFormat="false" ht="12.75" hidden="false" customHeight="false" outlineLevel="0" collapsed="false">
      <c r="A196" s="266" t="s">
        <v>212</v>
      </c>
      <c r="B196" s="317" t="s">
        <v>293</v>
      </c>
      <c r="C196" s="586" t="n">
        <v>2.29</v>
      </c>
      <c r="D196" s="550" t="s">
        <v>272</v>
      </c>
      <c r="E196" s="555" t="n">
        <f aca="false">0.0134+0.0022+0.007</f>
        <v>0.0226</v>
      </c>
      <c r="F196" s="562" t="n">
        <v>0.02776</v>
      </c>
      <c r="G196" s="553" t="n">
        <f aca="false">+C196/(1-F196)+E196</f>
        <v>2.37798550152226</v>
      </c>
      <c r="H196" s="550"/>
      <c r="I196" s="555" t="n">
        <v>0</v>
      </c>
      <c r="J196" s="556" t="n">
        <v>0</v>
      </c>
      <c r="K196" s="553" t="n">
        <f aca="false">+G196/(1-J196)+I196</f>
        <v>2.37798550152226</v>
      </c>
      <c r="L196" s="561"/>
      <c r="M196" s="555" t="n">
        <v>0</v>
      </c>
      <c r="N196" s="556" t="n">
        <v>0</v>
      </c>
      <c r="O196" s="553" t="n">
        <f aca="false">+K196/(1-N196)+M196</f>
        <v>2.37798550152226</v>
      </c>
      <c r="P196" s="557" t="n">
        <f aca="false">Weightings!$C$14</f>
        <v>5614.32270168218</v>
      </c>
      <c r="Q196" s="553" t="n">
        <f aca="false">+P196/SUM($P$9:$P$19)*O196</f>
        <v>0.167685903321534</v>
      </c>
      <c r="R196" s="553"/>
      <c r="S196" s="564"/>
    </row>
    <row r="197" customFormat="false" ht="12.75" hidden="false" customHeight="false" outlineLevel="0" collapsed="false">
      <c r="A197" s="266" t="s">
        <v>213</v>
      </c>
      <c r="B197" s="317" t="s">
        <v>294</v>
      </c>
      <c r="C197" s="586" t="n">
        <v>2.065</v>
      </c>
      <c r="D197" s="550" t="s">
        <v>295</v>
      </c>
      <c r="E197" s="588" t="n">
        <f aca="false">0.0299+0.0022+0.0097</f>
        <v>0.0418</v>
      </c>
      <c r="F197" s="589" t="n">
        <v>0.0458</v>
      </c>
      <c r="G197" s="553" t="n">
        <f aca="false">+C197/(1-F197)+E197</f>
        <v>2.20591653741354</v>
      </c>
      <c r="H197" s="550" t="s">
        <v>274</v>
      </c>
      <c r="I197" s="555" t="n">
        <v>0</v>
      </c>
      <c r="J197" s="556" t="n">
        <v>0.01</v>
      </c>
      <c r="K197" s="553" t="n">
        <f aca="false">+G197/(1-J197)+I197</f>
        <v>2.22819852263994</v>
      </c>
      <c r="L197" s="561"/>
      <c r="M197" s="555" t="n">
        <v>0</v>
      </c>
      <c r="N197" s="556" t="n">
        <v>0</v>
      </c>
      <c r="O197" s="553" t="n">
        <f aca="false">+K197/(1-N197)+M197</f>
        <v>2.22819852263994</v>
      </c>
      <c r="P197" s="557" t="n">
        <f aca="false">Weightings!$C$15</f>
        <v>3366</v>
      </c>
      <c r="Q197" s="553" t="n">
        <f aca="false">+P197/SUM($P$9:$P$19)*O197</f>
        <v>0.094201533869002</v>
      </c>
      <c r="R197" s="553"/>
      <c r="S197" s="273"/>
    </row>
    <row r="198" customFormat="false" ht="12.75" hidden="false" customHeight="false" outlineLevel="0" collapsed="false">
      <c r="A198" s="266" t="s">
        <v>214</v>
      </c>
      <c r="B198" s="317" t="s">
        <v>289</v>
      </c>
      <c r="C198" s="586" t="n">
        <v>2.06</v>
      </c>
      <c r="D198" s="550" t="s">
        <v>296</v>
      </c>
      <c r="E198" s="588" t="n">
        <f aca="false">0.0277+0.0022+0.0097</f>
        <v>0.0396</v>
      </c>
      <c r="F198" s="589" t="n">
        <v>0.0423</v>
      </c>
      <c r="G198" s="553" t="n">
        <f aca="false">+C198/(1-F198)+E198</f>
        <v>2.19058673906234</v>
      </c>
      <c r="H198" s="550" t="s">
        <v>274</v>
      </c>
      <c r="I198" s="555" t="n">
        <v>0</v>
      </c>
      <c r="J198" s="556" t="n">
        <v>0.01</v>
      </c>
      <c r="K198" s="553" t="n">
        <f aca="false">+G198/(1-J198)+I198</f>
        <v>2.21271387784074</v>
      </c>
      <c r="M198" s="555" t="n">
        <v>0</v>
      </c>
      <c r="N198" s="556" t="n">
        <v>0</v>
      </c>
      <c r="O198" s="553" t="n">
        <f aca="false">+K198/(1-N198)+M198</f>
        <v>2.21271387784074</v>
      </c>
      <c r="P198" s="557" t="n">
        <f aca="false">Weightings!$C$16</f>
        <v>4950</v>
      </c>
      <c r="Q198" s="553" t="n">
        <f aca="false">+P198/SUM($P$9:$P$19)*O198</f>
        <v>0.137568955361136</v>
      </c>
      <c r="R198" s="553"/>
      <c r="S198" s="273"/>
    </row>
    <row r="199" customFormat="false" ht="12.75" hidden="false" customHeight="false" outlineLevel="0" collapsed="false">
      <c r="A199" s="266" t="s">
        <v>215</v>
      </c>
      <c r="B199" s="317" t="s">
        <v>144</v>
      </c>
      <c r="C199" s="586" t="n">
        <v>2.19</v>
      </c>
      <c r="D199" s="550" t="s">
        <v>297</v>
      </c>
      <c r="E199" s="588" t="n">
        <f aca="false">0.0251+0.0022+0.0097</f>
        <v>0.037</v>
      </c>
      <c r="F199" s="589" t="n">
        <v>0.0381</v>
      </c>
      <c r="G199" s="553" t="n">
        <f aca="false">+C199/(1-F199)+E199</f>
        <v>2.31374394427695</v>
      </c>
      <c r="H199" s="550" t="s">
        <v>274</v>
      </c>
      <c r="I199" s="555" t="n">
        <v>0</v>
      </c>
      <c r="J199" s="556" t="n">
        <v>0.01</v>
      </c>
      <c r="K199" s="553" t="n">
        <f aca="false">+G199/(1-J199)+I199</f>
        <v>2.33711509522924</v>
      </c>
      <c r="M199" s="555" t="n">
        <v>0</v>
      </c>
      <c r="N199" s="556" t="n">
        <v>0</v>
      </c>
      <c r="O199" s="553" t="n">
        <f aca="false">+K199/(1-N199)+M199</f>
        <v>2.33711509522924</v>
      </c>
      <c r="P199" s="557" t="n">
        <f aca="false">Weightings!$C$17</f>
        <v>11172.1727158949</v>
      </c>
      <c r="Q199" s="553" t="n">
        <f aca="false">+P199/SUM($P$9:$P$19)*O199</f>
        <v>0.327950065783999</v>
      </c>
      <c r="R199" s="553"/>
      <c r="S199" s="273"/>
    </row>
    <row r="200" customFormat="false" ht="12.75" hidden="false" customHeight="false" outlineLevel="0" collapsed="false">
      <c r="O200" s="403"/>
      <c r="P200" s="385"/>
      <c r="Q200" s="403"/>
      <c r="R200" s="403"/>
      <c r="S200" s="565"/>
    </row>
    <row r="201" customFormat="false" ht="13.5" hidden="false" customHeight="false" outlineLevel="0" collapsed="false">
      <c r="O201" s="566"/>
      <c r="P201" s="567"/>
      <c r="Q201" s="566"/>
      <c r="R201" s="566"/>
    </row>
    <row r="202" customFormat="false" ht="13.5" hidden="false" customHeight="false" outlineLevel="0" collapsed="false">
      <c r="O202" s="568" t="s">
        <v>277</v>
      </c>
      <c r="P202" s="569"/>
      <c r="Q202" s="570" t="n">
        <f aca="false">SUM(Q189:Q199)</f>
        <v>2.35366866187904</v>
      </c>
      <c r="R202" s="590" t="n">
        <f aca="false">B187</f>
        <v>37174</v>
      </c>
    </row>
    <row r="203" customFormat="false" ht="12.75" hidden="false" customHeight="false" outlineLevel="0" collapsed="false">
      <c r="O203" s="403"/>
      <c r="P203" s="403"/>
      <c r="Q203" s="403"/>
      <c r="R203" s="403"/>
      <c r="S203" s="403"/>
    </row>
    <row r="204" customFormat="false" ht="12.75" hidden="false" customHeight="false" outlineLevel="0" collapsed="false">
      <c r="D204" s="550"/>
      <c r="H204" s="553"/>
      <c r="O204" s="566" t="s">
        <v>298</v>
      </c>
      <c r="P204" s="571" t="n">
        <f aca="false">Weightings!C203</f>
        <v>0</v>
      </c>
      <c r="Q204" s="403" t="s">
        <v>279</v>
      </c>
      <c r="R204" s="572" t="s">
        <v>280</v>
      </c>
      <c r="S204" s="403"/>
    </row>
    <row r="205" customFormat="false" ht="13.5" hidden="false" customHeight="false" outlineLevel="0" collapsed="false">
      <c r="A205" s="591"/>
      <c r="B205" s="592"/>
      <c r="C205" s="591"/>
      <c r="D205" s="593"/>
      <c r="E205" s="591"/>
      <c r="F205" s="591"/>
      <c r="G205" s="591"/>
      <c r="H205" s="594"/>
      <c r="I205" s="591"/>
      <c r="J205" s="591"/>
      <c r="K205" s="591"/>
      <c r="L205" s="591"/>
      <c r="M205" s="591"/>
      <c r="N205" s="591"/>
      <c r="O205" s="591"/>
      <c r="P205" s="595"/>
      <c r="Q205" s="591"/>
      <c r="R205" s="591"/>
      <c r="S205" s="591"/>
    </row>
    <row r="206" customFormat="false" ht="14.25" hidden="false" customHeight="false" outlineLevel="0" collapsed="false">
      <c r="A206" s="267"/>
      <c r="B206" s="544"/>
      <c r="D206" s="269" t="s">
        <v>241</v>
      </c>
      <c r="H206" s="269" t="s">
        <v>242</v>
      </c>
      <c r="L206" s="269" t="s">
        <v>243</v>
      </c>
    </row>
    <row r="207" customFormat="false" ht="14.25" hidden="false" customHeight="false" outlineLevel="0" collapsed="false">
      <c r="A207" s="582" t="s">
        <v>284</v>
      </c>
      <c r="B207" s="583" t="n">
        <f aca="false">B187+1</f>
        <v>37175</v>
      </c>
      <c r="C207" s="584" t="n">
        <f aca="false">Q222</f>
        <v>2.44843012870742</v>
      </c>
      <c r="E207" s="585"/>
    </row>
    <row r="208" customFormat="false" ht="54" hidden="false" customHeight="true" outlineLevel="0" collapsed="false">
      <c r="A208" s="267" t="s">
        <v>244</v>
      </c>
      <c r="B208" s="315" t="s">
        <v>132</v>
      </c>
      <c r="C208" s="545" t="s">
        <v>286</v>
      </c>
      <c r="D208" s="546" t="s">
        <v>247</v>
      </c>
      <c r="E208" s="547" t="s">
        <v>248</v>
      </c>
      <c r="F208" s="547" t="s">
        <v>249</v>
      </c>
      <c r="G208" s="547" t="s">
        <v>250</v>
      </c>
      <c r="H208" s="546" t="s">
        <v>247</v>
      </c>
      <c r="I208" s="547" t="s">
        <v>248</v>
      </c>
      <c r="J208" s="547" t="s">
        <v>249</v>
      </c>
      <c r="K208" s="547" t="s">
        <v>250</v>
      </c>
      <c r="L208" s="546" t="s">
        <v>247</v>
      </c>
      <c r="M208" s="547" t="s">
        <v>248</v>
      </c>
      <c r="N208" s="547" t="s">
        <v>249</v>
      </c>
      <c r="O208" s="547" t="s">
        <v>250</v>
      </c>
      <c r="P208" s="547" t="s">
        <v>251</v>
      </c>
      <c r="Q208" s="547" t="s">
        <v>252</v>
      </c>
      <c r="R208" s="547"/>
      <c r="S208" s="547"/>
    </row>
    <row r="209" customFormat="false" ht="12.75" hidden="false" customHeight="false" outlineLevel="0" collapsed="false">
      <c r="A209" s="266" t="s">
        <v>253</v>
      </c>
      <c r="B209" s="317" t="s">
        <v>142</v>
      </c>
      <c r="C209" s="586" t="n">
        <v>2.18</v>
      </c>
      <c r="D209" s="550" t="s">
        <v>254</v>
      </c>
      <c r="E209" s="555" t="n">
        <v>0.0522</v>
      </c>
      <c r="F209" s="562" t="n">
        <v>0.0506</v>
      </c>
      <c r="G209" s="553" t="n">
        <f aca="false">+C209/(1-F209)+E209</f>
        <v>2.34838706551506</v>
      </c>
      <c r="H209" s="550" t="s">
        <v>255</v>
      </c>
      <c r="I209" s="555" t="n">
        <f aca="false">E211</f>
        <v>0.1043</v>
      </c>
      <c r="J209" s="556" t="n">
        <v>0.0228</v>
      </c>
      <c r="K209" s="553" t="n">
        <f aca="false">+G209/(1-J209)+I209</f>
        <v>2.507479559471</v>
      </c>
      <c r="L209" s="550" t="s">
        <v>256</v>
      </c>
      <c r="M209" s="555" t="n">
        <v>0</v>
      </c>
      <c r="N209" s="556" t="n">
        <v>0.0025</v>
      </c>
      <c r="O209" s="553" t="n">
        <f aca="false">+K209/(1-N209)+M209</f>
        <v>2.51376396939449</v>
      </c>
      <c r="P209" s="557" t="n">
        <f aca="false">Weightings!$C$4</f>
        <v>1071.40153987277</v>
      </c>
      <c r="Q209" s="553" t="n">
        <f aca="false">+P209/SUM($P$9:$P$19)*O209</f>
        <v>0.0338272539741852</v>
      </c>
      <c r="R209" s="553"/>
      <c r="S209" s="558"/>
    </row>
    <row r="210" customFormat="false" ht="12.75" hidden="false" customHeight="false" outlineLevel="0" collapsed="false">
      <c r="A210" s="266" t="s">
        <v>257</v>
      </c>
      <c r="B210" s="317" t="s">
        <v>143</v>
      </c>
      <c r="C210" s="586" t="n">
        <v>2.125</v>
      </c>
      <c r="D210" s="550" t="s">
        <v>258</v>
      </c>
      <c r="E210" s="555" t="n">
        <v>0.0522</v>
      </c>
      <c r="F210" s="562" t="n">
        <v>0.058</v>
      </c>
      <c r="G210" s="553" t="n">
        <f aca="false">+C210/(1-F210)+E210</f>
        <v>2.30803864118896</v>
      </c>
      <c r="H210" s="550" t="s">
        <v>255</v>
      </c>
      <c r="I210" s="555" t="n">
        <f aca="false">E211</f>
        <v>0.1043</v>
      </c>
      <c r="J210" s="556" t="n">
        <v>0.0228</v>
      </c>
      <c r="K210" s="553" t="n">
        <f aca="false">+G210/(1-J210)+I210</f>
        <v>2.46618972696373</v>
      </c>
      <c r="L210" s="550" t="s">
        <v>256</v>
      </c>
      <c r="M210" s="555" t="n">
        <v>0</v>
      </c>
      <c r="N210" s="556" t="n">
        <v>0.0025</v>
      </c>
      <c r="O210" s="553" t="n">
        <f aca="false">+K210/(1-N210)+M210</f>
        <v>2.47237065359773</v>
      </c>
      <c r="P210" s="557" t="n">
        <f aca="false">Weightings!$C$5</f>
        <v>1309.88291792445</v>
      </c>
      <c r="Q210" s="553" t="n">
        <f aca="false">+P210/SUM($P$9:$P$19)*O210</f>
        <v>0.0406757940159619</v>
      </c>
      <c r="R210" s="553"/>
      <c r="S210" s="273"/>
    </row>
    <row r="211" customFormat="false" ht="12.75" hidden="false" customHeight="false" outlineLevel="0" collapsed="false">
      <c r="A211" s="266" t="s">
        <v>259</v>
      </c>
      <c r="B211" s="317" t="s">
        <v>287</v>
      </c>
      <c r="C211" s="586" t="n">
        <v>2.35</v>
      </c>
      <c r="D211" s="550" t="s">
        <v>260</v>
      </c>
      <c r="E211" s="555" t="n">
        <f aca="false">0.0951+0.0022+0.007</f>
        <v>0.1043</v>
      </c>
      <c r="F211" s="562" t="n">
        <v>0.0228</v>
      </c>
      <c r="G211" s="553" t="n">
        <f aca="false">+C211/(1-F211)+E211</f>
        <v>2.50913012689316</v>
      </c>
      <c r="H211" s="550" t="s">
        <v>256</v>
      </c>
      <c r="I211" s="555" t="n">
        <v>0</v>
      </c>
      <c r="J211" s="556" t="n">
        <v>0.0025</v>
      </c>
      <c r="K211" s="553" t="n">
        <f aca="false">+G211/(1-J211)+I211</f>
        <v>2.51541867357711</v>
      </c>
      <c r="L211" s="550"/>
      <c r="M211" s="555" t="n">
        <v>0</v>
      </c>
      <c r="N211" s="556" t="n">
        <v>0</v>
      </c>
      <c r="O211" s="553" t="n">
        <f aca="false">+K211/(1-N211)+M211</f>
        <v>2.51541867357711</v>
      </c>
      <c r="P211" s="557" t="n">
        <f aca="false">Weightings!$C$6</f>
        <v>19813.4520237259</v>
      </c>
      <c r="Q211" s="553" t="n">
        <f aca="false">+P211/SUM($P$9:$P$19)*O211</f>
        <v>0.625979929844684</v>
      </c>
      <c r="R211" s="553"/>
      <c r="S211" s="273"/>
    </row>
    <row r="212" customFormat="false" ht="12.75" hidden="false" customHeight="false" outlineLevel="0" collapsed="false">
      <c r="A212" s="266" t="s">
        <v>261</v>
      </c>
      <c r="B212" s="317" t="s">
        <v>288</v>
      </c>
      <c r="C212" s="586" t="n">
        <v>2.38</v>
      </c>
      <c r="D212" s="550" t="s">
        <v>262</v>
      </c>
      <c r="E212" s="555" t="n">
        <f aca="false">0.0951+0.0022+0.007</f>
        <v>0.1043</v>
      </c>
      <c r="F212" s="562" t="n">
        <v>0.0228</v>
      </c>
      <c r="G212" s="553" t="n">
        <f aca="false">+C212/(1-F212)+E212</f>
        <v>2.53983008595989</v>
      </c>
      <c r="H212" s="550" t="s">
        <v>256</v>
      </c>
      <c r="I212" s="555" t="n">
        <v>0</v>
      </c>
      <c r="J212" s="556" t="n">
        <v>0.0025</v>
      </c>
      <c r="K212" s="553" t="n">
        <f aca="false">+G212/(1-J212)+I212</f>
        <v>2.54619557489713</v>
      </c>
      <c r="L212" s="550"/>
      <c r="M212" s="555" t="n">
        <v>0</v>
      </c>
      <c r="N212" s="556" t="n">
        <v>0</v>
      </c>
      <c r="O212" s="553" t="n">
        <f aca="false">+K212/(1-N212)+M212</f>
        <v>2.54619557489713</v>
      </c>
      <c r="P212" s="557" t="n">
        <f aca="false">Weightings!$C$7</f>
        <v>669.603363940486</v>
      </c>
      <c r="Q212" s="553" t="n">
        <f aca="false">+P212/SUM($P$9:$P$19)*O212</f>
        <v>0.0214140773292454</v>
      </c>
      <c r="R212" s="553"/>
      <c r="S212" s="558"/>
    </row>
    <row r="213" customFormat="false" ht="12.75" hidden="false" customHeight="false" outlineLevel="0" collapsed="false">
      <c r="A213" s="266" t="s">
        <v>206</v>
      </c>
      <c r="B213" s="317" t="s">
        <v>289</v>
      </c>
      <c r="C213" s="587" t="n">
        <f aca="false">C218</f>
        <v>2.165</v>
      </c>
      <c r="D213" s="550" t="s">
        <v>290</v>
      </c>
      <c r="E213" s="588" t="n">
        <f aca="false">0.0331+0.0022+0.0097</f>
        <v>0.045</v>
      </c>
      <c r="F213" s="589" t="n">
        <v>0.0504</v>
      </c>
      <c r="G213" s="553" t="n">
        <f aca="false">+C213/(1-F213)+E213</f>
        <v>2.32490732940185</v>
      </c>
      <c r="H213" s="550" t="s">
        <v>255</v>
      </c>
      <c r="I213" s="555" t="n">
        <f aca="false">E211</f>
        <v>0.1043</v>
      </c>
      <c r="J213" s="556" t="n">
        <v>0.0228</v>
      </c>
      <c r="K213" s="553" t="n">
        <f aca="false">+G213/(1-J213)+I213</f>
        <v>2.48345199488524</v>
      </c>
      <c r="L213" s="550" t="s">
        <v>256</v>
      </c>
      <c r="M213" s="555" t="n">
        <v>0</v>
      </c>
      <c r="N213" s="556" t="n">
        <v>0.0025</v>
      </c>
      <c r="O213" s="553" t="n">
        <f aca="false">+K213/(1-N213)+M213</f>
        <v>2.48967618534861</v>
      </c>
      <c r="P213" s="557" t="n">
        <f aca="false">Weightings!$C$8</f>
        <v>273.774605247488</v>
      </c>
      <c r="Q213" s="553" t="n">
        <f aca="false">+P213/SUM($P$9:$P$19)*O213</f>
        <v>0.00856102977250458</v>
      </c>
      <c r="R213" s="553"/>
      <c r="S213" s="273"/>
    </row>
    <row r="214" customFormat="false" ht="12.75" hidden="false" customHeight="false" outlineLevel="0" collapsed="false">
      <c r="A214" s="266" t="s">
        <v>207</v>
      </c>
      <c r="B214" s="317" t="s">
        <v>144</v>
      </c>
      <c r="C214" s="587" t="n">
        <f aca="false">C219</f>
        <v>2.285</v>
      </c>
      <c r="D214" s="550" t="s">
        <v>291</v>
      </c>
      <c r="E214" s="588" t="n">
        <f aca="false">0.0305+0.0022+0.0097</f>
        <v>0.0424</v>
      </c>
      <c r="F214" s="589" t="n">
        <v>0.0462</v>
      </c>
      <c r="G214" s="553" t="n">
        <f aca="false">+C214/(1-F214)+E214</f>
        <v>2.43808043615014</v>
      </c>
      <c r="H214" s="550" t="s">
        <v>255</v>
      </c>
      <c r="I214" s="555" t="n">
        <f aca="false">E211</f>
        <v>0.1043</v>
      </c>
      <c r="J214" s="556" t="n">
        <v>0.0228</v>
      </c>
      <c r="K214" s="553" t="n">
        <f aca="false">+G214/(1-J214)+I214</f>
        <v>2.59926565303944</v>
      </c>
      <c r="L214" s="550" t="s">
        <v>256</v>
      </c>
      <c r="M214" s="555" t="n">
        <v>0</v>
      </c>
      <c r="N214" s="556" t="n">
        <v>0.0025</v>
      </c>
      <c r="O214" s="553" t="n">
        <f aca="false">+K214/(1-N214)+M214</f>
        <v>2.60578010329768</v>
      </c>
      <c r="P214" s="557" t="n">
        <f aca="false">Weightings!$C$9</f>
        <v>6.55445647922163</v>
      </c>
      <c r="Q214" s="553" t="n">
        <f aca="false">+P214/SUM($P$9:$P$19)*O214</f>
        <v>0.000214518340496234</v>
      </c>
      <c r="R214" s="553"/>
      <c r="S214" s="273"/>
    </row>
    <row r="215" customFormat="false" ht="12.75" hidden="false" customHeight="false" outlineLevel="0" collapsed="false">
      <c r="A215" s="266" t="s">
        <v>211</v>
      </c>
      <c r="B215" s="317" t="s">
        <v>292</v>
      </c>
      <c r="C215" s="586" t="n">
        <v>2.21</v>
      </c>
      <c r="D215" s="550" t="s">
        <v>269</v>
      </c>
      <c r="E215" s="555" t="n">
        <f aca="false">0.0366+0.0022</f>
        <v>0.0388</v>
      </c>
      <c r="F215" s="562" t="n">
        <v>0.00697</v>
      </c>
      <c r="G215" s="553" t="n">
        <f aca="false">+C215/(1-F215)+E215</f>
        <v>2.26431181736705</v>
      </c>
      <c r="H215" s="550" t="s">
        <v>270</v>
      </c>
      <c r="I215" s="588" t="n">
        <f aca="false">0.017+0.0022</f>
        <v>0.0192</v>
      </c>
      <c r="J215" s="589" t="n">
        <v>0.02902</v>
      </c>
      <c r="K215" s="553" t="n">
        <f aca="false">+G215/(1-J215)+I215</f>
        <v>2.3511860526139</v>
      </c>
      <c r="L215" s="561" t="s">
        <v>271</v>
      </c>
      <c r="M215" s="555" t="n">
        <f aca="false">E216</f>
        <v>0.0226</v>
      </c>
      <c r="N215" s="562" t="n">
        <f aca="false">F216</f>
        <v>0.02776</v>
      </c>
      <c r="O215" s="563" t="n">
        <f aca="false">+K215/(1-N215)+M215</f>
        <v>2.44091857629176</v>
      </c>
      <c r="P215" s="557" t="n">
        <f aca="false">Weightings!$C$13</f>
        <v>31370.607479626</v>
      </c>
      <c r="Q215" s="553" t="n">
        <f aca="false">+P215/SUM($P$9:$P$19)*O215</f>
        <v>0.961758873819063</v>
      </c>
      <c r="R215" s="563"/>
      <c r="S215" s="273"/>
    </row>
    <row r="216" customFormat="false" ht="12.75" hidden="false" customHeight="false" outlineLevel="0" collapsed="false">
      <c r="A216" s="266" t="s">
        <v>212</v>
      </c>
      <c r="B216" s="317" t="s">
        <v>293</v>
      </c>
      <c r="C216" s="586" t="n">
        <v>2.35</v>
      </c>
      <c r="D216" s="550" t="s">
        <v>272</v>
      </c>
      <c r="E216" s="555" t="n">
        <f aca="false">0.0134+0.0022+0.007</f>
        <v>0.0226</v>
      </c>
      <c r="F216" s="562" t="n">
        <v>0.02776</v>
      </c>
      <c r="G216" s="553" t="n">
        <f aca="false">+C216/(1-F216)+E216</f>
        <v>2.43969865876738</v>
      </c>
      <c r="H216" s="550"/>
      <c r="I216" s="555" t="n">
        <v>0</v>
      </c>
      <c r="J216" s="556" t="n">
        <v>0</v>
      </c>
      <c r="K216" s="553" t="n">
        <f aca="false">+G216/(1-J216)+I216</f>
        <v>2.43969865876738</v>
      </c>
      <c r="L216" s="561"/>
      <c r="M216" s="555" t="n">
        <v>0</v>
      </c>
      <c r="N216" s="556" t="n">
        <v>0</v>
      </c>
      <c r="O216" s="553" t="n">
        <f aca="false">+K216/(1-N216)+M216</f>
        <v>2.43969865876738</v>
      </c>
      <c r="P216" s="557" t="n">
        <f aca="false">Weightings!$C$14</f>
        <v>5614.32270168218</v>
      </c>
      <c r="Q216" s="553" t="n">
        <f aca="false">+P216/SUM($P$9:$P$19)*O216</f>
        <v>0.17203766514382</v>
      </c>
      <c r="R216" s="553"/>
      <c r="S216" s="564"/>
    </row>
    <row r="217" customFormat="false" ht="12.75" hidden="false" customHeight="false" outlineLevel="0" collapsed="false">
      <c r="A217" s="266" t="s">
        <v>213</v>
      </c>
      <c r="B217" s="317" t="s">
        <v>294</v>
      </c>
      <c r="C217" s="586" t="n">
        <v>2.14</v>
      </c>
      <c r="D217" s="550" t="s">
        <v>295</v>
      </c>
      <c r="E217" s="588" t="n">
        <f aca="false">0.0299+0.0022+0.0097</f>
        <v>0.0418</v>
      </c>
      <c r="F217" s="589" t="n">
        <v>0.0458</v>
      </c>
      <c r="G217" s="553" t="n">
        <f aca="false">+C217/(1-F217)+E217</f>
        <v>2.28451641165374</v>
      </c>
      <c r="H217" s="550" t="s">
        <v>274</v>
      </c>
      <c r="I217" s="555" t="n">
        <v>0</v>
      </c>
      <c r="J217" s="556" t="n">
        <v>0.01</v>
      </c>
      <c r="K217" s="553" t="n">
        <f aca="false">+G217/(1-J217)+I217</f>
        <v>2.30759233500378</v>
      </c>
      <c r="L217" s="561"/>
      <c r="M217" s="555" t="n">
        <v>0</v>
      </c>
      <c r="N217" s="556" t="n">
        <v>0</v>
      </c>
      <c r="O217" s="553" t="n">
        <f aca="false">+K217/(1-N217)+M217</f>
        <v>2.30759233500378</v>
      </c>
      <c r="P217" s="557" t="n">
        <f aca="false">Weightings!$C$15</f>
        <v>3366</v>
      </c>
      <c r="Q217" s="553" t="n">
        <f aca="false">+P217/SUM($P$9:$P$19)*O217</f>
        <v>0.0975580655372487</v>
      </c>
      <c r="R217" s="553"/>
      <c r="S217" s="273"/>
    </row>
    <row r="218" customFormat="false" ht="12.75" hidden="false" customHeight="false" outlineLevel="0" collapsed="false">
      <c r="A218" s="266" t="s">
        <v>214</v>
      </c>
      <c r="B218" s="317" t="s">
        <v>289</v>
      </c>
      <c r="C218" s="586" t="n">
        <v>2.165</v>
      </c>
      <c r="D218" s="550" t="s">
        <v>296</v>
      </c>
      <c r="E218" s="588" t="n">
        <f aca="false">0.0277+0.0022+0.0097</f>
        <v>0.0396</v>
      </c>
      <c r="F218" s="589" t="n">
        <v>0.0423</v>
      </c>
      <c r="G218" s="553" t="n">
        <f aca="false">+C218/(1-F218)+E218</f>
        <v>2.30022441265532</v>
      </c>
      <c r="H218" s="550" t="s">
        <v>274</v>
      </c>
      <c r="I218" s="555" t="n">
        <v>0</v>
      </c>
      <c r="J218" s="556" t="n">
        <v>0.01</v>
      </c>
      <c r="K218" s="553" t="n">
        <f aca="false">+G218/(1-J218)+I218</f>
        <v>2.32345900268214</v>
      </c>
      <c r="M218" s="555" t="n">
        <v>0</v>
      </c>
      <c r="N218" s="556" t="n">
        <v>0</v>
      </c>
      <c r="O218" s="553" t="n">
        <f aca="false">+K218/(1-N218)+M218</f>
        <v>2.32345900268214</v>
      </c>
      <c r="P218" s="557" t="n">
        <f aca="false">Weightings!$C$16</f>
        <v>4950</v>
      </c>
      <c r="Q218" s="553" t="n">
        <f aca="false">+P218/SUM($P$9:$P$19)*O218</f>
        <v>0.144454206675525</v>
      </c>
      <c r="R218" s="553"/>
      <c r="S218" s="273"/>
    </row>
    <row r="219" customFormat="false" ht="12.75" hidden="false" customHeight="false" outlineLevel="0" collapsed="false">
      <c r="A219" s="266" t="s">
        <v>215</v>
      </c>
      <c r="B219" s="317" t="s">
        <v>144</v>
      </c>
      <c r="C219" s="586" t="n">
        <v>2.285</v>
      </c>
      <c r="D219" s="550" t="s">
        <v>297</v>
      </c>
      <c r="E219" s="588" t="n">
        <f aca="false">0.0251+0.0022+0.0097</f>
        <v>0.037</v>
      </c>
      <c r="F219" s="589" t="n">
        <v>0.0381</v>
      </c>
      <c r="G219" s="553" t="n">
        <f aca="false">+C219/(1-F219)+E219</f>
        <v>2.41250680943965</v>
      </c>
      <c r="H219" s="550" t="s">
        <v>274</v>
      </c>
      <c r="I219" s="555" t="n">
        <v>0</v>
      </c>
      <c r="J219" s="556" t="n">
        <v>0.01</v>
      </c>
      <c r="K219" s="553" t="n">
        <f aca="false">+G219/(1-J219)+I219</f>
        <v>2.43687556509056</v>
      </c>
      <c r="M219" s="555" t="n">
        <v>0</v>
      </c>
      <c r="N219" s="556" t="n">
        <v>0</v>
      </c>
      <c r="O219" s="553" t="n">
        <f aca="false">+K219/(1-N219)+M219</f>
        <v>2.43687556509056</v>
      </c>
      <c r="P219" s="557" t="n">
        <f aca="false">Weightings!$C$17</f>
        <v>11172.1727158949</v>
      </c>
      <c r="Q219" s="553" t="n">
        <f aca="false">+P219/SUM($P$9:$P$19)*O219</f>
        <v>0.34194871425469</v>
      </c>
      <c r="R219" s="553"/>
      <c r="S219" s="273"/>
    </row>
    <row r="220" customFormat="false" ht="12.75" hidden="false" customHeight="false" outlineLevel="0" collapsed="false">
      <c r="O220" s="403"/>
      <c r="P220" s="385"/>
      <c r="Q220" s="403"/>
      <c r="R220" s="403"/>
      <c r="S220" s="565"/>
    </row>
    <row r="221" customFormat="false" ht="13.5" hidden="false" customHeight="false" outlineLevel="0" collapsed="false">
      <c r="O221" s="566"/>
      <c r="P221" s="567"/>
      <c r="Q221" s="566"/>
      <c r="R221" s="566"/>
    </row>
    <row r="222" customFormat="false" ht="13.5" hidden="false" customHeight="false" outlineLevel="0" collapsed="false">
      <c r="O222" s="568" t="s">
        <v>277</v>
      </c>
      <c r="P222" s="569"/>
      <c r="Q222" s="570" t="n">
        <f aca="false">SUM(Q209:Q219)</f>
        <v>2.44843012870742</v>
      </c>
      <c r="R222" s="590" t="n">
        <f aca="false">B207</f>
        <v>37175</v>
      </c>
    </row>
    <row r="223" customFormat="false" ht="12.75" hidden="false" customHeight="false" outlineLevel="0" collapsed="false">
      <c r="O223" s="403"/>
      <c r="P223" s="403"/>
      <c r="Q223" s="403"/>
      <c r="R223" s="403"/>
      <c r="S223" s="403"/>
    </row>
    <row r="224" customFormat="false" ht="12.75" hidden="false" customHeight="false" outlineLevel="0" collapsed="false">
      <c r="D224" s="550"/>
      <c r="H224" s="553"/>
      <c r="O224" s="566" t="s">
        <v>298</v>
      </c>
      <c r="P224" s="571" t="n">
        <f aca="false">Weightings!C223</f>
        <v>0</v>
      </c>
      <c r="Q224" s="403" t="s">
        <v>279</v>
      </c>
      <c r="R224" s="572" t="s">
        <v>280</v>
      </c>
      <c r="S224" s="403"/>
    </row>
    <row r="225" customFormat="false" ht="13.5" hidden="false" customHeight="false" outlineLevel="0" collapsed="false">
      <c r="A225" s="591"/>
      <c r="B225" s="592"/>
      <c r="C225" s="591"/>
      <c r="D225" s="593"/>
      <c r="E225" s="591"/>
      <c r="F225" s="591"/>
      <c r="G225" s="591"/>
      <c r="H225" s="594"/>
      <c r="I225" s="591"/>
      <c r="J225" s="591"/>
      <c r="K225" s="591"/>
      <c r="L225" s="591"/>
      <c r="M225" s="591"/>
      <c r="N225" s="591"/>
      <c r="O225" s="591"/>
      <c r="P225" s="595"/>
      <c r="Q225" s="591"/>
      <c r="R225" s="591"/>
      <c r="S225" s="591"/>
    </row>
    <row r="226" customFormat="false" ht="14.25" hidden="false" customHeight="false" outlineLevel="0" collapsed="false">
      <c r="A226" s="267"/>
      <c r="B226" s="544"/>
      <c r="D226" s="269" t="s">
        <v>241</v>
      </c>
      <c r="H226" s="269" t="s">
        <v>242</v>
      </c>
      <c r="L226" s="269" t="s">
        <v>243</v>
      </c>
    </row>
    <row r="227" customFormat="false" ht="14.25" hidden="false" customHeight="false" outlineLevel="0" collapsed="false">
      <c r="A227" s="582" t="s">
        <v>284</v>
      </c>
      <c r="B227" s="583" t="n">
        <f aca="false">B207+1</f>
        <v>37176</v>
      </c>
      <c r="C227" s="584" t="n">
        <f aca="false">Q242</f>
        <v>2.60470965432539</v>
      </c>
      <c r="E227" s="585"/>
    </row>
    <row r="228" customFormat="false" ht="54" hidden="false" customHeight="true" outlineLevel="0" collapsed="false">
      <c r="A228" s="267" t="s">
        <v>244</v>
      </c>
      <c r="B228" s="315" t="s">
        <v>132</v>
      </c>
      <c r="C228" s="545" t="s">
        <v>286</v>
      </c>
      <c r="D228" s="546" t="s">
        <v>247</v>
      </c>
      <c r="E228" s="547" t="s">
        <v>248</v>
      </c>
      <c r="F228" s="547" t="s">
        <v>249</v>
      </c>
      <c r="G228" s="547" t="s">
        <v>250</v>
      </c>
      <c r="H228" s="546" t="s">
        <v>247</v>
      </c>
      <c r="I228" s="547" t="s">
        <v>248</v>
      </c>
      <c r="J228" s="547" t="s">
        <v>249</v>
      </c>
      <c r="K228" s="547" t="s">
        <v>250</v>
      </c>
      <c r="L228" s="546" t="s">
        <v>247</v>
      </c>
      <c r="M228" s="547" t="s">
        <v>248</v>
      </c>
      <c r="N228" s="547" t="s">
        <v>249</v>
      </c>
      <c r="O228" s="547" t="s">
        <v>250</v>
      </c>
      <c r="P228" s="547" t="s">
        <v>251</v>
      </c>
      <c r="Q228" s="547" t="s">
        <v>252</v>
      </c>
      <c r="R228" s="547"/>
      <c r="S228" s="547"/>
    </row>
    <row r="229" customFormat="false" ht="12.75" hidden="false" customHeight="false" outlineLevel="0" collapsed="false">
      <c r="A229" s="266" t="s">
        <v>253</v>
      </c>
      <c r="B229" s="317" t="s">
        <v>142</v>
      </c>
      <c r="C229" s="586" t="n">
        <v>2.335</v>
      </c>
      <c r="D229" s="550" t="s">
        <v>254</v>
      </c>
      <c r="E229" s="555" t="n">
        <v>0.0522</v>
      </c>
      <c r="F229" s="562" t="n">
        <v>0.0506</v>
      </c>
      <c r="G229" s="553" t="n">
        <f aca="false">+C229/(1-F229)+E229</f>
        <v>2.51164807246682</v>
      </c>
      <c r="H229" s="550" t="s">
        <v>255</v>
      </c>
      <c r="I229" s="555" t="n">
        <f aca="false">E231</f>
        <v>0.1043</v>
      </c>
      <c r="J229" s="556" t="n">
        <v>0.0228</v>
      </c>
      <c r="K229" s="553" t="n">
        <f aca="false">+G229/(1-J229)+I229</f>
        <v>2.67454976715802</v>
      </c>
      <c r="L229" s="550" t="s">
        <v>256</v>
      </c>
      <c r="M229" s="555" t="n">
        <v>0</v>
      </c>
      <c r="N229" s="556" t="n">
        <v>0.0025</v>
      </c>
      <c r="O229" s="553" t="n">
        <f aca="false">+K229/(1-N229)+M229</f>
        <v>2.68125289940654</v>
      </c>
      <c r="P229" s="557" t="n">
        <f aca="false">Weightings!$C$4</f>
        <v>1071.40153987277</v>
      </c>
      <c r="Q229" s="553" t="n">
        <f aca="false">+P229/SUM($P$9:$P$19)*O229</f>
        <v>0.0360811213389668</v>
      </c>
      <c r="R229" s="553"/>
      <c r="S229" s="558"/>
    </row>
    <row r="230" customFormat="false" ht="12.75" hidden="false" customHeight="false" outlineLevel="0" collapsed="false">
      <c r="A230" s="266" t="s">
        <v>257</v>
      </c>
      <c r="B230" s="317" t="s">
        <v>143</v>
      </c>
      <c r="C230" s="586" t="n">
        <v>2.305</v>
      </c>
      <c r="D230" s="550" t="s">
        <v>258</v>
      </c>
      <c r="E230" s="555" t="n">
        <v>0.0522</v>
      </c>
      <c r="F230" s="562" t="n">
        <v>0.058</v>
      </c>
      <c r="G230" s="553" t="n">
        <f aca="false">+C230/(1-F230)+E230</f>
        <v>2.49912144373673</v>
      </c>
      <c r="H230" s="550" t="s">
        <v>255</v>
      </c>
      <c r="I230" s="555" t="n">
        <f aca="false">E231</f>
        <v>0.1043</v>
      </c>
      <c r="J230" s="556" t="n">
        <v>0.0228</v>
      </c>
      <c r="K230" s="553" t="n">
        <f aca="false">+G230/(1-J230)+I230</f>
        <v>2.6617308675161</v>
      </c>
      <c r="L230" s="550" t="s">
        <v>256</v>
      </c>
      <c r="M230" s="555" t="n">
        <v>0</v>
      </c>
      <c r="N230" s="556" t="n">
        <v>0.0025</v>
      </c>
      <c r="O230" s="553" t="n">
        <f aca="false">+K230/(1-N230)+M230</f>
        <v>2.66840187219659</v>
      </c>
      <c r="P230" s="557" t="n">
        <f aca="false">Weightings!$C$5</f>
        <v>1309.88291792445</v>
      </c>
      <c r="Q230" s="553" t="n">
        <f aca="false">+P230/SUM($P$9:$P$19)*O230</f>
        <v>0.0439009275358174</v>
      </c>
      <c r="R230" s="553"/>
      <c r="S230" s="273"/>
    </row>
    <row r="231" customFormat="false" ht="12.75" hidden="false" customHeight="false" outlineLevel="0" collapsed="false">
      <c r="A231" s="266" t="s">
        <v>259</v>
      </c>
      <c r="B231" s="317" t="s">
        <v>287</v>
      </c>
      <c r="C231" s="586" t="n">
        <v>2.47</v>
      </c>
      <c r="D231" s="550" t="s">
        <v>260</v>
      </c>
      <c r="E231" s="555" t="n">
        <f aca="false">0.0951+0.0022+0.007</f>
        <v>0.1043</v>
      </c>
      <c r="F231" s="562" t="n">
        <v>0.0228</v>
      </c>
      <c r="G231" s="553" t="n">
        <f aca="false">+C231/(1-F231)+E231</f>
        <v>2.63192996316005</v>
      </c>
      <c r="H231" s="550" t="s">
        <v>256</v>
      </c>
      <c r="I231" s="555" t="n">
        <v>0</v>
      </c>
      <c r="J231" s="556" t="n">
        <v>0.0025</v>
      </c>
      <c r="K231" s="553" t="n">
        <f aca="false">+G231/(1-J231)+I231</f>
        <v>2.63852627885719</v>
      </c>
      <c r="L231" s="550"/>
      <c r="M231" s="555" t="n">
        <v>0</v>
      </c>
      <c r="N231" s="556" t="n">
        <v>0</v>
      </c>
      <c r="O231" s="553" t="n">
        <f aca="false">+K231/(1-N231)+M231</f>
        <v>2.63852627885719</v>
      </c>
      <c r="P231" s="557" t="n">
        <f aca="false">Weightings!$C$6</f>
        <v>19813.4520237259</v>
      </c>
      <c r="Q231" s="553" t="n">
        <f aca="false">+P231/SUM($P$9:$P$19)*O231</f>
        <v>0.656616138013953</v>
      </c>
      <c r="R231" s="553"/>
      <c r="S231" s="273"/>
    </row>
    <row r="232" customFormat="false" ht="12.75" hidden="false" customHeight="false" outlineLevel="0" collapsed="false">
      <c r="A232" s="266" t="s">
        <v>261</v>
      </c>
      <c r="B232" s="317" t="s">
        <v>288</v>
      </c>
      <c r="C232" s="586" t="n">
        <v>2.47</v>
      </c>
      <c r="D232" s="550" t="s">
        <v>262</v>
      </c>
      <c r="E232" s="555" t="n">
        <f aca="false">0.0951+0.0022+0.007</f>
        <v>0.1043</v>
      </c>
      <c r="F232" s="562" t="n">
        <v>0.0228</v>
      </c>
      <c r="G232" s="553" t="n">
        <f aca="false">+C232/(1-F232)+E232</f>
        <v>2.63192996316005</v>
      </c>
      <c r="H232" s="550" t="s">
        <v>256</v>
      </c>
      <c r="I232" s="555" t="n">
        <v>0</v>
      </c>
      <c r="J232" s="556" t="n">
        <v>0.0025</v>
      </c>
      <c r="K232" s="553" t="n">
        <f aca="false">+G232/(1-J232)+I232</f>
        <v>2.63852627885719</v>
      </c>
      <c r="L232" s="550"/>
      <c r="M232" s="555" t="n">
        <v>0</v>
      </c>
      <c r="N232" s="556" t="n">
        <v>0</v>
      </c>
      <c r="O232" s="553" t="n">
        <f aca="false">+K232/(1-N232)+M232</f>
        <v>2.63852627885719</v>
      </c>
      <c r="P232" s="557" t="n">
        <f aca="false">Weightings!$C$7</f>
        <v>669.603363940486</v>
      </c>
      <c r="Q232" s="553" t="n">
        <f aca="false">+P232/SUM($P$9:$P$19)*O232</f>
        <v>0.0221905993112791</v>
      </c>
      <c r="R232" s="553"/>
      <c r="S232" s="558"/>
    </row>
    <row r="233" customFormat="false" ht="12.75" hidden="false" customHeight="false" outlineLevel="0" collapsed="false">
      <c r="A233" s="266" t="s">
        <v>206</v>
      </c>
      <c r="B233" s="317" t="s">
        <v>289</v>
      </c>
      <c r="C233" s="587" t="n">
        <f aca="false">C238</f>
        <v>2.355</v>
      </c>
      <c r="D233" s="550" t="s">
        <v>290</v>
      </c>
      <c r="E233" s="588" t="n">
        <f aca="false">0.0331+0.0022+0.0097</f>
        <v>0.045</v>
      </c>
      <c r="F233" s="589" t="n">
        <v>0.0504</v>
      </c>
      <c r="G233" s="553" t="n">
        <f aca="false">+C233/(1-F233)+E233</f>
        <v>2.52499157540017</v>
      </c>
      <c r="H233" s="550" t="s">
        <v>255</v>
      </c>
      <c r="I233" s="555" t="n">
        <f aca="false">E231</f>
        <v>0.1043</v>
      </c>
      <c r="J233" s="556" t="n">
        <v>0.0228</v>
      </c>
      <c r="K233" s="553" t="n">
        <f aca="false">+G233/(1-J233)+I233</f>
        <v>2.68820460028671</v>
      </c>
      <c r="L233" s="550" t="s">
        <v>256</v>
      </c>
      <c r="M233" s="555" t="n">
        <v>0</v>
      </c>
      <c r="N233" s="556" t="n">
        <v>0.0025</v>
      </c>
      <c r="O233" s="553" t="n">
        <f aca="false">+K233/(1-N233)+M233</f>
        <v>2.69494195517464</v>
      </c>
      <c r="P233" s="557" t="n">
        <f aca="false">Weightings!$C$8</f>
        <v>273.774605247488</v>
      </c>
      <c r="Q233" s="553" t="n">
        <f aca="false">+P233/SUM($P$9:$P$19)*O233</f>
        <v>0.00926685905950107</v>
      </c>
      <c r="R233" s="553"/>
      <c r="S233" s="273"/>
    </row>
    <row r="234" customFormat="false" ht="12.75" hidden="false" customHeight="false" outlineLevel="0" collapsed="false">
      <c r="A234" s="266" t="s">
        <v>207</v>
      </c>
      <c r="B234" s="317" t="s">
        <v>144</v>
      </c>
      <c r="C234" s="587" t="n">
        <f aca="false">C239</f>
        <v>2.445</v>
      </c>
      <c r="D234" s="550" t="s">
        <v>291</v>
      </c>
      <c r="E234" s="588" t="n">
        <f aca="false">0.0305+0.0022+0.0097</f>
        <v>0.0424</v>
      </c>
      <c r="F234" s="589" t="n">
        <v>0.0462</v>
      </c>
      <c r="G234" s="553" t="n">
        <f aca="false">+C234/(1-F234)+E234</f>
        <v>2.60583048857203</v>
      </c>
      <c r="H234" s="550" t="s">
        <v>255</v>
      </c>
      <c r="I234" s="555" t="n">
        <f aca="false">E231</f>
        <v>0.1043</v>
      </c>
      <c r="J234" s="556" t="n">
        <v>0.0228</v>
      </c>
      <c r="K234" s="553" t="n">
        <f aca="false">+G234/(1-J234)+I234</f>
        <v>2.77092964446585</v>
      </c>
      <c r="L234" s="550" t="s">
        <v>256</v>
      </c>
      <c r="M234" s="555" t="n">
        <v>0</v>
      </c>
      <c r="N234" s="556" t="n">
        <v>0.0025</v>
      </c>
      <c r="O234" s="553" t="n">
        <f aca="false">+K234/(1-N234)+M234</f>
        <v>2.77787433029158</v>
      </c>
      <c r="P234" s="557" t="n">
        <f aca="false">Weightings!$C$9</f>
        <v>6.55445647922163</v>
      </c>
      <c r="Q234" s="553" t="n">
        <f aca="false">+P234/SUM($P$9:$P$19)*O234</f>
        <v>0.00022868583219555</v>
      </c>
      <c r="R234" s="553"/>
      <c r="S234" s="273"/>
    </row>
    <row r="235" customFormat="false" ht="12.75" hidden="false" customHeight="false" outlineLevel="0" collapsed="false">
      <c r="A235" s="266" t="s">
        <v>211</v>
      </c>
      <c r="B235" s="317" t="s">
        <v>292</v>
      </c>
      <c r="C235" s="586" t="n">
        <v>2.365</v>
      </c>
      <c r="D235" s="550" t="s">
        <v>269</v>
      </c>
      <c r="E235" s="555" t="n">
        <f aca="false">0.0366+0.0022</f>
        <v>0.0388</v>
      </c>
      <c r="F235" s="562" t="n">
        <v>0.00697</v>
      </c>
      <c r="G235" s="553" t="n">
        <f aca="false">+C235/(1-F235)+E235</f>
        <v>2.42039975025931</v>
      </c>
      <c r="H235" s="550" t="s">
        <v>270</v>
      </c>
      <c r="I235" s="588" t="n">
        <f aca="false">0.017+0.0022</f>
        <v>0.0192</v>
      </c>
      <c r="J235" s="589" t="n">
        <v>0.02902</v>
      </c>
      <c r="K235" s="553" t="n">
        <f aca="false">+G235/(1-J235)+I235</f>
        <v>2.51193903711643</v>
      </c>
      <c r="L235" s="561" t="s">
        <v>271</v>
      </c>
      <c r="M235" s="555" t="n">
        <f aca="false">E236</f>
        <v>0.0226</v>
      </c>
      <c r="N235" s="562" t="n">
        <f aca="false">F236</f>
        <v>0.02776</v>
      </c>
      <c r="O235" s="563" t="n">
        <f aca="false">+K235/(1-N235)+M235</f>
        <v>2.60626147979555</v>
      </c>
      <c r="P235" s="557" t="n">
        <f aca="false">Weightings!$C$13</f>
        <v>31370.607479626</v>
      </c>
      <c r="Q235" s="553" t="n">
        <f aca="false">+P235/SUM($P$9:$P$19)*O235</f>
        <v>1.02690648104051</v>
      </c>
      <c r="R235" s="563"/>
      <c r="S235" s="273"/>
    </row>
    <row r="236" customFormat="false" ht="12.75" hidden="false" customHeight="false" outlineLevel="0" collapsed="false">
      <c r="A236" s="266" t="s">
        <v>212</v>
      </c>
      <c r="B236" s="317" t="s">
        <v>293</v>
      </c>
      <c r="C236" s="586" t="n">
        <v>2.48</v>
      </c>
      <c r="D236" s="550" t="s">
        <v>272</v>
      </c>
      <c r="E236" s="555" t="n">
        <f aca="false">0.0134+0.0022+0.007</f>
        <v>0.0226</v>
      </c>
      <c r="F236" s="562" t="n">
        <v>0.02776</v>
      </c>
      <c r="G236" s="553" t="n">
        <f aca="false">+C236/(1-F236)+E236</f>
        <v>2.57341049946515</v>
      </c>
      <c r="H236" s="550"/>
      <c r="I236" s="555" t="n">
        <v>0</v>
      </c>
      <c r="J236" s="556" t="n">
        <v>0</v>
      </c>
      <c r="K236" s="553" t="n">
        <f aca="false">+G236/(1-J236)+I236</f>
        <v>2.57341049946515</v>
      </c>
      <c r="L236" s="561"/>
      <c r="M236" s="555" t="n">
        <v>0</v>
      </c>
      <c r="N236" s="556" t="n">
        <v>0</v>
      </c>
      <c r="O236" s="553" t="n">
        <f aca="false">+K236/(1-N236)+M236</f>
        <v>2.57341049946515</v>
      </c>
      <c r="P236" s="557" t="n">
        <f aca="false">Weightings!$C$14</f>
        <v>5614.32270168218</v>
      </c>
      <c r="Q236" s="553" t="n">
        <f aca="false">+P236/SUM($P$9:$P$19)*O236</f>
        <v>0.181466482425438</v>
      </c>
      <c r="R236" s="553"/>
      <c r="S236" s="564"/>
    </row>
    <row r="237" customFormat="false" ht="12.75" hidden="false" customHeight="false" outlineLevel="0" collapsed="false">
      <c r="A237" s="266" t="s">
        <v>213</v>
      </c>
      <c r="B237" s="317" t="s">
        <v>294</v>
      </c>
      <c r="C237" s="586" t="n">
        <v>2.32</v>
      </c>
      <c r="D237" s="550" t="s">
        <v>295</v>
      </c>
      <c r="E237" s="588" t="n">
        <f aca="false">0.0299+0.0022+0.0097</f>
        <v>0.0418</v>
      </c>
      <c r="F237" s="589" t="n">
        <v>0.0458</v>
      </c>
      <c r="G237" s="553" t="n">
        <f aca="false">+C237/(1-F237)+E237</f>
        <v>2.47315610983022</v>
      </c>
      <c r="H237" s="550" t="s">
        <v>274</v>
      </c>
      <c r="I237" s="555" t="n">
        <v>0</v>
      </c>
      <c r="J237" s="556" t="n">
        <v>0.01</v>
      </c>
      <c r="K237" s="553" t="n">
        <f aca="false">+G237/(1-J237)+I237</f>
        <v>2.49813748467699</v>
      </c>
      <c r="L237" s="561"/>
      <c r="M237" s="555" t="n">
        <v>0</v>
      </c>
      <c r="N237" s="556" t="n">
        <v>0</v>
      </c>
      <c r="O237" s="553" t="n">
        <f aca="false">+K237/(1-N237)+M237</f>
        <v>2.49813748467699</v>
      </c>
      <c r="P237" s="557" t="n">
        <f aca="false">Weightings!$C$15</f>
        <v>3366</v>
      </c>
      <c r="Q237" s="553" t="n">
        <f aca="false">+P237/SUM($P$9:$P$19)*O237</f>
        <v>0.105613741541041</v>
      </c>
      <c r="R237" s="553"/>
      <c r="S237" s="273"/>
    </row>
    <row r="238" customFormat="false" ht="12.75" hidden="false" customHeight="false" outlineLevel="0" collapsed="false">
      <c r="A238" s="266" t="s">
        <v>214</v>
      </c>
      <c r="B238" s="317" t="s">
        <v>289</v>
      </c>
      <c r="C238" s="586" t="n">
        <v>2.355</v>
      </c>
      <c r="D238" s="550" t="s">
        <v>296</v>
      </c>
      <c r="E238" s="588" t="n">
        <f aca="false">0.0277+0.0022+0.0097</f>
        <v>0.0396</v>
      </c>
      <c r="F238" s="589" t="n">
        <v>0.0423</v>
      </c>
      <c r="G238" s="553" t="n">
        <f aca="false">+C238/(1-F238)+E238</f>
        <v>2.49861639344262</v>
      </c>
      <c r="H238" s="550" t="s">
        <v>274</v>
      </c>
      <c r="I238" s="555" t="n">
        <v>0</v>
      </c>
      <c r="J238" s="556" t="n">
        <v>0.01</v>
      </c>
      <c r="K238" s="553" t="n">
        <f aca="false">+G238/(1-J238)+I238</f>
        <v>2.52385494287134</v>
      </c>
      <c r="M238" s="555" t="n">
        <v>0</v>
      </c>
      <c r="N238" s="556" t="n">
        <v>0</v>
      </c>
      <c r="O238" s="553" t="n">
        <f aca="false">+K238/(1-N238)+M238</f>
        <v>2.52385494287134</v>
      </c>
      <c r="P238" s="557" t="n">
        <f aca="false">Weightings!$C$16</f>
        <v>4950</v>
      </c>
      <c r="Q238" s="553" t="n">
        <f aca="false">+P238/SUM($P$9:$P$19)*O238</f>
        <v>0.156913232863466</v>
      </c>
      <c r="R238" s="553"/>
      <c r="S238" s="273"/>
    </row>
    <row r="239" customFormat="false" ht="12.75" hidden="false" customHeight="false" outlineLevel="0" collapsed="false">
      <c r="A239" s="266" t="s">
        <v>215</v>
      </c>
      <c r="B239" s="317" t="s">
        <v>144</v>
      </c>
      <c r="C239" s="586" t="n">
        <v>2.445</v>
      </c>
      <c r="D239" s="550" t="s">
        <v>297</v>
      </c>
      <c r="E239" s="588" t="n">
        <f aca="false">0.0251+0.0022+0.0097</f>
        <v>0.037</v>
      </c>
      <c r="F239" s="589" t="n">
        <v>0.0381</v>
      </c>
      <c r="G239" s="553" t="n">
        <f aca="false">+C239/(1-F239)+E239</f>
        <v>2.57884426655578</v>
      </c>
      <c r="H239" s="550" t="s">
        <v>274</v>
      </c>
      <c r="I239" s="555" t="n">
        <v>0</v>
      </c>
      <c r="J239" s="556" t="n">
        <v>0.01</v>
      </c>
      <c r="K239" s="553" t="n">
        <f aca="false">+G239/(1-J239)+I239</f>
        <v>2.60489319854119</v>
      </c>
      <c r="M239" s="555" t="n">
        <v>0</v>
      </c>
      <c r="N239" s="556" t="n">
        <v>0</v>
      </c>
      <c r="O239" s="553" t="n">
        <f aca="false">+K239/(1-N239)+M239</f>
        <v>2.60489319854119</v>
      </c>
      <c r="P239" s="557" t="n">
        <f aca="false">Weightings!$C$17</f>
        <v>11172.1727158949</v>
      </c>
      <c r="Q239" s="553" t="n">
        <f aca="false">+P239/SUM($P$9:$P$19)*O239</f>
        <v>0.365525385363222</v>
      </c>
      <c r="R239" s="553"/>
      <c r="S239" s="273"/>
    </row>
    <row r="240" customFormat="false" ht="12.75" hidden="false" customHeight="false" outlineLevel="0" collapsed="false">
      <c r="O240" s="403"/>
      <c r="P240" s="385"/>
      <c r="Q240" s="403"/>
      <c r="R240" s="403"/>
      <c r="S240" s="565"/>
    </row>
    <row r="241" customFormat="false" ht="13.5" hidden="false" customHeight="false" outlineLevel="0" collapsed="false">
      <c r="O241" s="566"/>
      <c r="P241" s="567"/>
      <c r="Q241" s="566"/>
      <c r="R241" s="566"/>
    </row>
    <row r="242" customFormat="false" ht="13.5" hidden="false" customHeight="false" outlineLevel="0" collapsed="false">
      <c r="O242" s="568" t="s">
        <v>277</v>
      </c>
      <c r="P242" s="569"/>
      <c r="Q242" s="570" t="n">
        <f aca="false">SUM(Q229:Q239)</f>
        <v>2.60470965432539</v>
      </c>
      <c r="R242" s="590" t="n">
        <f aca="false">B227</f>
        <v>37176</v>
      </c>
    </row>
    <row r="243" customFormat="false" ht="12.75" hidden="false" customHeight="false" outlineLevel="0" collapsed="false">
      <c r="O243" s="403"/>
      <c r="P243" s="403"/>
      <c r="Q243" s="403"/>
      <c r="R243" s="403"/>
      <c r="S243" s="403"/>
    </row>
    <row r="244" customFormat="false" ht="12.75" hidden="false" customHeight="false" outlineLevel="0" collapsed="false">
      <c r="D244" s="550"/>
      <c r="H244" s="553"/>
      <c r="O244" s="566" t="s">
        <v>298</v>
      </c>
      <c r="P244" s="571" t="n">
        <f aca="false">Weightings!C243</f>
        <v>0</v>
      </c>
      <c r="Q244" s="403" t="s">
        <v>279</v>
      </c>
      <c r="R244" s="572" t="s">
        <v>280</v>
      </c>
      <c r="S244" s="403"/>
    </row>
    <row r="245" customFormat="false" ht="13.5" hidden="false" customHeight="false" outlineLevel="0" collapsed="false">
      <c r="A245" s="591"/>
      <c r="B245" s="592"/>
      <c r="C245" s="591"/>
      <c r="D245" s="593"/>
      <c r="E245" s="591"/>
      <c r="F245" s="591"/>
      <c r="G245" s="591"/>
      <c r="H245" s="594"/>
      <c r="I245" s="591"/>
      <c r="J245" s="591"/>
      <c r="K245" s="591"/>
      <c r="L245" s="591"/>
      <c r="M245" s="591"/>
      <c r="N245" s="591"/>
      <c r="O245" s="591"/>
      <c r="P245" s="595"/>
      <c r="Q245" s="591"/>
      <c r="R245" s="591"/>
      <c r="S245" s="591"/>
    </row>
    <row r="246" customFormat="false" ht="14.25" hidden="false" customHeight="false" outlineLevel="0" collapsed="false">
      <c r="A246" s="267"/>
      <c r="B246" s="544"/>
      <c r="D246" s="269" t="s">
        <v>241</v>
      </c>
      <c r="H246" s="269" t="s">
        <v>242</v>
      </c>
      <c r="L246" s="269" t="s">
        <v>243</v>
      </c>
    </row>
    <row r="247" customFormat="false" ht="14.25" hidden="false" customHeight="false" outlineLevel="0" collapsed="false">
      <c r="A247" s="582" t="s">
        <v>284</v>
      </c>
      <c r="B247" s="583" t="n">
        <f aca="false">B227+1</f>
        <v>37177</v>
      </c>
      <c r="C247" s="584" t="n">
        <f aca="false">Q262</f>
        <v>2.50286200713258</v>
      </c>
      <c r="E247" s="585"/>
    </row>
    <row r="248" customFormat="false" ht="54" hidden="false" customHeight="true" outlineLevel="0" collapsed="false">
      <c r="A248" s="267" t="s">
        <v>244</v>
      </c>
      <c r="B248" s="315" t="s">
        <v>132</v>
      </c>
      <c r="C248" s="545" t="s">
        <v>286</v>
      </c>
      <c r="D248" s="546" t="s">
        <v>247</v>
      </c>
      <c r="E248" s="547" t="s">
        <v>248</v>
      </c>
      <c r="F248" s="547" t="s">
        <v>249</v>
      </c>
      <c r="G248" s="547" t="s">
        <v>250</v>
      </c>
      <c r="H248" s="546" t="s">
        <v>247</v>
      </c>
      <c r="I248" s="547" t="s">
        <v>248</v>
      </c>
      <c r="J248" s="547" t="s">
        <v>249</v>
      </c>
      <c r="K248" s="547" t="s">
        <v>250</v>
      </c>
      <c r="L248" s="546" t="s">
        <v>247</v>
      </c>
      <c r="M248" s="547" t="s">
        <v>248</v>
      </c>
      <c r="N248" s="547" t="s">
        <v>249</v>
      </c>
      <c r="O248" s="547" t="s">
        <v>250</v>
      </c>
      <c r="P248" s="547" t="s">
        <v>251</v>
      </c>
      <c r="Q248" s="547" t="s">
        <v>252</v>
      </c>
      <c r="R248" s="547"/>
      <c r="S248" s="547"/>
    </row>
    <row r="249" customFormat="false" ht="12.75" hidden="false" customHeight="false" outlineLevel="0" collapsed="false">
      <c r="A249" s="266" t="s">
        <v>253</v>
      </c>
      <c r="B249" s="317" t="s">
        <v>142</v>
      </c>
      <c r="C249" s="586" t="n">
        <v>2.235</v>
      </c>
      <c r="D249" s="550" t="s">
        <v>254</v>
      </c>
      <c r="E249" s="555" t="n">
        <v>0.0522</v>
      </c>
      <c r="F249" s="562" t="n">
        <v>0.0506</v>
      </c>
      <c r="G249" s="553" t="n">
        <f aca="false">+C249/(1-F249)+E249</f>
        <v>2.40631839056246</v>
      </c>
      <c r="H249" s="550" t="s">
        <v>255</v>
      </c>
      <c r="I249" s="555" t="n">
        <f aca="false">E251</f>
        <v>0.1043</v>
      </c>
      <c r="J249" s="556" t="n">
        <v>0.0228</v>
      </c>
      <c r="K249" s="553" t="n">
        <f aca="false">+G249/(1-J249)+I249</f>
        <v>2.5667625363922</v>
      </c>
      <c r="L249" s="550" t="s">
        <v>256</v>
      </c>
      <c r="M249" s="555" t="n">
        <v>0</v>
      </c>
      <c r="N249" s="556" t="n">
        <v>0.0025</v>
      </c>
      <c r="O249" s="553" t="n">
        <f aca="false">+K249/(1-N249)+M249</f>
        <v>2.57319552520522</v>
      </c>
      <c r="P249" s="557" t="n">
        <f aca="false">Weightings!$C$4</f>
        <v>1071.40153987277</v>
      </c>
      <c r="Q249" s="553" t="n">
        <f aca="false">+P249/SUM($P$9:$P$19)*O249</f>
        <v>0.0346270133616883</v>
      </c>
      <c r="R249" s="553"/>
      <c r="S249" s="558"/>
    </row>
    <row r="250" customFormat="false" ht="12.75" hidden="false" customHeight="false" outlineLevel="0" collapsed="false">
      <c r="A250" s="266" t="s">
        <v>257</v>
      </c>
      <c r="B250" s="317" t="s">
        <v>143</v>
      </c>
      <c r="C250" s="586" t="n">
        <v>2.22</v>
      </c>
      <c r="D250" s="550" t="s">
        <v>258</v>
      </c>
      <c r="E250" s="555" t="n">
        <v>0.0522</v>
      </c>
      <c r="F250" s="562" t="n">
        <v>0.058</v>
      </c>
      <c r="G250" s="553" t="n">
        <f aca="false">+C250/(1-F250)+E250</f>
        <v>2.40888789808917</v>
      </c>
      <c r="H250" s="550" t="s">
        <v>255</v>
      </c>
      <c r="I250" s="555" t="n">
        <f aca="false">E251</f>
        <v>0.1043</v>
      </c>
      <c r="J250" s="556" t="n">
        <v>0.0228</v>
      </c>
      <c r="K250" s="553" t="n">
        <f aca="false">+G250/(1-J250)+I250</f>
        <v>2.56939199558859</v>
      </c>
      <c r="L250" s="550" t="s">
        <v>256</v>
      </c>
      <c r="M250" s="555" t="n">
        <v>0</v>
      </c>
      <c r="N250" s="556" t="n">
        <v>0.0025</v>
      </c>
      <c r="O250" s="553" t="n">
        <f aca="false">+K250/(1-N250)+M250</f>
        <v>2.5758315745249</v>
      </c>
      <c r="P250" s="557" t="n">
        <f aca="false">Weightings!$C$5</f>
        <v>1309.88291792445</v>
      </c>
      <c r="Q250" s="553" t="n">
        <f aca="false">+P250/SUM($P$9:$P$19)*O250</f>
        <v>0.0423779478181079</v>
      </c>
      <c r="R250" s="553"/>
      <c r="S250" s="273"/>
    </row>
    <row r="251" customFormat="false" ht="12.75" hidden="false" customHeight="false" outlineLevel="0" collapsed="false">
      <c r="A251" s="266" t="s">
        <v>259</v>
      </c>
      <c r="B251" s="317" t="s">
        <v>287</v>
      </c>
      <c r="C251" s="586" t="n">
        <v>2.385</v>
      </c>
      <c r="D251" s="550" t="s">
        <v>260</v>
      </c>
      <c r="E251" s="555" t="n">
        <f aca="false">0.0951+0.0022+0.007</f>
        <v>0.1043</v>
      </c>
      <c r="F251" s="562" t="n">
        <v>0.0228</v>
      </c>
      <c r="G251" s="553" t="n">
        <f aca="false">+C251/(1-F251)+E251</f>
        <v>2.54494674580434</v>
      </c>
      <c r="H251" s="550" t="s">
        <v>256</v>
      </c>
      <c r="I251" s="555" t="n">
        <v>0</v>
      </c>
      <c r="J251" s="556" t="n">
        <v>0.0025</v>
      </c>
      <c r="K251" s="553" t="n">
        <f aca="false">+G251/(1-J251)+I251</f>
        <v>2.55132505845046</v>
      </c>
      <c r="L251" s="550"/>
      <c r="M251" s="555" t="n">
        <v>0</v>
      </c>
      <c r="N251" s="556" t="n">
        <v>0</v>
      </c>
      <c r="O251" s="553" t="n">
        <f aca="false">+K251/(1-N251)+M251</f>
        <v>2.55132505845046</v>
      </c>
      <c r="P251" s="557" t="n">
        <f aca="false">Weightings!$C$6</f>
        <v>19813.4520237259</v>
      </c>
      <c r="Q251" s="553" t="n">
        <f aca="false">+P251/SUM($P$9:$P$19)*O251</f>
        <v>0.634915490560721</v>
      </c>
      <c r="R251" s="553"/>
      <c r="S251" s="273"/>
    </row>
    <row r="252" customFormat="false" ht="12.75" hidden="false" customHeight="false" outlineLevel="0" collapsed="false">
      <c r="A252" s="266" t="s">
        <v>261</v>
      </c>
      <c r="B252" s="317" t="s">
        <v>288</v>
      </c>
      <c r="C252" s="586" t="n">
        <v>2.46</v>
      </c>
      <c r="D252" s="550" t="s">
        <v>262</v>
      </c>
      <c r="E252" s="555" t="n">
        <f aca="false">0.0951+0.0022+0.007</f>
        <v>0.1043</v>
      </c>
      <c r="F252" s="562" t="n">
        <v>0.0228</v>
      </c>
      <c r="G252" s="553" t="n">
        <f aca="false">+C252/(1-F252)+E252</f>
        <v>2.62169664347114</v>
      </c>
      <c r="H252" s="550" t="s">
        <v>256</v>
      </c>
      <c r="I252" s="555" t="n">
        <v>0</v>
      </c>
      <c r="J252" s="556" t="n">
        <v>0.0025</v>
      </c>
      <c r="K252" s="553" t="n">
        <f aca="false">+G252/(1-J252)+I252</f>
        <v>2.62826731175052</v>
      </c>
      <c r="L252" s="550"/>
      <c r="M252" s="555" t="n">
        <v>0</v>
      </c>
      <c r="N252" s="556" t="n">
        <v>0</v>
      </c>
      <c r="O252" s="553" t="n">
        <f aca="false">+K252/(1-N252)+M252</f>
        <v>2.62826731175052</v>
      </c>
      <c r="P252" s="557" t="n">
        <f aca="false">Weightings!$C$7</f>
        <v>669.603363940486</v>
      </c>
      <c r="Q252" s="553" t="n">
        <f aca="false">+P252/SUM($P$9:$P$19)*O252</f>
        <v>0.0221043190910531</v>
      </c>
      <c r="R252" s="553"/>
      <c r="S252" s="558"/>
    </row>
    <row r="253" customFormat="false" ht="12.75" hidden="false" customHeight="false" outlineLevel="0" collapsed="false">
      <c r="A253" s="266" t="s">
        <v>206</v>
      </c>
      <c r="B253" s="317" t="s">
        <v>289</v>
      </c>
      <c r="C253" s="587" t="n">
        <f aca="false">C258</f>
        <v>2.22</v>
      </c>
      <c r="D253" s="550" t="s">
        <v>290</v>
      </c>
      <c r="E253" s="588" t="n">
        <f aca="false">0.0331+0.0022+0.0097</f>
        <v>0.045</v>
      </c>
      <c r="F253" s="589" t="n">
        <v>0.0504</v>
      </c>
      <c r="G253" s="553" t="n">
        <f aca="false">+C253/(1-F253)+E253</f>
        <v>2.38282645324347</v>
      </c>
      <c r="H253" s="550" t="s">
        <v>255</v>
      </c>
      <c r="I253" s="555" t="n">
        <f aca="false">E251</f>
        <v>0.1043</v>
      </c>
      <c r="J253" s="556" t="n">
        <v>0.0228</v>
      </c>
      <c r="K253" s="553" t="n">
        <f aca="false">+G253/(1-J253)+I253</f>
        <v>2.5427224859225</v>
      </c>
      <c r="L253" s="550" t="s">
        <v>256</v>
      </c>
      <c r="M253" s="555" t="n">
        <v>0</v>
      </c>
      <c r="N253" s="556" t="n">
        <v>0.0025</v>
      </c>
      <c r="O253" s="553" t="n">
        <f aca="false">+K253/(1-N253)+M253</f>
        <v>2.54909522398246</v>
      </c>
      <c r="P253" s="557" t="n">
        <f aca="false">Weightings!$C$8</f>
        <v>273.774605247488</v>
      </c>
      <c r="Q253" s="553" t="n">
        <f aca="false">+P253/SUM($P$9:$P$19)*O253</f>
        <v>0.00876534877663514</v>
      </c>
      <c r="R253" s="553"/>
      <c r="S253" s="273"/>
    </row>
    <row r="254" customFormat="false" ht="12.75" hidden="false" customHeight="false" outlineLevel="0" collapsed="false">
      <c r="A254" s="266" t="s">
        <v>207</v>
      </c>
      <c r="B254" s="317" t="s">
        <v>144</v>
      </c>
      <c r="C254" s="587" t="n">
        <f aca="false">C259</f>
        <v>2.31</v>
      </c>
      <c r="D254" s="550" t="s">
        <v>291</v>
      </c>
      <c r="E254" s="588" t="n">
        <f aca="false">0.0305+0.0022+0.0097</f>
        <v>0.0424</v>
      </c>
      <c r="F254" s="589" t="n">
        <v>0.0462</v>
      </c>
      <c r="G254" s="553" t="n">
        <f aca="false">+C254/(1-F254)+E254</f>
        <v>2.46429138184106</v>
      </c>
      <c r="H254" s="550" t="s">
        <v>255</v>
      </c>
      <c r="I254" s="555" t="n">
        <f aca="false">E251</f>
        <v>0.1043</v>
      </c>
      <c r="J254" s="556" t="n">
        <v>0.0228</v>
      </c>
      <c r="K254" s="553" t="n">
        <f aca="false">+G254/(1-J254)+I254</f>
        <v>2.62608815169981</v>
      </c>
      <c r="L254" s="550" t="s">
        <v>256</v>
      </c>
      <c r="M254" s="555" t="n">
        <v>0</v>
      </c>
      <c r="N254" s="556" t="n">
        <v>0.0025</v>
      </c>
      <c r="O254" s="553" t="n">
        <f aca="false">+K254/(1-N254)+M254</f>
        <v>2.63266982626548</v>
      </c>
      <c r="P254" s="557" t="n">
        <f aca="false">Weightings!$C$9</f>
        <v>6.55445647922163</v>
      </c>
      <c r="Q254" s="553" t="n">
        <f aca="false">+P254/SUM($P$9:$P$19)*O254</f>
        <v>0.000216732011074252</v>
      </c>
      <c r="R254" s="553"/>
      <c r="S254" s="273"/>
    </row>
    <row r="255" customFormat="false" ht="12.75" hidden="false" customHeight="false" outlineLevel="0" collapsed="false">
      <c r="A255" s="266" t="s">
        <v>211</v>
      </c>
      <c r="B255" s="317" t="s">
        <v>292</v>
      </c>
      <c r="C255" s="586" t="n">
        <v>2.28</v>
      </c>
      <c r="D255" s="550" t="s">
        <v>269</v>
      </c>
      <c r="E255" s="555" t="n">
        <f aca="false">0.0366+0.0022</f>
        <v>0.0388</v>
      </c>
      <c r="F255" s="562" t="n">
        <v>0.00697</v>
      </c>
      <c r="G255" s="553" t="n">
        <f aca="false">+C255/(1-F255)+E255</f>
        <v>2.33480314189904</v>
      </c>
      <c r="H255" s="550" t="s">
        <v>270</v>
      </c>
      <c r="I255" s="588" t="n">
        <f aca="false">0.017+0.0022</f>
        <v>0.0192</v>
      </c>
      <c r="J255" s="589" t="n">
        <v>0.02902</v>
      </c>
      <c r="K255" s="553" t="n">
        <f aca="false">+G255/(1-J255)+I255</f>
        <v>2.4237841746473</v>
      </c>
      <c r="L255" s="561" t="s">
        <v>271</v>
      </c>
      <c r="M255" s="555" t="n">
        <f aca="false">E256</f>
        <v>0.0226</v>
      </c>
      <c r="N255" s="562" t="n">
        <f aca="false">F256</f>
        <v>0.02776</v>
      </c>
      <c r="O255" s="563" t="n">
        <f aca="false">+K255/(1-N255)+M255</f>
        <v>2.51558956497089</v>
      </c>
      <c r="P255" s="557" t="n">
        <f aca="false">Weightings!$C$13</f>
        <v>31370.607479626</v>
      </c>
      <c r="Q255" s="553" t="n">
        <f aca="false">+P255/SUM($P$9:$P$19)*O255</f>
        <v>0.991180373854553</v>
      </c>
      <c r="R255" s="563"/>
      <c r="S255" s="273"/>
    </row>
    <row r="256" customFormat="false" ht="12.75" hidden="false" customHeight="false" outlineLevel="0" collapsed="false">
      <c r="A256" s="266" t="s">
        <v>212</v>
      </c>
      <c r="B256" s="317" t="s">
        <v>293</v>
      </c>
      <c r="C256" s="586" t="n">
        <v>2.415</v>
      </c>
      <c r="D256" s="550" t="s">
        <v>272</v>
      </c>
      <c r="E256" s="555" t="n">
        <f aca="false">0.0134+0.0022+0.007</f>
        <v>0.0226</v>
      </c>
      <c r="F256" s="562" t="n">
        <v>0.02776</v>
      </c>
      <c r="G256" s="553" t="n">
        <f aca="false">+C256/(1-F256)+E256</f>
        <v>2.50655457911627</v>
      </c>
      <c r="H256" s="550"/>
      <c r="I256" s="555" t="n">
        <v>0</v>
      </c>
      <c r="J256" s="556" t="n">
        <v>0</v>
      </c>
      <c r="K256" s="553" t="n">
        <f aca="false">+G256/(1-J256)+I256</f>
        <v>2.50655457911627</v>
      </c>
      <c r="L256" s="561"/>
      <c r="M256" s="555" t="n">
        <v>0</v>
      </c>
      <c r="N256" s="556" t="n">
        <v>0</v>
      </c>
      <c r="O256" s="553" t="n">
        <f aca="false">+K256/(1-N256)+M256</f>
        <v>2.50655457911627</v>
      </c>
      <c r="P256" s="557" t="n">
        <f aca="false">Weightings!$C$14</f>
        <v>5614.32270168218</v>
      </c>
      <c r="Q256" s="553" t="n">
        <f aca="false">+P256/SUM($P$9:$P$19)*O256</f>
        <v>0.176752073784629</v>
      </c>
      <c r="R256" s="553"/>
      <c r="S256" s="564"/>
    </row>
    <row r="257" customFormat="false" ht="12.75" hidden="false" customHeight="false" outlineLevel="0" collapsed="false">
      <c r="A257" s="266" t="s">
        <v>213</v>
      </c>
      <c r="B257" s="317" t="s">
        <v>294</v>
      </c>
      <c r="C257" s="586" t="n">
        <v>2.155</v>
      </c>
      <c r="D257" s="550" t="s">
        <v>295</v>
      </c>
      <c r="E257" s="588" t="n">
        <f aca="false">0.0299+0.0022+0.0097</f>
        <v>0.0418</v>
      </c>
      <c r="F257" s="589" t="n">
        <v>0.0458</v>
      </c>
      <c r="G257" s="553" t="n">
        <f aca="false">+C257/(1-F257)+E257</f>
        <v>2.30023638650178</v>
      </c>
      <c r="H257" s="550" t="s">
        <v>274</v>
      </c>
      <c r="I257" s="555" t="n">
        <v>0</v>
      </c>
      <c r="J257" s="556" t="n">
        <v>0.01</v>
      </c>
      <c r="K257" s="553" t="n">
        <f aca="false">+G257/(1-J257)+I257</f>
        <v>2.32347109747655</v>
      </c>
      <c r="L257" s="561"/>
      <c r="M257" s="555" t="n">
        <v>0</v>
      </c>
      <c r="N257" s="556" t="n">
        <v>0</v>
      </c>
      <c r="O257" s="553" t="n">
        <f aca="false">+K257/(1-N257)+M257</f>
        <v>2.32347109747655</v>
      </c>
      <c r="P257" s="557" t="n">
        <f aca="false">Weightings!$C$15</f>
        <v>3366</v>
      </c>
      <c r="Q257" s="553" t="n">
        <f aca="false">+P257/SUM($P$9:$P$19)*O257</f>
        <v>0.098229371870898</v>
      </c>
      <c r="R257" s="553"/>
      <c r="S257" s="273"/>
    </row>
    <row r="258" customFormat="false" ht="12.75" hidden="false" customHeight="false" outlineLevel="0" collapsed="false">
      <c r="A258" s="266" t="s">
        <v>214</v>
      </c>
      <c r="B258" s="317" t="s">
        <v>289</v>
      </c>
      <c r="C258" s="586" t="n">
        <v>2.22</v>
      </c>
      <c r="D258" s="550" t="s">
        <v>296</v>
      </c>
      <c r="E258" s="588" t="n">
        <f aca="false">0.0277+0.0022+0.0097</f>
        <v>0.0396</v>
      </c>
      <c r="F258" s="589" t="n">
        <v>0.0423</v>
      </c>
      <c r="G258" s="553" t="n">
        <f aca="false">+C258/(1-F258)+E258</f>
        <v>2.35765367025165</v>
      </c>
      <c r="H258" s="550" t="s">
        <v>274</v>
      </c>
      <c r="I258" s="555" t="n">
        <v>0</v>
      </c>
      <c r="J258" s="556" t="n">
        <v>0.01</v>
      </c>
      <c r="K258" s="553" t="n">
        <f aca="false">+G258/(1-J258)+I258</f>
        <v>2.38146835378954</v>
      </c>
      <c r="M258" s="555" t="n">
        <v>0</v>
      </c>
      <c r="N258" s="556" t="n">
        <v>0</v>
      </c>
      <c r="O258" s="553" t="n">
        <f aca="false">+K258/(1-N258)+M258</f>
        <v>2.38146835378954</v>
      </c>
      <c r="P258" s="557" t="n">
        <f aca="false">Weightings!$C$16</f>
        <v>4950</v>
      </c>
      <c r="Q258" s="553" t="n">
        <f aca="false">+P258/SUM($P$9:$P$19)*O258</f>
        <v>0.148060766887824</v>
      </c>
      <c r="R258" s="553"/>
      <c r="S258" s="273"/>
    </row>
    <row r="259" customFormat="false" ht="12.75" hidden="false" customHeight="false" outlineLevel="0" collapsed="false">
      <c r="A259" s="266" t="s">
        <v>215</v>
      </c>
      <c r="B259" s="317" t="s">
        <v>144</v>
      </c>
      <c r="C259" s="586" t="n">
        <v>2.31</v>
      </c>
      <c r="D259" s="550" t="s">
        <v>297</v>
      </c>
      <c r="E259" s="588" t="n">
        <f aca="false">0.0251+0.0022+0.0097</f>
        <v>0.037</v>
      </c>
      <c r="F259" s="589" t="n">
        <v>0.0381</v>
      </c>
      <c r="G259" s="553" t="n">
        <f aca="false">+C259/(1-F259)+E259</f>
        <v>2.43849703711405</v>
      </c>
      <c r="H259" s="550" t="s">
        <v>274</v>
      </c>
      <c r="I259" s="555" t="n">
        <v>0</v>
      </c>
      <c r="J259" s="556" t="n">
        <v>0.01</v>
      </c>
      <c r="K259" s="553" t="n">
        <f aca="false">+G259/(1-J259)+I259</f>
        <v>2.46312832031722</v>
      </c>
      <c r="M259" s="555" t="n">
        <v>0</v>
      </c>
      <c r="N259" s="556" t="n">
        <v>0</v>
      </c>
      <c r="O259" s="553" t="n">
        <f aca="false">+K259/(1-N259)+M259</f>
        <v>2.46312832031722</v>
      </c>
      <c r="P259" s="557" t="n">
        <f aca="false">Weightings!$C$17</f>
        <v>11172.1727158949</v>
      </c>
      <c r="Q259" s="553" t="n">
        <f aca="false">+P259/SUM($P$9:$P$19)*O259</f>
        <v>0.345632569115398</v>
      </c>
      <c r="R259" s="553"/>
      <c r="S259" s="273"/>
    </row>
    <row r="260" customFormat="false" ht="12.75" hidden="false" customHeight="false" outlineLevel="0" collapsed="false">
      <c r="O260" s="403"/>
      <c r="P260" s="385"/>
      <c r="Q260" s="403"/>
      <c r="R260" s="403"/>
      <c r="S260" s="565"/>
    </row>
    <row r="261" customFormat="false" ht="13.5" hidden="false" customHeight="false" outlineLevel="0" collapsed="false">
      <c r="O261" s="566"/>
      <c r="P261" s="567"/>
      <c r="Q261" s="566"/>
      <c r="R261" s="566"/>
    </row>
    <row r="262" customFormat="false" ht="13.5" hidden="false" customHeight="false" outlineLevel="0" collapsed="false">
      <c r="O262" s="568" t="s">
        <v>277</v>
      </c>
      <c r="P262" s="569"/>
      <c r="Q262" s="570" t="n">
        <f aca="false">SUM(Q249:Q259)</f>
        <v>2.50286200713258</v>
      </c>
      <c r="R262" s="590" t="n">
        <f aca="false">B247</f>
        <v>37177</v>
      </c>
    </row>
    <row r="263" customFormat="false" ht="12.75" hidden="false" customHeight="false" outlineLevel="0" collapsed="false">
      <c r="O263" s="403"/>
      <c r="P263" s="403"/>
      <c r="Q263" s="403"/>
      <c r="R263" s="403"/>
      <c r="S263" s="403"/>
    </row>
    <row r="264" customFormat="false" ht="12.75" hidden="false" customHeight="false" outlineLevel="0" collapsed="false">
      <c r="D264" s="550"/>
      <c r="H264" s="553"/>
      <c r="O264" s="566" t="s">
        <v>298</v>
      </c>
      <c r="P264" s="571" t="n">
        <f aca="false">Weightings!C263</f>
        <v>0</v>
      </c>
      <c r="Q264" s="403" t="s">
        <v>279</v>
      </c>
      <c r="R264" s="572" t="s">
        <v>280</v>
      </c>
      <c r="S264" s="403"/>
    </row>
    <row r="265" customFormat="false" ht="13.5" hidden="false" customHeight="false" outlineLevel="0" collapsed="false">
      <c r="A265" s="591"/>
      <c r="B265" s="592"/>
      <c r="C265" s="591"/>
      <c r="D265" s="593"/>
      <c r="E265" s="591"/>
      <c r="F265" s="591"/>
      <c r="G265" s="591"/>
      <c r="H265" s="594"/>
      <c r="I265" s="591"/>
      <c r="J265" s="591"/>
      <c r="K265" s="591"/>
      <c r="L265" s="591"/>
      <c r="M265" s="591"/>
      <c r="N265" s="591"/>
      <c r="O265" s="591"/>
      <c r="P265" s="595"/>
      <c r="Q265" s="591"/>
      <c r="R265" s="591"/>
      <c r="S265" s="591"/>
    </row>
    <row r="266" customFormat="false" ht="14.25" hidden="false" customHeight="false" outlineLevel="0" collapsed="false">
      <c r="A266" s="267"/>
      <c r="B266" s="544"/>
      <c r="D266" s="269" t="s">
        <v>241</v>
      </c>
      <c r="H266" s="269" t="s">
        <v>242</v>
      </c>
      <c r="L266" s="269" t="s">
        <v>243</v>
      </c>
    </row>
    <row r="267" customFormat="false" ht="14.25" hidden="false" customHeight="false" outlineLevel="0" collapsed="false">
      <c r="A267" s="582" t="s">
        <v>284</v>
      </c>
      <c r="B267" s="583" t="n">
        <f aca="false">B247+1</f>
        <v>37178</v>
      </c>
      <c r="C267" s="584" t="n">
        <f aca="false">Q282</f>
        <v>2.50286200713258</v>
      </c>
      <c r="E267" s="585"/>
    </row>
    <row r="268" customFormat="false" ht="54" hidden="false" customHeight="true" outlineLevel="0" collapsed="false">
      <c r="A268" s="267" t="s">
        <v>244</v>
      </c>
      <c r="B268" s="315" t="s">
        <v>132</v>
      </c>
      <c r="C268" s="545" t="s">
        <v>286</v>
      </c>
      <c r="D268" s="546" t="s">
        <v>247</v>
      </c>
      <c r="E268" s="547" t="s">
        <v>248</v>
      </c>
      <c r="F268" s="547" t="s">
        <v>249</v>
      </c>
      <c r="G268" s="547" t="s">
        <v>250</v>
      </c>
      <c r="H268" s="546" t="s">
        <v>247</v>
      </c>
      <c r="I268" s="547" t="s">
        <v>248</v>
      </c>
      <c r="J268" s="547" t="s">
        <v>249</v>
      </c>
      <c r="K268" s="547" t="s">
        <v>250</v>
      </c>
      <c r="L268" s="546" t="s">
        <v>247</v>
      </c>
      <c r="M268" s="547" t="s">
        <v>248</v>
      </c>
      <c r="N268" s="547" t="s">
        <v>249</v>
      </c>
      <c r="O268" s="547" t="s">
        <v>250</v>
      </c>
      <c r="P268" s="547" t="s">
        <v>251</v>
      </c>
      <c r="Q268" s="547" t="s">
        <v>252</v>
      </c>
      <c r="R268" s="547"/>
      <c r="S268" s="547"/>
    </row>
    <row r="269" customFormat="false" ht="12.75" hidden="false" customHeight="false" outlineLevel="0" collapsed="false">
      <c r="A269" s="266" t="s">
        <v>253</v>
      </c>
      <c r="B269" s="317" t="s">
        <v>142</v>
      </c>
      <c r="C269" s="586" t="n">
        <v>2.235</v>
      </c>
      <c r="D269" s="550" t="s">
        <v>254</v>
      </c>
      <c r="E269" s="555" t="n">
        <v>0.0522</v>
      </c>
      <c r="F269" s="562" t="n">
        <v>0.0506</v>
      </c>
      <c r="G269" s="553" t="n">
        <f aca="false">+C269/(1-F269)+E269</f>
        <v>2.40631839056246</v>
      </c>
      <c r="H269" s="550" t="s">
        <v>255</v>
      </c>
      <c r="I269" s="555" t="n">
        <f aca="false">E271</f>
        <v>0.1043</v>
      </c>
      <c r="J269" s="556" t="n">
        <v>0.0228</v>
      </c>
      <c r="K269" s="553" t="n">
        <f aca="false">+G269/(1-J269)+I269</f>
        <v>2.5667625363922</v>
      </c>
      <c r="L269" s="550" t="s">
        <v>256</v>
      </c>
      <c r="M269" s="555" t="n">
        <v>0</v>
      </c>
      <c r="N269" s="556" t="n">
        <v>0.0025</v>
      </c>
      <c r="O269" s="553" t="n">
        <f aca="false">+K269/(1-N269)+M269</f>
        <v>2.57319552520522</v>
      </c>
      <c r="P269" s="557" t="n">
        <f aca="false">Weightings!$C$4</f>
        <v>1071.40153987277</v>
      </c>
      <c r="Q269" s="553" t="n">
        <f aca="false">+P269/SUM($P$9:$P$19)*O269</f>
        <v>0.0346270133616883</v>
      </c>
      <c r="R269" s="553"/>
      <c r="S269" s="558"/>
    </row>
    <row r="270" customFormat="false" ht="12.75" hidden="false" customHeight="false" outlineLevel="0" collapsed="false">
      <c r="A270" s="266" t="s">
        <v>257</v>
      </c>
      <c r="B270" s="317" t="s">
        <v>143</v>
      </c>
      <c r="C270" s="586" t="n">
        <v>2.22</v>
      </c>
      <c r="D270" s="550" t="s">
        <v>258</v>
      </c>
      <c r="E270" s="555" t="n">
        <v>0.0522</v>
      </c>
      <c r="F270" s="562" t="n">
        <v>0.058</v>
      </c>
      <c r="G270" s="553" t="n">
        <f aca="false">+C270/(1-F270)+E270</f>
        <v>2.40888789808917</v>
      </c>
      <c r="H270" s="550" t="s">
        <v>255</v>
      </c>
      <c r="I270" s="555" t="n">
        <f aca="false">E271</f>
        <v>0.1043</v>
      </c>
      <c r="J270" s="556" t="n">
        <v>0.0228</v>
      </c>
      <c r="K270" s="553" t="n">
        <f aca="false">+G270/(1-J270)+I270</f>
        <v>2.56939199558859</v>
      </c>
      <c r="L270" s="550" t="s">
        <v>256</v>
      </c>
      <c r="M270" s="555" t="n">
        <v>0</v>
      </c>
      <c r="N270" s="556" t="n">
        <v>0.0025</v>
      </c>
      <c r="O270" s="553" t="n">
        <f aca="false">+K270/(1-N270)+M270</f>
        <v>2.5758315745249</v>
      </c>
      <c r="P270" s="557" t="n">
        <f aca="false">Weightings!$C$5</f>
        <v>1309.88291792445</v>
      </c>
      <c r="Q270" s="553" t="n">
        <f aca="false">+P270/SUM($P$9:$P$19)*O270</f>
        <v>0.0423779478181079</v>
      </c>
      <c r="R270" s="553"/>
      <c r="S270" s="273"/>
    </row>
    <row r="271" customFormat="false" ht="12.75" hidden="false" customHeight="false" outlineLevel="0" collapsed="false">
      <c r="A271" s="266" t="s">
        <v>259</v>
      </c>
      <c r="B271" s="317" t="s">
        <v>287</v>
      </c>
      <c r="C271" s="586" t="n">
        <v>2.385</v>
      </c>
      <c r="D271" s="550" t="s">
        <v>260</v>
      </c>
      <c r="E271" s="555" t="n">
        <f aca="false">0.0951+0.0022+0.007</f>
        <v>0.1043</v>
      </c>
      <c r="F271" s="562" t="n">
        <v>0.0228</v>
      </c>
      <c r="G271" s="553" t="n">
        <f aca="false">+C271/(1-F271)+E271</f>
        <v>2.54494674580434</v>
      </c>
      <c r="H271" s="550" t="s">
        <v>256</v>
      </c>
      <c r="I271" s="555" t="n">
        <v>0</v>
      </c>
      <c r="J271" s="556" t="n">
        <v>0.0025</v>
      </c>
      <c r="K271" s="553" t="n">
        <f aca="false">+G271/(1-J271)+I271</f>
        <v>2.55132505845046</v>
      </c>
      <c r="L271" s="550"/>
      <c r="M271" s="555" t="n">
        <v>0</v>
      </c>
      <c r="N271" s="556" t="n">
        <v>0</v>
      </c>
      <c r="O271" s="553" t="n">
        <f aca="false">+K271/(1-N271)+M271</f>
        <v>2.55132505845046</v>
      </c>
      <c r="P271" s="557" t="n">
        <f aca="false">Weightings!$C$6</f>
        <v>19813.4520237259</v>
      </c>
      <c r="Q271" s="553" t="n">
        <f aca="false">+P271/SUM($P$9:$P$19)*O271</f>
        <v>0.634915490560721</v>
      </c>
      <c r="R271" s="553"/>
      <c r="S271" s="273"/>
    </row>
    <row r="272" customFormat="false" ht="12.75" hidden="false" customHeight="false" outlineLevel="0" collapsed="false">
      <c r="A272" s="266" t="s">
        <v>261</v>
      </c>
      <c r="B272" s="317" t="s">
        <v>288</v>
      </c>
      <c r="C272" s="586" t="n">
        <v>2.46</v>
      </c>
      <c r="D272" s="550" t="s">
        <v>262</v>
      </c>
      <c r="E272" s="555" t="n">
        <f aca="false">0.0951+0.0022+0.007</f>
        <v>0.1043</v>
      </c>
      <c r="F272" s="562" t="n">
        <v>0.0228</v>
      </c>
      <c r="G272" s="553" t="n">
        <f aca="false">+C272/(1-F272)+E272</f>
        <v>2.62169664347114</v>
      </c>
      <c r="H272" s="550" t="s">
        <v>256</v>
      </c>
      <c r="I272" s="555" t="n">
        <v>0</v>
      </c>
      <c r="J272" s="556" t="n">
        <v>0.0025</v>
      </c>
      <c r="K272" s="553" t="n">
        <f aca="false">+G272/(1-J272)+I272</f>
        <v>2.62826731175052</v>
      </c>
      <c r="L272" s="550"/>
      <c r="M272" s="555" t="n">
        <v>0</v>
      </c>
      <c r="N272" s="556" t="n">
        <v>0</v>
      </c>
      <c r="O272" s="553" t="n">
        <f aca="false">+K272/(1-N272)+M272</f>
        <v>2.62826731175052</v>
      </c>
      <c r="P272" s="557" t="n">
        <f aca="false">Weightings!$C$7</f>
        <v>669.603363940486</v>
      </c>
      <c r="Q272" s="553" t="n">
        <f aca="false">+P272/SUM($P$9:$P$19)*O272</f>
        <v>0.0221043190910531</v>
      </c>
      <c r="R272" s="553"/>
      <c r="S272" s="558"/>
    </row>
    <row r="273" customFormat="false" ht="12.75" hidden="false" customHeight="false" outlineLevel="0" collapsed="false">
      <c r="A273" s="266" t="s">
        <v>206</v>
      </c>
      <c r="B273" s="317" t="s">
        <v>289</v>
      </c>
      <c r="C273" s="587" t="n">
        <f aca="false">C278</f>
        <v>2.22</v>
      </c>
      <c r="D273" s="550" t="s">
        <v>290</v>
      </c>
      <c r="E273" s="588" t="n">
        <f aca="false">0.0331+0.0022+0.0097</f>
        <v>0.045</v>
      </c>
      <c r="F273" s="589" t="n">
        <v>0.0504</v>
      </c>
      <c r="G273" s="553" t="n">
        <f aca="false">+C273/(1-F273)+E273</f>
        <v>2.38282645324347</v>
      </c>
      <c r="H273" s="550" t="s">
        <v>255</v>
      </c>
      <c r="I273" s="555" t="n">
        <f aca="false">E271</f>
        <v>0.1043</v>
      </c>
      <c r="J273" s="556" t="n">
        <v>0.0228</v>
      </c>
      <c r="K273" s="553" t="n">
        <f aca="false">+G273/(1-J273)+I273</f>
        <v>2.5427224859225</v>
      </c>
      <c r="L273" s="550" t="s">
        <v>256</v>
      </c>
      <c r="M273" s="555" t="n">
        <v>0</v>
      </c>
      <c r="N273" s="556" t="n">
        <v>0.0025</v>
      </c>
      <c r="O273" s="553" t="n">
        <f aca="false">+K273/(1-N273)+M273</f>
        <v>2.54909522398246</v>
      </c>
      <c r="P273" s="557" t="n">
        <f aca="false">Weightings!$C$8</f>
        <v>273.774605247488</v>
      </c>
      <c r="Q273" s="553" t="n">
        <f aca="false">+P273/SUM($P$9:$P$19)*O273</f>
        <v>0.00876534877663514</v>
      </c>
      <c r="R273" s="553"/>
      <c r="S273" s="273"/>
    </row>
    <row r="274" customFormat="false" ht="12.75" hidden="false" customHeight="false" outlineLevel="0" collapsed="false">
      <c r="A274" s="266" t="s">
        <v>207</v>
      </c>
      <c r="B274" s="317" t="s">
        <v>144</v>
      </c>
      <c r="C274" s="587" t="n">
        <f aca="false">C279</f>
        <v>2.31</v>
      </c>
      <c r="D274" s="550" t="s">
        <v>291</v>
      </c>
      <c r="E274" s="588" t="n">
        <f aca="false">0.0305+0.0022+0.0097</f>
        <v>0.0424</v>
      </c>
      <c r="F274" s="589" t="n">
        <v>0.0462</v>
      </c>
      <c r="G274" s="553" t="n">
        <f aca="false">+C274/(1-F274)+E274</f>
        <v>2.46429138184106</v>
      </c>
      <c r="H274" s="550" t="s">
        <v>255</v>
      </c>
      <c r="I274" s="555" t="n">
        <f aca="false">E271</f>
        <v>0.1043</v>
      </c>
      <c r="J274" s="556" t="n">
        <v>0.0228</v>
      </c>
      <c r="K274" s="553" t="n">
        <f aca="false">+G274/(1-J274)+I274</f>
        <v>2.62608815169981</v>
      </c>
      <c r="L274" s="550" t="s">
        <v>256</v>
      </c>
      <c r="M274" s="555" t="n">
        <v>0</v>
      </c>
      <c r="N274" s="556" t="n">
        <v>0.0025</v>
      </c>
      <c r="O274" s="553" t="n">
        <f aca="false">+K274/(1-N274)+M274</f>
        <v>2.63266982626548</v>
      </c>
      <c r="P274" s="557" t="n">
        <f aca="false">Weightings!$C$9</f>
        <v>6.55445647922163</v>
      </c>
      <c r="Q274" s="553" t="n">
        <f aca="false">+P274/SUM($P$9:$P$19)*O274</f>
        <v>0.000216732011074252</v>
      </c>
      <c r="R274" s="553"/>
      <c r="S274" s="273"/>
    </row>
    <row r="275" customFormat="false" ht="12.75" hidden="false" customHeight="false" outlineLevel="0" collapsed="false">
      <c r="A275" s="266" t="s">
        <v>211</v>
      </c>
      <c r="B275" s="317" t="s">
        <v>292</v>
      </c>
      <c r="C275" s="586" t="n">
        <v>2.28</v>
      </c>
      <c r="D275" s="550" t="s">
        <v>269</v>
      </c>
      <c r="E275" s="555" t="n">
        <f aca="false">0.0366+0.0022</f>
        <v>0.0388</v>
      </c>
      <c r="F275" s="562" t="n">
        <v>0.00697</v>
      </c>
      <c r="G275" s="553" t="n">
        <f aca="false">+C275/(1-F275)+E275</f>
        <v>2.33480314189904</v>
      </c>
      <c r="H275" s="550" t="s">
        <v>270</v>
      </c>
      <c r="I275" s="588" t="n">
        <f aca="false">0.017+0.0022</f>
        <v>0.0192</v>
      </c>
      <c r="J275" s="589" t="n">
        <v>0.02902</v>
      </c>
      <c r="K275" s="553" t="n">
        <f aca="false">+G275/(1-J275)+I275</f>
        <v>2.4237841746473</v>
      </c>
      <c r="L275" s="561" t="s">
        <v>271</v>
      </c>
      <c r="M275" s="555" t="n">
        <f aca="false">E276</f>
        <v>0.0226</v>
      </c>
      <c r="N275" s="562" t="n">
        <f aca="false">F276</f>
        <v>0.02776</v>
      </c>
      <c r="O275" s="563" t="n">
        <f aca="false">+K275/(1-N275)+M275</f>
        <v>2.51558956497089</v>
      </c>
      <c r="P275" s="557" t="n">
        <f aca="false">Weightings!$C$13</f>
        <v>31370.607479626</v>
      </c>
      <c r="Q275" s="553" t="n">
        <f aca="false">+P275/SUM($P$9:$P$19)*O275</f>
        <v>0.991180373854553</v>
      </c>
      <c r="R275" s="563"/>
      <c r="S275" s="273"/>
    </row>
    <row r="276" customFormat="false" ht="12.75" hidden="false" customHeight="false" outlineLevel="0" collapsed="false">
      <c r="A276" s="266" t="s">
        <v>212</v>
      </c>
      <c r="B276" s="317" t="s">
        <v>293</v>
      </c>
      <c r="C276" s="586" t="n">
        <v>2.415</v>
      </c>
      <c r="D276" s="550" t="s">
        <v>272</v>
      </c>
      <c r="E276" s="555" t="n">
        <f aca="false">0.0134+0.0022+0.007</f>
        <v>0.0226</v>
      </c>
      <c r="F276" s="562" t="n">
        <v>0.02776</v>
      </c>
      <c r="G276" s="553" t="n">
        <f aca="false">+C276/(1-F276)+E276</f>
        <v>2.50655457911627</v>
      </c>
      <c r="H276" s="550"/>
      <c r="I276" s="555" t="n">
        <v>0</v>
      </c>
      <c r="J276" s="556" t="n">
        <v>0</v>
      </c>
      <c r="K276" s="553" t="n">
        <f aca="false">+G276/(1-J276)+I276</f>
        <v>2.50655457911627</v>
      </c>
      <c r="L276" s="561"/>
      <c r="M276" s="555" t="n">
        <v>0</v>
      </c>
      <c r="N276" s="556" t="n">
        <v>0</v>
      </c>
      <c r="O276" s="553" t="n">
        <f aca="false">+K276/(1-N276)+M276</f>
        <v>2.50655457911627</v>
      </c>
      <c r="P276" s="557" t="n">
        <f aca="false">Weightings!$C$14</f>
        <v>5614.32270168218</v>
      </c>
      <c r="Q276" s="553" t="n">
        <f aca="false">+P276/SUM($P$9:$P$19)*O276</f>
        <v>0.176752073784629</v>
      </c>
      <c r="R276" s="553"/>
      <c r="S276" s="564"/>
    </row>
    <row r="277" customFormat="false" ht="12.75" hidden="false" customHeight="false" outlineLevel="0" collapsed="false">
      <c r="A277" s="266" t="s">
        <v>213</v>
      </c>
      <c r="B277" s="317" t="s">
        <v>294</v>
      </c>
      <c r="C277" s="586" t="n">
        <v>2.155</v>
      </c>
      <c r="D277" s="550" t="s">
        <v>295</v>
      </c>
      <c r="E277" s="588" t="n">
        <f aca="false">0.0299+0.0022+0.0097</f>
        <v>0.0418</v>
      </c>
      <c r="F277" s="589" t="n">
        <v>0.0458</v>
      </c>
      <c r="G277" s="553" t="n">
        <f aca="false">+C277/(1-F277)+E277</f>
        <v>2.30023638650178</v>
      </c>
      <c r="H277" s="550" t="s">
        <v>274</v>
      </c>
      <c r="I277" s="555" t="n">
        <v>0</v>
      </c>
      <c r="J277" s="556" t="n">
        <v>0.01</v>
      </c>
      <c r="K277" s="553" t="n">
        <f aca="false">+G277/(1-J277)+I277</f>
        <v>2.32347109747655</v>
      </c>
      <c r="L277" s="561"/>
      <c r="M277" s="555" t="n">
        <v>0</v>
      </c>
      <c r="N277" s="556" t="n">
        <v>0</v>
      </c>
      <c r="O277" s="553" t="n">
        <f aca="false">+K277/(1-N277)+M277</f>
        <v>2.32347109747655</v>
      </c>
      <c r="P277" s="557" t="n">
        <f aca="false">Weightings!$C$15</f>
        <v>3366</v>
      </c>
      <c r="Q277" s="553" t="n">
        <f aca="false">+P277/SUM($P$9:$P$19)*O277</f>
        <v>0.098229371870898</v>
      </c>
      <c r="R277" s="553"/>
      <c r="S277" s="273"/>
    </row>
    <row r="278" customFormat="false" ht="12.75" hidden="false" customHeight="false" outlineLevel="0" collapsed="false">
      <c r="A278" s="266" t="s">
        <v>214</v>
      </c>
      <c r="B278" s="317" t="s">
        <v>289</v>
      </c>
      <c r="C278" s="586" t="n">
        <v>2.22</v>
      </c>
      <c r="D278" s="550" t="s">
        <v>296</v>
      </c>
      <c r="E278" s="588" t="n">
        <f aca="false">0.0277+0.0022+0.0097</f>
        <v>0.0396</v>
      </c>
      <c r="F278" s="589" t="n">
        <v>0.0423</v>
      </c>
      <c r="G278" s="553" t="n">
        <f aca="false">+C278/(1-F278)+E278</f>
        <v>2.35765367025165</v>
      </c>
      <c r="H278" s="550" t="s">
        <v>274</v>
      </c>
      <c r="I278" s="555" t="n">
        <v>0</v>
      </c>
      <c r="J278" s="556" t="n">
        <v>0.01</v>
      </c>
      <c r="K278" s="553" t="n">
        <f aca="false">+G278/(1-J278)+I278</f>
        <v>2.38146835378954</v>
      </c>
      <c r="M278" s="555" t="n">
        <v>0</v>
      </c>
      <c r="N278" s="556" t="n">
        <v>0</v>
      </c>
      <c r="O278" s="553" t="n">
        <f aca="false">+K278/(1-N278)+M278</f>
        <v>2.38146835378954</v>
      </c>
      <c r="P278" s="557" t="n">
        <f aca="false">Weightings!$C$16</f>
        <v>4950</v>
      </c>
      <c r="Q278" s="553" t="n">
        <f aca="false">+P278/SUM($P$9:$P$19)*O278</f>
        <v>0.148060766887824</v>
      </c>
      <c r="R278" s="553"/>
      <c r="S278" s="273"/>
    </row>
    <row r="279" customFormat="false" ht="12.75" hidden="false" customHeight="false" outlineLevel="0" collapsed="false">
      <c r="A279" s="266" t="s">
        <v>215</v>
      </c>
      <c r="B279" s="317" t="s">
        <v>144</v>
      </c>
      <c r="C279" s="586" t="n">
        <v>2.31</v>
      </c>
      <c r="D279" s="550" t="s">
        <v>297</v>
      </c>
      <c r="E279" s="588" t="n">
        <f aca="false">0.0251+0.0022+0.0097</f>
        <v>0.037</v>
      </c>
      <c r="F279" s="589" t="n">
        <v>0.0381</v>
      </c>
      <c r="G279" s="553" t="n">
        <f aca="false">+C279/(1-F279)+E279</f>
        <v>2.43849703711405</v>
      </c>
      <c r="H279" s="550" t="s">
        <v>274</v>
      </c>
      <c r="I279" s="555" t="n">
        <v>0</v>
      </c>
      <c r="J279" s="556" t="n">
        <v>0.01</v>
      </c>
      <c r="K279" s="553" t="n">
        <f aca="false">+G279/(1-J279)+I279</f>
        <v>2.46312832031722</v>
      </c>
      <c r="M279" s="555" t="n">
        <v>0</v>
      </c>
      <c r="N279" s="556" t="n">
        <v>0</v>
      </c>
      <c r="O279" s="553" t="n">
        <f aca="false">+K279/(1-N279)+M279</f>
        <v>2.46312832031722</v>
      </c>
      <c r="P279" s="557" t="n">
        <f aca="false">Weightings!$C$17</f>
        <v>11172.1727158949</v>
      </c>
      <c r="Q279" s="553" t="n">
        <f aca="false">+P279/SUM($P$9:$P$19)*O279</f>
        <v>0.345632569115398</v>
      </c>
      <c r="R279" s="553"/>
      <c r="S279" s="273"/>
    </row>
    <row r="280" customFormat="false" ht="12.75" hidden="false" customHeight="false" outlineLevel="0" collapsed="false">
      <c r="O280" s="403"/>
      <c r="P280" s="385"/>
      <c r="Q280" s="403"/>
      <c r="R280" s="403"/>
      <c r="S280" s="565"/>
    </row>
    <row r="281" customFormat="false" ht="13.5" hidden="false" customHeight="false" outlineLevel="0" collapsed="false">
      <c r="O281" s="566"/>
      <c r="P281" s="567"/>
      <c r="Q281" s="566"/>
      <c r="R281" s="566"/>
    </row>
    <row r="282" customFormat="false" ht="13.5" hidden="false" customHeight="false" outlineLevel="0" collapsed="false">
      <c r="O282" s="568" t="s">
        <v>277</v>
      </c>
      <c r="P282" s="569"/>
      <c r="Q282" s="570" t="n">
        <f aca="false">SUM(Q269:Q279)</f>
        <v>2.50286200713258</v>
      </c>
      <c r="R282" s="590" t="n">
        <f aca="false">B267</f>
        <v>37178</v>
      </c>
    </row>
    <row r="283" customFormat="false" ht="12.75" hidden="false" customHeight="false" outlineLevel="0" collapsed="false">
      <c r="O283" s="403"/>
      <c r="P283" s="403"/>
      <c r="Q283" s="403"/>
      <c r="R283" s="403"/>
      <c r="S283" s="403"/>
    </row>
    <row r="284" customFormat="false" ht="12.75" hidden="false" customHeight="false" outlineLevel="0" collapsed="false">
      <c r="D284" s="550"/>
      <c r="H284" s="553"/>
      <c r="O284" s="566" t="s">
        <v>298</v>
      </c>
      <c r="P284" s="571" t="n">
        <f aca="false">Weightings!C283</f>
        <v>0</v>
      </c>
      <c r="Q284" s="403" t="s">
        <v>279</v>
      </c>
      <c r="R284" s="572" t="s">
        <v>280</v>
      </c>
      <c r="S284" s="403"/>
    </row>
    <row r="285" customFormat="false" ht="13.5" hidden="false" customHeight="false" outlineLevel="0" collapsed="false">
      <c r="A285" s="591"/>
      <c r="B285" s="592"/>
      <c r="C285" s="591"/>
      <c r="D285" s="593"/>
      <c r="E285" s="591"/>
      <c r="F285" s="591"/>
      <c r="G285" s="591"/>
      <c r="H285" s="594"/>
      <c r="I285" s="591"/>
      <c r="J285" s="591"/>
      <c r="K285" s="591"/>
      <c r="L285" s="591"/>
      <c r="M285" s="591"/>
      <c r="N285" s="591"/>
      <c r="O285" s="591"/>
      <c r="P285" s="595"/>
      <c r="Q285" s="591"/>
      <c r="R285" s="591"/>
      <c r="S285" s="591"/>
    </row>
    <row r="286" customFormat="false" ht="14.25" hidden="false" customHeight="false" outlineLevel="0" collapsed="false">
      <c r="A286" s="267"/>
      <c r="B286" s="544"/>
      <c r="D286" s="269" t="s">
        <v>241</v>
      </c>
      <c r="H286" s="269" t="s">
        <v>242</v>
      </c>
      <c r="L286" s="269" t="s">
        <v>243</v>
      </c>
    </row>
    <row r="287" customFormat="false" ht="14.25" hidden="false" customHeight="false" outlineLevel="0" collapsed="false">
      <c r="A287" s="582" t="s">
        <v>284</v>
      </c>
      <c r="B287" s="583" t="n">
        <f aca="false">B267+1</f>
        <v>37179</v>
      </c>
      <c r="C287" s="584" t="n">
        <f aca="false">Q302</f>
        <v>2.50286200713258</v>
      </c>
      <c r="E287" s="585"/>
    </row>
    <row r="288" customFormat="false" ht="54" hidden="false" customHeight="true" outlineLevel="0" collapsed="false">
      <c r="A288" s="267" t="s">
        <v>244</v>
      </c>
      <c r="B288" s="315" t="s">
        <v>132</v>
      </c>
      <c r="C288" s="545" t="s">
        <v>286</v>
      </c>
      <c r="D288" s="546" t="s">
        <v>247</v>
      </c>
      <c r="E288" s="547" t="s">
        <v>248</v>
      </c>
      <c r="F288" s="547" t="s">
        <v>249</v>
      </c>
      <c r="G288" s="547" t="s">
        <v>250</v>
      </c>
      <c r="H288" s="546" t="s">
        <v>247</v>
      </c>
      <c r="I288" s="547" t="s">
        <v>248</v>
      </c>
      <c r="J288" s="547" t="s">
        <v>249</v>
      </c>
      <c r="K288" s="547" t="s">
        <v>250</v>
      </c>
      <c r="L288" s="546" t="s">
        <v>247</v>
      </c>
      <c r="M288" s="547" t="s">
        <v>248</v>
      </c>
      <c r="N288" s="547" t="s">
        <v>249</v>
      </c>
      <c r="O288" s="547" t="s">
        <v>250</v>
      </c>
      <c r="P288" s="547" t="s">
        <v>251</v>
      </c>
      <c r="Q288" s="547" t="s">
        <v>252</v>
      </c>
      <c r="R288" s="547"/>
      <c r="S288" s="547"/>
    </row>
    <row r="289" customFormat="false" ht="12.75" hidden="false" customHeight="false" outlineLevel="0" collapsed="false">
      <c r="A289" s="266" t="s">
        <v>253</v>
      </c>
      <c r="B289" s="317" t="s">
        <v>142</v>
      </c>
      <c r="C289" s="586" t="n">
        <v>2.235</v>
      </c>
      <c r="D289" s="550" t="s">
        <v>254</v>
      </c>
      <c r="E289" s="555" t="n">
        <v>0.0522</v>
      </c>
      <c r="F289" s="562" t="n">
        <v>0.0506</v>
      </c>
      <c r="G289" s="553" t="n">
        <f aca="false">+C289/(1-F289)+E289</f>
        <v>2.40631839056246</v>
      </c>
      <c r="H289" s="550" t="s">
        <v>255</v>
      </c>
      <c r="I289" s="555" t="n">
        <f aca="false">E291</f>
        <v>0.1043</v>
      </c>
      <c r="J289" s="556" t="n">
        <v>0.0228</v>
      </c>
      <c r="K289" s="553" t="n">
        <f aca="false">+G289/(1-J289)+I289</f>
        <v>2.5667625363922</v>
      </c>
      <c r="L289" s="550" t="s">
        <v>256</v>
      </c>
      <c r="M289" s="555" t="n">
        <v>0</v>
      </c>
      <c r="N289" s="556" t="n">
        <v>0.0025</v>
      </c>
      <c r="O289" s="553" t="n">
        <f aca="false">+K289/(1-N289)+M289</f>
        <v>2.57319552520522</v>
      </c>
      <c r="P289" s="557" t="n">
        <f aca="false">Weightings!$C$4</f>
        <v>1071.40153987277</v>
      </c>
      <c r="Q289" s="553" t="n">
        <f aca="false">+P289/SUM($P$9:$P$19)*O289</f>
        <v>0.0346270133616883</v>
      </c>
      <c r="R289" s="553"/>
      <c r="S289" s="558"/>
    </row>
    <row r="290" customFormat="false" ht="12.75" hidden="false" customHeight="false" outlineLevel="0" collapsed="false">
      <c r="A290" s="266" t="s">
        <v>257</v>
      </c>
      <c r="B290" s="317" t="s">
        <v>143</v>
      </c>
      <c r="C290" s="586" t="n">
        <v>2.22</v>
      </c>
      <c r="D290" s="550" t="s">
        <v>258</v>
      </c>
      <c r="E290" s="555" t="n">
        <v>0.0522</v>
      </c>
      <c r="F290" s="562" t="n">
        <v>0.058</v>
      </c>
      <c r="G290" s="553" t="n">
        <f aca="false">+C290/(1-F290)+E290</f>
        <v>2.40888789808917</v>
      </c>
      <c r="H290" s="550" t="s">
        <v>255</v>
      </c>
      <c r="I290" s="555" t="n">
        <f aca="false">E291</f>
        <v>0.1043</v>
      </c>
      <c r="J290" s="556" t="n">
        <v>0.0228</v>
      </c>
      <c r="K290" s="553" t="n">
        <f aca="false">+G290/(1-J290)+I290</f>
        <v>2.56939199558859</v>
      </c>
      <c r="L290" s="550" t="s">
        <v>256</v>
      </c>
      <c r="M290" s="555" t="n">
        <v>0</v>
      </c>
      <c r="N290" s="556" t="n">
        <v>0.0025</v>
      </c>
      <c r="O290" s="553" t="n">
        <f aca="false">+K290/(1-N290)+M290</f>
        <v>2.5758315745249</v>
      </c>
      <c r="P290" s="557" t="n">
        <f aca="false">Weightings!$C$5</f>
        <v>1309.88291792445</v>
      </c>
      <c r="Q290" s="553" t="n">
        <f aca="false">+P290/SUM($P$9:$P$19)*O290</f>
        <v>0.0423779478181079</v>
      </c>
      <c r="R290" s="553"/>
      <c r="S290" s="273"/>
    </row>
    <row r="291" customFormat="false" ht="12.75" hidden="false" customHeight="false" outlineLevel="0" collapsed="false">
      <c r="A291" s="266" t="s">
        <v>259</v>
      </c>
      <c r="B291" s="317" t="s">
        <v>287</v>
      </c>
      <c r="C291" s="586" t="n">
        <v>2.385</v>
      </c>
      <c r="D291" s="550" t="s">
        <v>260</v>
      </c>
      <c r="E291" s="555" t="n">
        <f aca="false">0.0951+0.0022+0.007</f>
        <v>0.1043</v>
      </c>
      <c r="F291" s="562" t="n">
        <v>0.0228</v>
      </c>
      <c r="G291" s="553" t="n">
        <f aca="false">+C291/(1-F291)+E291</f>
        <v>2.54494674580434</v>
      </c>
      <c r="H291" s="550" t="s">
        <v>256</v>
      </c>
      <c r="I291" s="555" t="n">
        <v>0</v>
      </c>
      <c r="J291" s="556" t="n">
        <v>0.0025</v>
      </c>
      <c r="K291" s="553" t="n">
        <f aca="false">+G291/(1-J291)+I291</f>
        <v>2.55132505845046</v>
      </c>
      <c r="L291" s="550"/>
      <c r="M291" s="555" t="n">
        <v>0</v>
      </c>
      <c r="N291" s="556" t="n">
        <v>0</v>
      </c>
      <c r="O291" s="553" t="n">
        <f aca="false">+K291/(1-N291)+M291</f>
        <v>2.55132505845046</v>
      </c>
      <c r="P291" s="557" t="n">
        <f aca="false">Weightings!$C$6</f>
        <v>19813.4520237259</v>
      </c>
      <c r="Q291" s="553" t="n">
        <f aca="false">+P291/SUM($P$9:$P$19)*O291</f>
        <v>0.634915490560721</v>
      </c>
      <c r="R291" s="553"/>
      <c r="S291" s="273"/>
    </row>
    <row r="292" customFormat="false" ht="12.75" hidden="false" customHeight="false" outlineLevel="0" collapsed="false">
      <c r="A292" s="266" t="s">
        <v>261</v>
      </c>
      <c r="B292" s="317" t="s">
        <v>288</v>
      </c>
      <c r="C292" s="586" t="n">
        <v>2.46</v>
      </c>
      <c r="D292" s="550" t="s">
        <v>262</v>
      </c>
      <c r="E292" s="555" t="n">
        <f aca="false">0.0951+0.0022+0.007</f>
        <v>0.1043</v>
      </c>
      <c r="F292" s="562" t="n">
        <v>0.0228</v>
      </c>
      <c r="G292" s="553" t="n">
        <f aca="false">+C292/(1-F292)+E292</f>
        <v>2.62169664347114</v>
      </c>
      <c r="H292" s="550" t="s">
        <v>256</v>
      </c>
      <c r="I292" s="555" t="n">
        <v>0</v>
      </c>
      <c r="J292" s="556" t="n">
        <v>0.0025</v>
      </c>
      <c r="K292" s="553" t="n">
        <f aca="false">+G292/(1-J292)+I292</f>
        <v>2.62826731175052</v>
      </c>
      <c r="L292" s="550"/>
      <c r="M292" s="555" t="n">
        <v>0</v>
      </c>
      <c r="N292" s="556" t="n">
        <v>0</v>
      </c>
      <c r="O292" s="553" t="n">
        <f aca="false">+K292/(1-N292)+M292</f>
        <v>2.62826731175052</v>
      </c>
      <c r="P292" s="557" t="n">
        <f aca="false">Weightings!$C$7</f>
        <v>669.603363940486</v>
      </c>
      <c r="Q292" s="553" t="n">
        <f aca="false">+P292/SUM($P$9:$P$19)*O292</f>
        <v>0.0221043190910531</v>
      </c>
      <c r="R292" s="553"/>
      <c r="S292" s="558"/>
    </row>
    <row r="293" customFormat="false" ht="12.75" hidden="false" customHeight="false" outlineLevel="0" collapsed="false">
      <c r="A293" s="266" t="s">
        <v>206</v>
      </c>
      <c r="B293" s="317" t="s">
        <v>289</v>
      </c>
      <c r="C293" s="587" t="n">
        <f aca="false">C298</f>
        <v>2.22</v>
      </c>
      <c r="D293" s="550" t="s">
        <v>290</v>
      </c>
      <c r="E293" s="588" t="n">
        <f aca="false">0.0331+0.0022+0.0097</f>
        <v>0.045</v>
      </c>
      <c r="F293" s="589" t="n">
        <v>0.0504</v>
      </c>
      <c r="G293" s="553" t="n">
        <f aca="false">+C293/(1-F293)+E293</f>
        <v>2.38282645324347</v>
      </c>
      <c r="H293" s="550" t="s">
        <v>255</v>
      </c>
      <c r="I293" s="555" t="n">
        <f aca="false">E291</f>
        <v>0.1043</v>
      </c>
      <c r="J293" s="556" t="n">
        <v>0.0228</v>
      </c>
      <c r="K293" s="553" t="n">
        <f aca="false">+G293/(1-J293)+I293</f>
        <v>2.5427224859225</v>
      </c>
      <c r="L293" s="550" t="s">
        <v>256</v>
      </c>
      <c r="M293" s="555" t="n">
        <v>0</v>
      </c>
      <c r="N293" s="556" t="n">
        <v>0.0025</v>
      </c>
      <c r="O293" s="553" t="n">
        <f aca="false">+K293/(1-N293)+M293</f>
        <v>2.54909522398246</v>
      </c>
      <c r="P293" s="557" t="n">
        <f aca="false">Weightings!$C$8</f>
        <v>273.774605247488</v>
      </c>
      <c r="Q293" s="553" t="n">
        <f aca="false">+P293/SUM($P$9:$P$19)*O293</f>
        <v>0.00876534877663514</v>
      </c>
      <c r="R293" s="553"/>
      <c r="S293" s="273"/>
    </row>
    <row r="294" customFormat="false" ht="12.75" hidden="false" customHeight="false" outlineLevel="0" collapsed="false">
      <c r="A294" s="266" t="s">
        <v>207</v>
      </c>
      <c r="B294" s="317" t="s">
        <v>144</v>
      </c>
      <c r="C294" s="587" t="n">
        <f aca="false">C299</f>
        <v>2.31</v>
      </c>
      <c r="D294" s="550" t="s">
        <v>291</v>
      </c>
      <c r="E294" s="588" t="n">
        <f aca="false">0.0305+0.0022+0.0097</f>
        <v>0.0424</v>
      </c>
      <c r="F294" s="589" t="n">
        <v>0.0462</v>
      </c>
      <c r="G294" s="553" t="n">
        <f aca="false">+C294/(1-F294)+E294</f>
        <v>2.46429138184106</v>
      </c>
      <c r="H294" s="550" t="s">
        <v>255</v>
      </c>
      <c r="I294" s="555" t="n">
        <f aca="false">E291</f>
        <v>0.1043</v>
      </c>
      <c r="J294" s="556" t="n">
        <v>0.0228</v>
      </c>
      <c r="K294" s="553" t="n">
        <f aca="false">+G294/(1-J294)+I294</f>
        <v>2.62608815169981</v>
      </c>
      <c r="L294" s="550" t="s">
        <v>256</v>
      </c>
      <c r="M294" s="555" t="n">
        <v>0</v>
      </c>
      <c r="N294" s="556" t="n">
        <v>0.0025</v>
      </c>
      <c r="O294" s="553" t="n">
        <f aca="false">+K294/(1-N294)+M294</f>
        <v>2.63266982626548</v>
      </c>
      <c r="P294" s="557" t="n">
        <f aca="false">Weightings!$C$9</f>
        <v>6.55445647922163</v>
      </c>
      <c r="Q294" s="553" t="n">
        <f aca="false">+P294/SUM($P$9:$P$19)*O294</f>
        <v>0.000216732011074252</v>
      </c>
      <c r="R294" s="553"/>
      <c r="S294" s="273"/>
    </row>
    <row r="295" customFormat="false" ht="12.75" hidden="false" customHeight="false" outlineLevel="0" collapsed="false">
      <c r="A295" s="266" t="s">
        <v>211</v>
      </c>
      <c r="B295" s="317" t="s">
        <v>292</v>
      </c>
      <c r="C295" s="586" t="n">
        <v>2.28</v>
      </c>
      <c r="D295" s="550" t="s">
        <v>269</v>
      </c>
      <c r="E295" s="555" t="n">
        <f aca="false">0.0366+0.0022</f>
        <v>0.0388</v>
      </c>
      <c r="F295" s="562" t="n">
        <v>0.00697</v>
      </c>
      <c r="G295" s="553" t="n">
        <f aca="false">+C295/(1-F295)+E295</f>
        <v>2.33480314189904</v>
      </c>
      <c r="H295" s="550" t="s">
        <v>270</v>
      </c>
      <c r="I295" s="588" t="n">
        <f aca="false">0.017+0.0022</f>
        <v>0.0192</v>
      </c>
      <c r="J295" s="589" t="n">
        <v>0.02902</v>
      </c>
      <c r="K295" s="553" t="n">
        <f aca="false">+G295/(1-J295)+I295</f>
        <v>2.4237841746473</v>
      </c>
      <c r="L295" s="561" t="s">
        <v>271</v>
      </c>
      <c r="M295" s="555" t="n">
        <f aca="false">E296</f>
        <v>0.0226</v>
      </c>
      <c r="N295" s="562" t="n">
        <f aca="false">F296</f>
        <v>0.02776</v>
      </c>
      <c r="O295" s="563" t="n">
        <f aca="false">+K295/(1-N295)+M295</f>
        <v>2.51558956497089</v>
      </c>
      <c r="P295" s="557" t="n">
        <f aca="false">Weightings!$C$13</f>
        <v>31370.607479626</v>
      </c>
      <c r="Q295" s="553" t="n">
        <f aca="false">+P295/SUM($P$9:$P$19)*O295</f>
        <v>0.991180373854553</v>
      </c>
      <c r="R295" s="563"/>
      <c r="S295" s="273"/>
    </row>
    <row r="296" customFormat="false" ht="12.75" hidden="false" customHeight="false" outlineLevel="0" collapsed="false">
      <c r="A296" s="266" t="s">
        <v>212</v>
      </c>
      <c r="B296" s="317" t="s">
        <v>293</v>
      </c>
      <c r="C296" s="586" t="n">
        <v>2.415</v>
      </c>
      <c r="D296" s="550" t="s">
        <v>272</v>
      </c>
      <c r="E296" s="555" t="n">
        <f aca="false">0.0134+0.0022+0.007</f>
        <v>0.0226</v>
      </c>
      <c r="F296" s="562" t="n">
        <v>0.02776</v>
      </c>
      <c r="G296" s="553" t="n">
        <f aca="false">+C296/(1-F296)+E296</f>
        <v>2.50655457911627</v>
      </c>
      <c r="H296" s="550"/>
      <c r="I296" s="555" t="n">
        <v>0</v>
      </c>
      <c r="J296" s="556" t="n">
        <v>0</v>
      </c>
      <c r="K296" s="553" t="n">
        <f aca="false">+G296/(1-J296)+I296</f>
        <v>2.50655457911627</v>
      </c>
      <c r="L296" s="561"/>
      <c r="M296" s="555" t="n">
        <v>0</v>
      </c>
      <c r="N296" s="556" t="n">
        <v>0</v>
      </c>
      <c r="O296" s="553" t="n">
        <f aca="false">+K296/(1-N296)+M296</f>
        <v>2.50655457911627</v>
      </c>
      <c r="P296" s="557" t="n">
        <f aca="false">Weightings!$C$14</f>
        <v>5614.32270168218</v>
      </c>
      <c r="Q296" s="553" t="n">
        <f aca="false">+P296/SUM($P$9:$P$19)*O296</f>
        <v>0.176752073784629</v>
      </c>
      <c r="R296" s="553"/>
      <c r="S296" s="564"/>
    </row>
    <row r="297" customFormat="false" ht="12.75" hidden="false" customHeight="false" outlineLevel="0" collapsed="false">
      <c r="A297" s="266" t="s">
        <v>213</v>
      </c>
      <c r="B297" s="317" t="s">
        <v>294</v>
      </c>
      <c r="C297" s="586" t="n">
        <v>2.155</v>
      </c>
      <c r="D297" s="550" t="s">
        <v>295</v>
      </c>
      <c r="E297" s="588" t="n">
        <f aca="false">0.0299+0.0022+0.0097</f>
        <v>0.0418</v>
      </c>
      <c r="F297" s="589" t="n">
        <v>0.0458</v>
      </c>
      <c r="G297" s="553" t="n">
        <f aca="false">+C297/(1-F297)+E297</f>
        <v>2.30023638650178</v>
      </c>
      <c r="H297" s="550" t="s">
        <v>274</v>
      </c>
      <c r="I297" s="555" t="n">
        <v>0</v>
      </c>
      <c r="J297" s="556" t="n">
        <v>0.01</v>
      </c>
      <c r="K297" s="553" t="n">
        <f aca="false">+G297/(1-J297)+I297</f>
        <v>2.32347109747655</v>
      </c>
      <c r="L297" s="561"/>
      <c r="M297" s="555" t="n">
        <v>0</v>
      </c>
      <c r="N297" s="556" t="n">
        <v>0</v>
      </c>
      <c r="O297" s="553" t="n">
        <f aca="false">+K297/(1-N297)+M297</f>
        <v>2.32347109747655</v>
      </c>
      <c r="P297" s="557" t="n">
        <f aca="false">Weightings!$C$15</f>
        <v>3366</v>
      </c>
      <c r="Q297" s="553" t="n">
        <f aca="false">+P297/SUM($P$9:$P$19)*O297</f>
        <v>0.098229371870898</v>
      </c>
      <c r="R297" s="553"/>
      <c r="S297" s="273"/>
    </row>
    <row r="298" customFormat="false" ht="12.75" hidden="false" customHeight="false" outlineLevel="0" collapsed="false">
      <c r="A298" s="266" t="s">
        <v>214</v>
      </c>
      <c r="B298" s="317" t="s">
        <v>289</v>
      </c>
      <c r="C298" s="586" t="n">
        <v>2.22</v>
      </c>
      <c r="D298" s="550" t="s">
        <v>296</v>
      </c>
      <c r="E298" s="588" t="n">
        <f aca="false">0.0277+0.0022+0.0097</f>
        <v>0.0396</v>
      </c>
      <c r="F298" s="589" t="n">
        <v>0.0423</v>
      </c>
      <c r="G298" s="553" t="n">
        <f aca="false">+C298/(1-F298)+E298</f>
        <v>2.35765367025165</v>
      </c>
      <c r="H298" s="550" t="s">
        <v>274</v>
      </c>
      <c r="I298" s="555" t="n">
        <v>0</v>
      </c>
      <c r="J298" s="556" t="n">
        <v>0.01</v>
      </c>
      <c r="K298" s="553" t="n">
        <f aca="false">+G298/(1-J298)+I298</f>
        <v>2.38146835378954</v>
      </c>
      <c r="M298" s="555" t="n">
        <v>0</v>
      </c>
      <c r="N298" s="556" t="n">
        <v>0</v>
      </c>
      <c r="O298" s="553" t="n">
        <f aca="false">+K298/(1-N298)+M298</f>
        <v>2.38146835378954</v>
      </c>
      <c r="P298" s="557" t="n">
        <f aca="false">Weightings!$C$16</f>
        <v>4950</v>
      </c>
      <c r="Q298" s="553" t="n">
        <f aca="false">+P298/SUM($P$9:$P$19)*O298</f>
        <v>0.148060766887824</v>
      </c>
      <c r="R298" s="553"/>
      <c r="S298" s="273"/>
    </row>
    <row r="299" customFormat="false" ht="12.75" hidden="false" customHeight="false" outlineLevel="0" collapsed="false">
      <c r="A299" s="266" t="s">
        <v>215</v>
      </c>
      <c r="B299" s="317" t="s">
        <v>144</v>
      </c>
      <c r="C299" s="586" t="n">
        <v>2.31</v>
      </c>
      <c r="D299" s="550" t="s">
        <v>297</v>
      </c>
      <c r="E299" s="588" t="n">
        <f aca="false">0.0251+0.0022+0.0097</f>
        <v>0.037</v>
      </c>
      <c r="F299" s="589" t="n">
        <v>0.0381</v>
      </c>
      <c r="G299" s="553" t="n">
        <f aca="false">+C299/(1-F299)+E299</f>
        <v>2.43849703711405</v>
      </c>
      <c r="H299" s="550" t="s">
        <v>274</v>
      </c>
      <c r="I299" s="555" t="n">
        <v>0</v>
      </c>
      <c r="J299" s="556" t="n">
        <v>0.01</v>
      </c>
      <c r="K299" s="553" t="n">
        <f aca="false">+G299/(1-J299)+I299</f>
        <v>2.46312832031722</v>
      </c>
      <c r="M299" s="555" t="n">
        <v>0</v>
      </c>
      <c r="N299" s="556" t="n">
        <v>0</v>
      </c>
      <c r="O299" s="553" t="n">
        <f aca="false">+K299/(1-N299)+M299</f>
        <v>2.46312832031722</v>
      </c>
      <c r="P299" s="557" t="n">
        <f aca="false">Weightings!$C$17</f>
        <v>11172.1727158949</v>
      </c>
      <c r="Q299" s="553" t="n">
        <f aca="false">+P299/SUM($P$9:$P$19)*O299</f>
        <v>0.345632569115398</v>
      </c>
      <c r="R299" s="553"/>
      <c r="S299" s="273"/>
    </row>
    <row r="300" customFormat="false" ht="12.75" hidden="false" customHeight="false" outlineLevel="0" collapsed="false">
      <c r="O300" s="403"/>
      <c r="P300" s="385"/>
      <c r="Q300" s="403"/>
      <c r="R300" s="403"/>
      <c r="S300" s="565"/>
    </row>
    <row r="301" customFormat="false" ht="13.5" hidden="false" customHeight="false" outlineLevel="0" collapsed="false">
      <c r="O301" s="566"/>
      <c r="P301" s="567"/>
      <c r="Q301" s="566"/>
      <c r="R301" s="566"/>
    </row>
    <row r="302" customFormat="false" ht="13.5" hidden="false" customHeight="false" outlineLevel="0" collapsed="false">
      <c r="O302" s="568" t="s">
        <v>277</v>
      </c>
      <c r="P302" s="569"/>
      <c r="Q302" s="570" t="n">
        <f aca="false">SUM(Q289:Q299)</f>
        <v>2.50286200713258</v>
      </c>
      <c r="R302" s="590" t="n">
        <f aca="false">B287</f>
        <v>37179</v>
      </c>
    </row>
    <row r="303" customFormat="false" ht="12.75" hidden="false" customHeight="false" outlineLevel="0" collapsed="false">
      <c r="O303" s="403"/>
      <c r="P303" s="403"/>
      <c r="Q303" s="403"/>
      <c r="R303" s="403"/>
      <c r="S303" s="403"/>
    </row>
    <row r="304" customFormat="false" ht="12.75" hidden="false" customHeight="false" outlineLevel="0" collapsed="false">
      <c r="D304" s="550"/>
      <c r="H304" s="553"/>
      <c r="O304" s="566" t="s">
        <v>298</v>
      </c>
      <c r="P304" s="571" t="n">
        <f aca="false">Weightings!C303</f>
        <v>0</v>
      </c>
      <c r="Q304" s="403" t="s">
        <v>279</v>
      </c>
      <c r="R304" s="572" t="s">
        <v>280</v>
      </c>
      <c r="S304" s="403"/>
    </row>
    <row r="305" customFormat="false" ht="13.5" hidden="false" customHeight="false" outlineLevel="0" collapsed="false">
      <c r="A305" s="591"/>
      <c r="B305" s="592"/>
      <c r="C305" s="591"/>
      <c r="D305" s="593"/>
      <c r="E305" s="591"/>
      <c r="F305" s="591"/>
      <c r="G305" s="591"/>
      <c r="H305" s="594"/>
      <c r="I305" s="591"/>
      <c r="J305" s="591"/>
      <c r="K305" s="591"/>
      <c r="L305" s="591"/>
      <c r="M305" s="591"/>
      <c r="N305" s="591"/>
      <c r="O305" s="591"/>
      <c r="P305" s="595"/>
      <c r="Q305" s="591"/>
      <c r="R305" s="591"/>
      <c r="S305" s="591"/>
    </row>
    <row r="306" customFormat="false" ht="14.25" hidden="false" customHeight="false" outlineLevel="0" collapsed="false">
      <c r="A306" s="267"/>
      <c r="B306" s="544"/>
      <c r="D306" s="269" t="s">
        <v>241</v>
      </c>
      <c r="H306" s="269" t="s">
        <v>242</v>
      </c>
      <c r="L306" s="269" t="s">
        <v>243</v>
      </c>
    </row>
    <row r="307" customFormat="false" ht="14.25" hidden="false" customHeight="false" outlineLevel="0" collapsed="false">
      <c r="A307" s="582" t="s">
        <v>284</v>
      </c>
      <c r="B307" s="583" t="n">
        <f aca="false">B287+1</f>
        <v>37180</v>
      </c>
      <c r="C307" s="584" t="n">
        <f aca="false">Q322</f>
        <v>2.47941961398195</v>
      </c>
      <c r="E307" s="585"/>
    </row>
    <row r="308" customFormat="false" ht="54" hidden="false" customHeight="true" outlineLevel="0" collapsed="false">
      <c r="A308" s="267" t="s">
        <v>244</v>
      </c>
      <c r="B308" s="315" t="s">
        <v>132</v>
      </c>
      <c r="C308" s="545" t="s">
        <v>286</v>
      </c>
      <c r="D308" s="546" t="s">
        <v>247</v>
      </c>
      <c r="E308" s="547" t="s">
        <v>248</v>
      </c>
      <c r="F308" s="547" t="s">
        <v>249</v>
      </c>
      <c r="G308" s="547" t="s">
        <v>250</v>
      </c>
      <c r="H308" s="546" t="s">
        <v>247</v>
      </c>
      <c r="I308" s="547" t="s">
        <v>248</v>
      </c>
      <c r="J308" s="547" t="s">
        <v>249</v>
      </c>
      <c r="K308" s="547" t="s">
        <v>250</v>
      </c>
      <c r="L308" s="546" t="s">
        <v>247</v>
      </c>
      <c r="M308" s="547" t="s">
        <v>248</v>
      </c>
      <c r="N308" s="547" t="s">
        <v>249</v>
      </c>
      <c r="O308" s="547" t="s">
        <v>250</v>
      </c>
      <c r="P308" s="547" t="s">
        <v>251</v>
      </c>
      <c r="Q308" s="547" t="s">
        <v>252</v>
      </c>
      <c r="R308" s="547"/>
      <c r="S308" s="547"/>
    </row>
    <row r="309" customFormat="false" ht="12.75" hidden="false" customHeight="false" outlineLevel="0" collapsed="false">
      <c r="A309" s="266" t="s">
        <v>253</v>
      </c>
      <c r="B309" s="317" t="s">
        <v>142</v>
      </c>
      <c r="C309" s="586" t="n">
        <v>2.165</v>
      </c>
      <c r="D309" s="550" t="s">
        <v>254</v>
      </c>
      <c r="E309" s="555" t="n">
        <v>0.0522</v>
      </c>
      <c r="F309" s="562" t="n">
        <v>0.0506</v>
      </c>
      <c r="G309" s="553" t="n">
        <f aca="false">+C309/(1-F309)+E309</f>
        <v>2.33258761322941</v>
      </c>
      <c r="H309" s="550" t="s">
        <v>255</v>
      </c>
      <c r="I309" s="555" t="n">
        <f aca="false">E311</f>
        <v>0.1043</v>
      </c>
      <c r="J309" s="556" t="n">
        <v>0.0228</v>
      </c>
      <c r="K309" s="553" t="n">
        <f aca="false">+G309/(1-J309)+I309</f>
        <v>2.49131147485613</v>
      </c>
      <c r="L309" s="550" t="s">
        <v>256</v>
      </c>
      <c r="M309" s="555" t="n">
        <v>0</v>
      </c>
      <c r="N309" s="556" t="n">
        <v>0.0025</v>
      </c>
      <c r="O309" s="553" t="n">
        <f aca="false">+K309/(1-N309)+M309</f>
        <v>2.49755536326429</v>
      </c>
      <c r="P309" s="557" t="n">
        <f aca="false">Weightings!$C$4</f>
        <v>1071.40153987277</v>
      </c>
      <c r="Q309" s="553" t="n">
        <f aca="false">+P309/SUM($P$9:$P$19)*O309</f>
        <v>0.0336091377775934</v>
      </c>
      <c r="R309" s="553"/>
      <c r="S309" s="558"/>
    </row>
    <row r="310" customFormat="false" ht="12.75" hidden="false" customHeight="false" outlineLevel="0" collapsed="false">
      <c r="A310" s="266" t="s">
        <v>257</v>
      </c>
      <c r="B310" s="317" t="s">
        <v>143</v>
      </c>
      <c r="C310" s="586" t="n">
        <v>2.155</v>
      </c>
      <c r="D310" s="550" t="s">
        <v>258</v>
      </c>
      <c r="E310" s="555" t="n">
        <v>0.0522</v>
      </c>
      <c r="F310" s="562" t="n">
        <v>0.058</v>
      </c>
      <c r="G310" s="553" t="n">
        <f aca="false">+C310/(1-F310)+E310</f>
        <v>2.33988577494692</v>
      </c>
      <c r="H310" s="550" t="s">
        <v>255</v>
      </c>
      <c r="I310" s="555" t="n">
        <f aca="false">E311</f>
        <v>0.1043</v>
      </c>
      <c r="J310" s="556" t="n">
        <v>0.0228</v>
      </c>
      <c r="K310" s="553" t="n">
        <f aca="false">+G310/(1-J310)+I310</f>
        <v>2.49877991705579</v>
      </c>
      <c r="L310" s="550" t="s">
        <v>256</v>
      </c>
      <c r="M310" s="555" t="n">
        <v>0</v>
      </c>
      <c r="N310" s="556" t="n">
        <v>0.0025</v>
      </c>
      <c r="O310" s="553" t="n">
        <f aca="false">+K310/(1-N310)+M310</f>
        <v>2.5050425233642</v>
      </c>
      <c r="P310" s="557" t="n">
        <f aca="false">Weightings!$C$5</f>
        <v>1309.88291792445</v>
      </c>
      <c r="Q310" s="553" t="n">
        <f aca="false">+P310/SUM($P$9:$P$19)*O310</f>
        <v>0.0412133162692711</v>
      </c>
      <c r="R310" s="553"/>
      <c r="S310" s="273"/>
    </row>
    <row r="311" customFormat="false" ht="12.75" hidden="false" customHeight="false" outlineLevel="0" collapsed="false">
      <c r="A311" s="266" t="s">
        <v>259</v>
      </c>
      <c r="B311" s="317" t="s">
        <v>287</v>
      </c>
      <c r="C311" s="586" t="n">
        <v>2.42</v>
      </c>
      <c r="D311" s="550" t="s">
        <v>260</v>
      </c>
      <c r="E311" s="555" t="n">
        <f aca="false">0.0951+0.0022+0.007</f>
        <v>0.1043</v>
      </c>
      <c r="F311" s="562" t="n">
        <v>0.0228</v>
      </c>
      <c r="G311" s="553" t="n">
        <f aca="false">+C311/(1-F311)+E311</f>
        <v>2.58076336471551</v>
      </c>
      <c r="H311" s="550" t="s">
        <v>256</v>
      </c>
      <c r="I311" s="555" t="n">
        <v>0</v>
      </c>
      <c r="J311" s="556" t="n">
        <v>0.0025</v>
      </c>
      <c r="K311" s="553" t="n">
        <f aca="false">+G311/(1-J311)+I311</f>
        <v>2.58723144332382</v>
      </c>
      <c r="L311" s="550"/>
      <c r="M311" s="555" t="n">
        <v>0</v>
      </c>
      <c r="N311" s="556" t="n">
        <v>0</v>
      </c>
      <c r="O311" s="553" t="n">
        <f aca="false">+K311/(1-N311)+M311</f>
        <v>2.58723144332382</v>
      </c>
      <c r="P311" s="557" t="n">
        <f aca="false">Weightings!$C$6</f>
        <v>19813.4520237259</v>
      </c>
      <c r="Q311" s="553" t="n">
        <f aca="false">+P311/SUM($P$9:$P$19)*O311</f>
        <v>0.643851051276758</v>
      </c>
      <c r="R311" s="553"/>
      <c r="S311" s="273"/>
    </row>
    <row r="312" customFormat="false" ht="12.75" hidden="false" customHeight="false" outlineLevel="0" collapsed="false">
      <c r="A312" s="266" t="s">
        <v>261</v>
      </c>
      <c r="B312" s="317" t="s">
        <v>288</v>
      </c>
      <c r="C312" s="586" t="n">
        <v>2.45</v>
      </c>
      <c r="D312" s="550" t="s">
        <v>262</v>
      </c>
      <c r="E312" s="555" t="n">
        <f aca="false">0.0951+0.0022+0.007</f>
        <v>0.1043</v>
      </c>
      <c r="F312" s="562" t="n">
        <v>0.0228</v>
      </c>
      <c r="G312" s="553" t="n">
        <f aca="false">+C312/(1-F312)+E312</f>
        <v>2.61146332378224</v>
      </c>
      <c r="H312" s="550" t="s">
        <v>256</v>
      </c>
      <c r="I312" s="555" t="n">
        <v>0</v>
      </c>
      <c r="J312" s="556" t="n">
        <v>0.0025</v>
      </c>
      <c r="K312" s="553" t="n">
        <f aca="false">+G312/(1-J312)+I312</f>
        <v>2.61800834464384</v>
      </c>
      <c r="L312" s="550"/>
      <c r="M312" s="555" t="n">
        <v>0</v>
      </c>
      <c r="N312" s="556" t="n">
        <v>0</v>
      </c>
      <c r="O312" s="553" t="n">
        <f aca="false">+K312/(1-N312)+M312</f>
        <v>2.61800834464384</v>
      </c>
      <c r="P312" s="557" t="n">
        <f aca="false">Weightings!$C$7</f>
        <v>669.603363940486</v>
      </c>
      <c r="Q312" s="553" t="n">
        <f aca="false">+P312/SUM($P$9:$P$19)*O312</f>
        <v>0.0220180388708272</v>
      </c>
      <c r="R312" s="553"/>
      <c r="S312" s="558"/>
    </row>
    <row r="313" customFormat="false" ht="12.75" hidden="false" customHeight="false" outlineLevel="0" collapsed="false">
      <c r="A313" s="266" t="s">
        <v>206</v>
      </c>
      <c r="B313" s="317" t="s">
        <v>289</v>
      </c>
      <c r="C313" s="587" t="n">
        <f aca="false">C318</f>
        <v>2.195</v>
      </c>
      <c r="D313" s="550" t="s">
        <v>290</v>
      </c>
      <c r="E313" s="588" t="n">
        <f aca="false">0.0331+0.0022+0.0097</f>
        <v>0.045</v>
      </c>
      <c r="F313" s="589" t="n">
        <v>0.0504</v>
      </c>
      <c r="G313" s="553" t="n">
        <f aca="false">+C313/(1-F313)+E313</f>
        <v>2.35649957877001</v>
      </c>
      <c r="H313" s="550" t="s">
        <v>255</v>
      </c>
      <c r="I313" s="555" t="n">
        <f aca="false">E311</f>
        <v>0.1043</v>
      </c>
      <c r="J313" s="556" t="n">
        <v>0.0228</v>
      </c>
      <c r="K313" s="553" t="n">
        <f aca="false">+G313/(1-J313)+I313</f>
        <v>2.51578135363284</v>
      </c>
      <c r="L313" s="550" t="s">
        <v>256</v>
      </c>
      <c r="M313" s="555" t="n">
        <v>0</v>
      </c>
      <c r="N313" s="556" t="n">
        <v>0.0025</v>
      </c>
      <c r="O313" s="553" t="n">
        <f aca="false">+K313/(1-N313)+M313</f>
        <v>2.52208657005798</v>
      </c>
      <c r="P313" s="557" t="n">
        <f aca="false">Weightings!$C$8</f>
        <v>273.774605247488</v>
      </c>
      <c r="Q313" s="553" t="n">
        <f aca="false">+P313/SUM($P$9:$P$19)*O313</f>
        <v>0.00867247650203034</v>
      </c>
      <c r="R313" s="553"/>
      <c r="S313" s="273"/>
    </row>
    <row r="314" customFormat="false" ht="12.75" hidden="false" customHeight="false" outlineLevel="0" collapsed="false">
      <c r="A314" s="266" t="s">
        <v>207</v>
      </c>
      <c r="B314" s="317" t="s">
        <v>144</v>
      </c>
      <c r="C314" s="587" t="n">
        <f aca="false">C319</f>
        <v>2.26</v>
      </c>
      <c r="D314" s="550" t="s">
        <v>291</v>
      </c>
      <c r="E314" s="588" t="n">
        <f aca="false">0.0305+0.0022+0.0097</f>
        <v>0.0424</v>
      </c>
      <c r="F314" s="589" t="n">
        <v>0.0462</v>
      </c>
      <c r="G314" s="553" t="n">
        <f aca="false">+C314/(1-F314)+E314</f>
        <v>2.41186949045922</v>
      </c>
      <c r="H314" s="550" t="s">
        <v>255</v>
      </c>
      <c r="I314" s="555" t="n">
        <f aca="false">E311</f>
        <v>0.1043</v>
      </c>
      <c r="J314" s="556" t="n">
        <v>0.0228</v>
      </c>
      <c r="K314" s="553" t="n">
        <f aca="false">+G314/(1-J314)+I314</f>
        <v>2.57244315437906</v>
      </c>
      <c r="L314" s="550" t="s">
        <v>256</v>
      </c>
      <c r="M314" s="555" t="n">
        <v>0</v>
      </c>
      <c r="N314" s="556" t="n">
        <v>0.0025</v>
      </c>
      <c r="O314" s="553" t="n">
        <f aca="false">+K314/(1-N314)+M314</f>
        <v>2.57889038032988</v>
      </c>
      <c r="P314" s="557" t="n">
        <f aca="false">Weightings!$C$9</f>
        <v>6.55445647922163</v>
      </c>
      <c r="Q314" s="553" t="n">
        <f aca="false">+P314/SUM($P$9:$P$19)*O314</f>
        <v>0.000212304669918215</v>
      </c>
      <c r="R314" s="553"/>
      <c r="S314" s="273"/>
    </row>
    <row r="315" customFormat="false" ht="12.75" hidden="false" customHeight="false" outlineLevel="0" collapsed="false">
      <c r="A315" s="266" t="s">
        <v>211</v>
      </c>
      <c r="B315" s="317" t="s">
        <v>292</v>
      </c>
      <c r="C315" s="586" t="n">
        <v>2.235</v>
      </c>
      <c r="D315" s="550" t="s">
        <v>269</v>
      </c>
      <c r="E315" s="555" t="n">
        <f aca="false">0.0366+0.0022</f>
        <v>0.0388</v>
      </c>
      <c r="F315" s="562" t="n">
        <v>0.00697</v>
      </c>
      <c r="G315" s="553" t="n">
        <f aca="false">+C315/(1-F315)+E315</f>
        <v>2.28948729041419</v>
      </c>
      <c r="H315" s="550" t="s">
        <v>270</v>
      </c>
      <c r="I315" s="588" t="n">
        <f aca="false">0.017+0.0022</f>
        <v>0.0192</v>
      </c>
      <c r="J315" s="589" t="n">
        <v>0.02902</v>
      </c>
      <c r="K315" s="553" t="n">
        <f aca="false">+G315/(1-J315)+I315</f>
        <v>2.37711395334012</v>
      </c>
      <c r="L315" s="561" t="s">
        <v>271</v>
      </c>
      <c r="M315" s="555" t="n">
        <f aca="false">E316</f>
        <v>0.0226</v>
      </c>
      <c r="N315" s="562" t="n">
        <f aca="false">F316</f>
        <v>0.02776</v>
      </c>
      <c r="O315" s="563" t="n">
        <f aca="false">+K315/(1-N315)+M315</f>
        <v>2.46758678653431</v>
      </c>
      <c r="P315" s="557" t="n">
        <f aca="false">Weightings!$C$13</f>
        <v>31370.607479626</v>
      </c>
      <c r="Q315" s="553" t="n">
        <f aca="false">+P315/SUM($P$9:$P$19)*O315</f>
        <v>0.972266552403167</v>
      </c>
      <c r="R315" s="563"/>
      <c r="S315" s="273"/>
    </row>
    <row r="316" customFormat="false" ht="12.75" hidden="false" customHeight="false" outlineLevel="0" collapsed="false">
      <c r="A316" s="266" t="s">
        <v>212</v>
      </c>
      <c r="B316" s="317" t="s">
        <v>293</v>
      </c>
      <c r="C316" s="586" t="n">
        <v>2.38</v>
      </c>
      <c r="D316" s="550" t="s">
        <v>272</v>
      </c>
      <c r="E316" s="555" t="n">
        <f aca="false">0.0134+0.0022+0.007</f>
        <v>0.0226</v>
      </c>
      <c r="F316" s="562" t="n">
        <v>0.02776</v>
      </c>
      <c r="G316" s="553" t="n">
        <f aca="false">+C316/(1-F316)+E316</f>
        <v>2.47055523738995</v>
      </c>
      <c r="H316" s="550"/>
      <c r="I316" s="555" t="n">
        <v>0</v>
      </c>
      <c r="J316" s="556" t="n">
        <v>0</v>
      </c>
      <c r="K316" s="553" t="n">
        <f aca="false">+G316/(1-J316)+I316</f>
        <v>2.47055523738995</v>
      </c>
      <c r="L316" s="561"/>
      <c r="M316" s="555" t="n">
        <v>0</v>
      </c>
      <c r="N316" s="556" t="n">
        <v>0</v>
      </c>
      <c r="O316" s="553" t="n">
        <f aca="false">+K316/(1-N316)+M316</f>
        <v>2.47055523738995</v>
      </c>
      <c r="P316" s="557" t="n">
        <f aca="false">Weightings!$C$14</f>
        <v>5614.32270168218</v>
      </c>
      <c r="Q316" s="553" t="n">
        <f aca="false">+P316/SUM($P$9:$P$19)*O316</f>
        <v>0.174213546054962</v>
      </c>
      <c r="R316" s="553"/>
      <c r="S316" s="564"/>
    </row>
    <row r="317" customFormat="false" ht="12.75" hidden="false" customHeight="false" outlineLevel="0" collapsed="false">
      <c r="A317" s="266" t="s">
        <v>213</v>
      </c>
      <c r="B317" s="317" t="s">
        <v>294</v>
      </c>
      <c r="C317" s="586" t="n">
        <v>2.165</v>
      </c>
      <c r="D317" s="550" t="s">
        <v>295</v>
      </c>
      <c r="E317" s="588" t="n">
        <f aca="false">0.0299+0.0022+0.0097</f>
        <v>0.0418</v>
      </c>
      <c r="F317" s="589" t="n">
        <v>0.0458</v>
      </c>
      <c r="G317" s="553" t="n">
        <f aca="false">+C317/(1-F317)+E317</f>
        <v>2.31071636973381</v>
      </c>
      <c r="H317" s="550" t="s">
        <v>274</v>
      </c>
      <c r="I317" s="555" t="n">
        <v>0</v>
      </c>
      <c r="J317" s="556" t="n">
        <v>0.01</v>
      </c>
      <c r="K317" s="553" t="n">
        <f aca="false">+G317/(1-J317)+I317</f>
        <v>2.33405693912506</v>
      </c>
      <c r="L317" s="561"/>
      <c r="M317" s="555" t="n">
        <v>0</v>
      </c>
      <c r="N317" s="556" t="n">
        <v>0</v>
      </c>
      <c r="O317" s="553" t="n">
        <f aca="false">+K317/(1-N317)+M317</f>
        <v>2.33405693912506</v>
      </c>
      <c r="P317" s="557" t="n">
        <f aca="false">Weightings!$C$15</f>
        <v>3366</v>
      </c>
      <c r="Q317" s="553" t="n">
        <f aca="false">+P317/SUM($P$9:$P$19)*O317</f>
        <v>0.0986769094266642</v>
      </c>
      <c r="R317" s="553"/>
      <c r="S317" s="273"/>
    </row>
    <row r="318" customFormat="false" ht="12.75" hidden="false" customHeight="false" outlineLevel="0" collapsed="false">
      <c r="A318" s="266" t="s">
        <v>214</v>
      </c>
      <c r="B318" s="317" t="s">
        <v>289</v>
      </c>
      <c r="C318" s="586" t="n">
        <v>2.195</v>
      </c>
      <c r="D318" s="550" t="s">
        <v>296</v>
      </c>
      <c r="E318" s="588" t="n">
        <f aca="false">0.0277+0.0022+0.0097</f>
        <v>0.0396</v>
      </c>
      <c r="F318" s="589" t="n">
        <v>0.0423</v>
      </c>
      <c r="G318" s="553" t="n">
        <f aca="false">+C318/(1-F318)+E318</f>
        <v>2.33154946225332</v>
      </c>
      <c r="H318" s="550" t="s">
        <v>274</v>
      </c>
      <c r="I318" s="555" t="n">
        <v>0</v>
      </c>
      <c r="J318" s="556" t="n">
        <v>0.01</v>
      </c>
      <c r="K318" s="553" t="n">
        <f aca="false">+G318/(1-J318)+I318</f>
        <v>2.35510046692254</v>
      </c>
      <c r="M318" s="555" t="n">
        <v>0</v>
      </c>
      <c r="N318" s="556" t="n">
        <v>0</v>
      </c>
      <c r="O318" s="553" t="n">
        <f aca="false">+K318/(1-N318)+M318</f>
        <v>2.35510046692254</v>
      </c>
      <c r="P318" s="557" t="n">
        <f aca="false">Weightings!$C$16</f>
        <v>4950</v>
      </c>
      <c r="Q318" s="553" t="n">
        <f aca="false">+P318/SUM($P$9:$P$19)*O318</f>
        <v>0.146421421336779</v>
      </c>
      <c r="R318" s="553"/>
      <c r="S318" s="273"/>
    </row>
    <row r="319" customFormat="false" ht="12.75" hidden="false" customHeight="false" outlineLevel="0" collapsed="false">
      <c r="A319" s="266" t="s">
        <v>215</v>
      </c>
      <c r="B319" s="317" t="s">
        <v>144</v>
      </c>
      <c r="C319" s="586" t="n">
        <v>2.26</v>
      </c>
      <c r="D319" s="550" t="s">
        <v>297</v>
      </c>
      <c r="E319" s="588" t="n">
        <f aca="false">0.0251+0.0022+0.0097</f>
        <v>0.037</v>
      </c>
      <c r="F319" s="589" t="n">
        <v>0.0381</v>
      </c>
      <c r="G319" s="553" t="n">
        <f aca="false">+C319/(1-F319)+E319</f>
        <v>2.38651658176526</v>
      </c>
      <c r="H319" s="550" t="s">
        <v>274</v>
      </c>
      <c r="I319" s="555" t="n">
        <v>0</v>
      </c>
      <c r="J319" s="556" t="n">
        <v>0.01</v>
      </c>
      <c r="K319" s="553" t="n">
        <f aca="false">+G319/(1-J319)+I319</f>
        <v>2.41062280986389</v>
      </c>
      <c r="M319" s="555" t="n">
        <v>0</v>
      </c>
      <c r="N319" s="556" t="n">
        <v>0</v>
      </c>
      <c r="O319" s="553" t="n">
        <f aca="false">+K319/(1-N319)+M319</f>
        <v>2.41062280986389</v>
      </c>
      <c r="P319" s="557" t="n">
        <f aca="false">Weightings!$C$17</f>
        <v>11172.1727158949</v>
      </c>
      <c r="Q319" s="553" t="n">
        <f aca="false">+P319/SUM($P$9:$P$19)*O319</f>
        <v>0.338264859393981</v>
      </c>
      <c r="R319" s="553"/>
      <c r="S319" s="273"/>
    </row>
    <row r="320" customFormat="false" ht="12.75" hidden="false" customHeight="false" outlineLevel="0" collapsed="false">
      <c r="O320" s="403"/>
      <c r="P320" s="385"/>
      <c r="Q320" s="403"/>
      <c r="R320" s="403"/>
      <c r="S320" s="565"/>
    </row>
    <row r="321" customFormat="false" ht="13.5" hidden="false" customHeight="false" outlineLevel="0" collapsed="false">
      <c r="O321" s="566"/>
      <c r="P321" s="567"/>
      <c r="Q321" s="566"/>
      <c r="R321" s="566"/>
    </row>
    <row r="322" customFormat="false" ht="13.5" hidden="false" customHeight="false" outlineLevel="0" collapsed="false">
      <c r="O322" s="568" t="s">
        <v>277</v>
      </c>
      <c r="P322" s="569"/>
      <c r="Q322" s="570" t="n">
        <f aca="false">SUM(Q309:Q319)</f>
        <v>2.47941961398195</v>
      </c>
      <c r="R322" s="590" t="n">
        <f aca="false">B307</f>
        <v>37180</v>
      </c>
    </row>
    <row r="323" customFormat="false" ht="12.75" hidden="false" customHeight="false" outlineLevel="0" collapsed="false">
      <c r="O323" s="403"/>
      <c r="P323" s="403"/>
      <c r="Q323" s="403"/>
      <c r="R323" s="403"/>
      <c r="S323" s="403"/>
    </row>
    <row r="324" customFormat="false" ht="12.75" hidden="false" customHeight="false" outlineLevel="0" collapsed="false">
      <c r="D324" s="550"/>
      <c r="H324" s="553"/>
      <c r="O324" s="566" t="s">
        <v>298</v>
      </c>
      <c r="P324" s="571" t="n">
        <f aca="false">Weightings!C323</f>
        <v>0</v>
      </c>
      <c r="Q324" s="403" t="s">
        <v>279</v>
      </c>
      <c r="R324" s="572" t="s">
        <v>280</v>
      </c>
      <c r="S324" s="403"/>
    </row>
    <row r="325" customFormat="false" ht="13.5" hidden="false" customHeight="false" outlineLevel="0" collapsed="false">
      <c r="A325" s="591"/>
      <c r="B325" s="592"/>
      <c r="C325" s="591"/>
      <c r="D325" s="593"/>
      <c r="E325" s="591"/>
      <c r="F325" s="591"/>
      <c r="G325" s="591"/>
      <c r="H325" s="594"/>
      <c r="I325" s="591"/>
      <c r="J325" s="591"/>
      <c r="K325" s="591"/>
      <c r="L325" s="591"/>
      <c r="M325" s="591"/>
      <c r="N325" s="591"/>
      <c r="O325" s="591"/>
      <c r="P325" s="595"/>
      <c r="Q325" s="591"/>
      <c r="R325" s="591"/>
      <c r="S325" s="591"/>
    </row>
    <row r="326" customFormat="false" ht="14.25" hidden="false" customHeight="false" outlineLevel="0" collapsed="false">
      <c r="A326" s="267"/>
      <c r="B326" s="544"/>
      <c r="D326" s="269" t="s">
        <v>241</v>
      </c>
      <c r="H326" s="269" t="s">
        <v>242</v>
      </c>
      <c r="L326" s="269" t="s">
        <v>243</v>
      </c>
    </row>
    <row r="327" customFormat="false" ht="14.25" hidden="false" customHeight="false" outlineLevel="0" collapsed="false">
      <c r="A327" s="582" t="s">
        <v>284</v>
      </c>
      <c r="B327" s="583" t="n">
        <f aca="false">B307+1</f>
        <v>37181</v>
      </c>
      <c r="C327" s="584" t="n">
        <f aca="false">Q342</f>
        <v>2.78520360037339</v>
      </c>
      <c r="E327" s="585"/>
    </row>
    <row r="328" customFormat="false" ht="54" hidden="false" customHeight="true" outlineLevel="0" collapsed="false">
      <c r="A328" s="267" t="s">
        <v>244</v>
      </c>
      <c r="B328" s="315" t="s">
        <v>132</v>
      </c>
      <c r="C328" s="545" t="s">
        <v>286</v>
      </c>
      <c r="D328" s="546" t="s">
        <v>247</v>
      </c>
      <c r="E328" s="547" t="s">
        <v>248</v>
      </c>
      <c r="F328" s="547" t="s">
        <v>249</v>
      </c>
      <c r="G328" s="547" t="s">
        <v>250</v>
      </c>
      <c r="H328" s="546" t="s">
        <v>247</v>
      </c>
      <c r="I328" s="547" t="s">
        <v>248</v>
      </c>
      <c r="J328" s="547" t="s">
        <v>249</v>
      </c>
      <c r="K328" s="547" t="s">
        <v>250</v>
      </c>
      <c r="L328" s="546" t="s">
        <v>247</v>
      </c>
      <c r="M328" s="547" t="s">
        <v>248</v>
      </c>
      <c r="N328" s="547" t="s">
        <v>249</v>
      </c>
      <c r="O328" s="547" t="s">
        <v>250</v>
      </c>
      <c r="P328" s="547" t="s">
        <v>251</v>
      </c>
      <c r="Q328" s="547" t="s">
        <v>252</v>
      </c>
      <c r="R328" s="547"/>
      <c r="S328" s="547"/>
    </row>
    <row r="329" customFormat="false" ht="12.75" hidden="false" customHeight="false" outlineLevel="0" collapsed="false">
      <c r="A329" s="266" t="s">
        <v>253</v>
      </c>
      <c r="B329" s="317" t="s">
        <v>142</v>
      </c>
      <c r="C329" s="586" t="n">
        <v>2.445</v>
      </c>
      <c r="D329" s="550" t="s">
        <v>254</v>
      </c>
      <c r="E329" s="555" t="n">
        <v>0.0522</v>
      </c>
      <c r="F329" s="562" t="n">
        <v>0.0506</v>
      </c>
      <c r="G329" s="553" t="n">
        <f aca="false">+C329/(1-F329)+E329</f>
        <v>2.62751072256162</v>
      </c>
      <c r="H329" s="550" t="s">
        <v>255</v>
      </c>
      <c r="I329" s="555" t="n">
        <f aca="false">E331</f>
        <v>0.1043</v>
      </c>
      <c r="J329" s="556" t="n">
        <v>0.0228</v>
      </c>
      <c r="K329" s="553" t="n">
        <f aca="false">+G329/(1-J329)+I329</f>
        <v>2.79311572100043</v>
      </c>
      <c r="L329" s="550" t="s">
        <v>256</v>
      </c>
      <c r="M329" s="555" t="n">
        <v>0</v>
      </c>
      <c r="N329" s="556" t="n">
        <v>0.0025</v>
      </c>
      <c r="O329" s="553" t="n">
        <f aca="false">+K329/(1-N329)+M329</f>
        <v>2.800116011028</v>
      </c>
      <c r="P329" s="557" t="n">
        <f aca="false">Weightings!$C$4</f>
        <v>1071.40153987277</v>
      </c>
      <c r="Q329" s="553" t="n">
        <f aca="false">+P329/SUM($P$9:$P$19)*O329</f>
        <v>0.0376806401139731</v>
      </c>
      <c r="R329" s="553"/>
      <c r="S329" s="558"/>
    </row>
    <row r="330" customFormat="false" ht="12.75" hidden="false" customHeight="false" outlineLevel="0" collapsed="false">
      <c r="A330" s="266" t="s">
        <v>257</v>
      </c>
      <c r="B330" s="317" t="s">
        <v>143</v>
      </c>
      <c r="C330" s="586" t="n">
        <v>2.425</v>
      </c>
      <c r="D330" s="550" t="s">
        <v>258</v>
      </c>
      <c r="E330" s="555" t="n">
        <v>0.0522</v>
      </c>
      <c r="F330" s="562" t="n">
        <v>0.058</v>
      </c>
      <c r="G330" s="553" t="n">
        <f aca="false">+C330/(1-F330)+E330</f>
        <v>2.62650997876858</v>
      </c>
      <c r="H330" s="550" t="s">
        <v>255</v>
      </c>
      <c r="I330" s="555" t="n">
        <f aca="false">E331</f>
        <v>0.1043</v>
      </c>
      <c r="J330" s="556" t="n">
        <v>0.0228</v>
      </c>
      <c r="K330" s="553" t="n">
        <f aca="false">+G330/(1-J330)+I330</f>
        <v>2.79209162788434</v>
      </c>
      <c r="L330" s="550" t="s">
        <v>256</v>
      </c>
      <c r="M330" s="555" t="n">
        <v>0</v>
      </c>
      <c r="N330" s="556" t="n">
        <v>0.0025</v>
      </c>
      <c r="O330" s="553" t="n">
        <f aca="false">+K330/(1-N330)+M330</f>
        <v>2.7990893512625</v>
      </c>
      <c r="P330" s="557" t="n">
        <f aca="false">Weightings!$C$5</f>
        <v>1309.88291792445</v>
      </c>
      <c r="Q330" s="553" t="n">
        <f aca="false">+P330/SUM($P$9:$P$19)*O330</f>
        <v>0.0460510165490545</v>
      </c>
      <c r="R330" s="553"/>
      <c r="S330" s="273"/>
    </row>
    <row r="331" customFormat="false" ht="12.75" hidden="false" customHeight="false" outlineLevel="0" collapsed="false">
      <c r="A331" s="266" t="s">
        <v>259</v>
      </c>
      <c r="B331" s="317" t="s">
        <v>287</v>
      </c>
      <c r="C331" s="586" t="n">
        <v>2.77</v>
      </c>
      <c r="D331" s="550" t="s">
        <v>260</v>
      </c>
      <c r="E331" s="555" t="n">
        <f aca="false">0.0951+0.0022+0.007</f>
        <v>0.1043</v>
      </c>
      <c r="F331" s="562" t="n">
        <v>0.0228</v>
      </c>
      <c r="G331" s="553" t="n">
        <f aca="false">+C331/(1-F331)+E331</f>
        <v>2.93892955382726</v>
      </c>
      <c r="H331" s="550" t="s">
        <v>256</v>
      </c>
      <c r="I331" s="555" t="n">
        <v>0</v>
      </c>
      <c r="J331" s="556" t="n">
        <v>0.0025</v>
      </c>
      <c r="K331" s="553" t="n">
        <f aca="false">+G331/(1-J331)+I331</f>
        <v>2.94629529205741</v>
      </c>
      <c r="L331" s="550"/>
      <c r="M331" s="555" t="n">
        <v>0</v>
      </c>
      <c r="N331" s="556" t="n">
        <v>0</v>
      </c>
      <c r="O331" s="553" t="n">
        <f aca="false">+K331/(1-N331)+M331</f>
        <v>2.94629529205741</v>
      </c>
      <c r="P331" s="557" t="n">
        <f aca="false">Weightings!$C$6</f>
        <v>19813.4520237259</v>
      </c>
      <c r="Q331" s="553" t="n">
        <f aca="false">+P331/SUM($P$9:$P$19)*O331</f>
        <v>0.733206658437126</v>
      </c>
      <c r="R331" s="553"/>
      <c r="S331" s="273"/>
    </row>
    <row r="332" customFormat="false" ht="12.75" hidden="false" customHeight="false" outlineLevel="0" collapsed="false">
      <c r="A332" s="266" t="s">
        <v>261</v>
      </c>
      <c r="B332" s="317" t="s">
        <v>288</v>
      </c>
      <c r="C332" s="586" t="n">
        <v>2.81</v>
      </c>
      <c r="D332" s="550" t="s">
        <v>262</v>
      </c>
      <c r="E332" s="555" t="n">
        <f aca="false">0.0951+0.0022+0.007</f>
        <v>0.1043</v>
      </c>
      <c r="F332" s="562" t="n">
        <v>0.0228</v>
      </c>
      <c r="G332" s="553" t="n">
        <f aca="false">+C332/(1-F332)+E332</f>
        <v>2.97986283258289</v>
      </c>
      <c r="H332" s="550" t="s">
        <v>256</v>
      </c>
      <c r="I332" s="555" t="n">
        <v>0</v>
      </c>
      <c r="J332" s="556" t="n">
        <v>0.0025</v>
      </c>
      <c r="K332" s="553" t="n">
        <f aca="false">+G332/(1-J332)+I332</f>
        <v>2.9873311604841</v>
      </c>
      <c r="L332" s="550"/>
      <c r="M332" s="555" t="n">
        <v>0</v>
      </c>
      <c r="N332" s="556" t="n">
        <v>0</v>
      </c>
      <c r="O332" s="553" t="n">
        <f aca="false">+K332/(1-N332)+M332</f>
        <v>2.9873311604841</v>
      </c>
      <c r="P332" s="557" t="n">
        <f aca="false">Weightings!$C$7</f>
        <v>669.603363940486</v>
      </c>
      <c r="Q332" s="553" t="n">
        <f aca="false">+P332/SUM($P$9:$P$19)*O332</f>
        <v>0.0251241267989618</v>
      </c>
      <c r="R332" s="553"/>
      <c r="S332" s="558"/>
    </row>
    <row r="333" customFormat="false" ht="12.75" hidden="false" customHeight="false" outlineLevel="0" collapsed="false">
      <c r="A333" s="266" t="s">
        <v>206</v>
      </c>
      <c r="B333" s="317" t="s">
        <v>289</v>
      </c>
      <c r="C333" s="587" t="n">
        <f aca="false">C338</f>
        <v>2.47</v>
      </c>
      <c r="D333" s="550" t="s">
        <v>290</v>
      </c>
      <c r="E333" s="588" t="n">
        <f aca="false">0.0331+0.0022+0.0097</f>
        <v>0.045</v>
      </c>
      <c r="F333" s="589" t="n">
        <v>0.0504</v>
      </c>
      <c r="G333" s="553" t="n">
        <f aca="false">+C333/(1-F333)+E333</f>
        <v>2.6460951979781</v>
      </c>
      <c r="H333" s="550" t="s">
        <v>255</v>
      </c>
      <c r="I333" s="555" t="n">
        <f aca="false">E331</f>
        <v>0.1043</v>
      </c>
      <c r="J333" s="556" t="n">
        <v>0.0228</v>
      </c>
      <c r="K333" s="553" t="n">
        <f aca="false">+G333/(1-J333)+I333</f>
        <v>2.81213380881917</v>
      </c>
      <c r="L333" s="550" t="s">
        <v>256</v>
      </c>
      <c r="M333" s="555" t="n">
        <v>0</v>
      </c>
      <c r="N333" s="556" t="n">
        <v>0.0025</v>
      </c>
      <c r="O333" s="553" t="n">
        <f aca="false">+K333/(1-N333)+M333</f>
        <v>2.81918176322724</v>
      </c>
      <c r="P333" s="557" t="n">
        <f aca="false">Weightings!$C$8</f>
        <v>273.774605247488</v>
      </c>
      <c r="Q333" s="553" t="n">
        <f aca="false">+P333/SUM($P$9:$P$19)*O333</f>
        <v>0.00969407152268315</v>
      </c>
      <c r="R333" s="553"/>
      <c r="S333" s="273"/>
    </row>
    <row r="334" customFormat="false" ht="12.75" hidden="false" customHeight="false" outlineLevel="0" collapsed="false">
      <c r="A334" s="266" t="s">
        <v>207</v>
      </c>
      <c r="B334" s="317" t="s">
        <v>144</v>
      </c>
      <c r="C334" s="587" t="n">
        <f aca="false">C339</f>
        <v>2.55</v>
      </c>
      <c r="D334" s="550" t="s">
        <v>291</v>
      </c>
      <c r="E334" s="588" t="n">
        <f aca="false">0.0305+0.0022+0.0097</f>
        <v>0.0424</v>
      </c>
      <c r="F334" s="589" t="n">
        <v>0.0462</v>
      </c>
      <c r="G334" s="553" t="n">
        <f aca="false">+C334/(1-F334)+E334</f>
        <v>2.71591646047389</v>
      </c>
      <c r="H334" s="550" t="s">
        <v>255</v>
      </c>
      <c r="I334" s="555" t="n">
        <f aca="false">E331</f>
        <v>0.1043</v>
      </c>
      <c r="J334" s="556" t="n">
        <v>0.0228</v>
      </c>
      <c r="K334" s="553" t="n">
        <f aca="false">+G334/(1-J334)+I334</f>
        <v>2.88358413883943</v>
      </c>
      <c r="L334" s="550" t="s">
        <v>256</v>
      </c>
      <c r="M334" s="555" t="n">
        <v>0</v>
      </c>
      <c r="N334" s="556" t="n">
        <v>0.0025</v>
      </c>
      <c r="O334" s="553" t="n">
        <f aca="false">+K334/(1-N334)+M334</f>
        <v>2.89081116675632</v>
      </c>
      <c r="P334" s="557" t="n">
        <f aca="false">Weightings!$C$9</f>
        <v>6.55445647922163</v>
      </c>
      <c r="Q334" s="553" t="n">
        <f aca="false">+P334/SUM($P$9:$P$19)*O334</f>
        <v>0.000237983248623226</v>
      </c>
      <c r="R334" s="553"/>
      <c r="S334" s="273"/>
    </row>
    <row r="335" customFormat="false" ht="12.75" hidden="false" customHeight="false" outlineLevel="0" collapsed="false">
      <c r="A335" s="266" t="s">
        <v>211</v>
      </c>
      <c r="B335" s="317" t="s">
        <v>292</v>
      </c>
      <c r="C335" s="586" t="n">
        <v>2.5</v>
      </c>
      <c r="D335" s="550" t="s">
        <v>269</v>
      </c>
      <c r="E335" s="555" t="n">
        <f aca="false">0.0366+0.0022</f>
        <v>0.0388</v>
      </c>
      <c r="F335" s="562" t="n">
        <v>0.00697</v>
      </c>
      <c r="G335" s="553" t="n">
        <f aca="false">+C335/(1-F335)+E335</f>
        <v>2.55634730471386</v>
      </c>
      <c r="H335" s="550" t="s">
        <v>270</v>
      </c>
      <c r="I335" s="588" t="n">
        <f aca="false">0.017+0.0022</f>
        <v>0.0192</v>
      </c>
      <c r="J335" s="589" t="n">
        <v>0.02902</v>
      </c>
      <c r="K335" s="553" t="n">
        <f aca="false">+G335/(1-J335)+I335</f>
        <v>2.65194970103798</v>
      </c>
      <c r="L335" s="561" t="s">
        <v>271</v>
      </c>
      <c r="M335" s="555" t="n">
        <f aca="false">E336</f>
        <v>0.0226</v>
      </c>
      <c r="N335" s="562" t="n">
        <f aca="false">F336</f>
        <v>0.02776</v>
      </c>
      <c r="O335" s="563" t="n">
        <f aca="false">+K335/(1-N335)+M335</f>
        <v>2.7502698151053</v>
      </c>
      <c r="P335" s="557" t="n">
        <f aca="false">Weightings!$C$13</f>
        <v>31370.607479626</v>
      </c>
      <c r="Q335" s="553" t="n">
        <f aca="false">+P335/SUM($P$9:$P$19)*O335</f>
        <v>1.08364794539466</v>
      </c>
      <c r="R335" s="563"/>
      <c r="S335" s="273"/>
    </row>
    <row r="336" customFormat="false" ht="12.75" hidden="false" customHeight="false" outlineLevel="0" collapsed="false">
      <c r="A336" s="266" t="s">
        <v>212</v>
      </c>
      <c r="B336" s="317" t="s">
        <v>293</v>
      </c>
      <c r="C336" s="586" t="n">
        <v>2.65</v>
      </c>
      <c r="D336" s="550" t="s">
        <v>272</v>
      </c>
      <c r="E336" s="555" t="n">
        <f aca="false">0.0134+0.0022+0.007</f>
        <v>0.0226</v>
      </c>
      <c r="F336" s="562" t="n">
        <v>0.02776</v>
      </c>
      <c r="G336" s="553" t="n">
        <f aca="false">+C336/(1-F336)+E336</f>
        <v>2.74826444499301</v>
      </c>
      <c r="H336" s="550"/>
      <c r="I336" s="555" t="n">
        <v>0</v>
      </c>
      <c r="J336" s="556" t="n">
        <v>0</v>
      </c>
      <c r="K336" s="553" t="n">
        <f aca="false">+G336/(1-J336)+I336</f>
        <v>2.74826444499301</v>
      </c>
      <c r="L336" s="561"/>
      <c r="M336" s="555" t="n">
        <v>0</v>
      </c>
      <c r="N336" s="556" t="n">
        <v>0</v>
      </c>
      <c r="O336" s="553" t="n">
        <f aca="false">+K336/(1-N336)+M336</f>
        <v>2.74826444499301</v>
      </c>
      <c r="P336" s="557" t="n">
        <f aca="false">Weightings!$C$14</f>
        <v>5614.32270168218</v>
      </c>
      <c r="Q336" s="553" t="n">
        <f aca="false">+P336/SUM($P$9:$P$19)*O336</f>
        <v>0.193796474255246</v>
      </c>
      <c r="R336" s="553"/>
      <c r="S336" s="564"/>
    </row>
    <row r="337" customFormat="false" ht="12.75" hidden="false" customHeight="false" outlineLevel="0" collapsed="false">
      <c r="A337" s="266" t="s">
        <v>213</v>
      </c>
      <c r="B337" s="317" t="s">
        <v>294</v>
      </c>
      <c r="C337" s="586" t="n">
        <v>2.425</v>
      </c>
      <c r="D337" s="550" t="s">
        <v>295</v>
      </c>
      <c r="E337" s="588" t="n">
        <f aca="false">0.0299+0.0022+0.0097</f>
        <v>0.0418</v>
      </c>
      <c r="F337" s="589" t="n">
        <v>0.0458</v>
      </c>
      <c r="G337" s="553" t="n">
        <f aca="false">+C337/(1-F337)+E337</f>
        <v>2.58319593376651</v>
      </c>
      <c r="H337" s="550" t="s">
        <v>274</v>
      </c>
      <c r="I337" s="555" t="n">
        <v>0</v>
      </c>
      <c r="J337" s="556" t="n">
        <v>0.01</v>
      </c>
      <c r="K337" s="553" t="n">
        <f aca="false">+G337/(1-J337)+I337</f>
        <v>2.60928882198637</v>
      </c>
      <c r="L337" s="561"/>
      <c r="M337" s="555" t="n">
        <v>0</v>
      </c>
      <c r="N337" s="556" t="n">
        <v>0</v>
      </c>
      <c r="O337" s="553" t="n">
        <f aca="false">+K337/(1-N337)+M337</f>
        <v>2.60928882198637</v>
      </c>
      <c r="P337" s="557" t="n">
        <f aca="false">Weightings!$C$15</f>
        <v>3366</v>
      </c>
      <c r="Q337" s="553" t="n">
        <f aca="false">+P337/SUM($P$9:$P$19)*O337</f>
        <v>0.110312885876586</v>
      </c>
      <c r="R337" s="553"/>
      <c r="S337" s="273"/>
    </row>
    <row r="338" customFormat="false" ht="12.75" hidden="false" customHeight="false" outlineLevel="0" collapsed="false">
      <c r="A338" s="266" t="s">
        <v>214</v>
      </c>
      <c r="B338" s="317" t="s">
        <v>289</v>
      </c>
      <c r="C338" s="586" t="n">
        <v>2.47</v>
      </c>
      <c r="D338" s="550" t="s">
        <v>296</v>
      </c>
      <c r="E338" s="588" t="n">
        <f aca="false">0.0277+0.0022+0.0097</f>
        <v>0.0396</v>
      </c>
      <c r="F338" s="589" t="n">
        <v>0.0423</v>
      </c>
      <c r="G338" s="553" t="n">
        <f aca="false">+C338/(1-F338)+E338</f>
        <v>2.61869575023494</v>
      </c>
      <c r="H338" s="550" t="s">
        <v>274</v>
      </c>
      <c r="I338" s="555" t="n">
        <v>0</v>
      </c>
      <c r="J338" s="556" t="n">
        <v>0.01</v>
      </c>
      <c r="K338" s="553" t="n">
        <f aca="false">+G338/(1-J338)+I338</f>
        <v>2.64514722245953</v>
      </c>
      <c r="M338" s="555" t="n">
        <v>0</v>
      </c>
      <c r="N338" s="556" t="n">
        <v>0</v>
      </c>
      <c r="O338" s="553" t="n">
        <f aca="false">+K338/(1-N338)+M338</f>
        <v>2.64514722245953</v>
      </c>
      <c r="P338" s="557" t="n">
        <f aca="false">Weightings!$C$16</f>
        <v>4950</v>
      </c>
      <c r="Q338" s="553" t="n">
        <f aca="false">+P338/SUM($P$9:$P$19)*O338</f>
        <v>0.164454222398273</v>
      </c>
      <c r="R338" s="553"/>
      <c r="S338" s="273"/>
    </row>
    <row r="339" customFormat="false" ht="12.75" hidden="false" customHeight="false" outlineLevel="0" collapsed="false">
      <c r="A339" s="266" t="s">
        <v>215</v>
      </c>
      <c r="B339" s="317" t="s">
        <v>144</v>
      </c>
      <c r="C339" s="586" t="n">
        <v>2.55</v>
      </c>
      <c r="D339" s="550" t="s">
        <v>297</v>
      </c>
      <c r="E339" s="588" t="n">
        <f aca="false">0.0251+0.0022+0.0097</f>
        <v>0.037</v>
      </c>
      <c r="F339" s="589" t="n">
        <v>0.0381</v>
      </c>
      <c r="G339" s="553" t="n">
        <f aca="false">+C339/(1-F339)+E339</f>
        <v>2.68800322278823</v>
      </c>
      <c r="H339" s="550" t="s">
        <v>274</v>
      </c>
      <c r="I339" s="555" t="n">
        <v>0</v>
      </c>
      <c r="J339" s="556" t="n">
        <v>0.01</v>
      </c>
      <c r="K339" s="553" t="n">
        <f aca="false">+G339/(1-J339)+I339</f>
        <v>2.71515477049316</v>
      </c>
      <c r="M339" s="555" t="n">
        <v>0</v>
      </c>
      <c r="N339" s="556" t="n">
        <v>0</v>
      </c>
      <c r="O339" s="553" t="n">
        <f aca="false">+K339/(1-N339)+M339</f>
        <v>2.71515477049316</v>
      </c>
      <c r="P339" s="557" t="n">
        <f aca="false">Weightings!$C$17</f>
        <v>11172.1727158949</v>
      </c>
      <c r="Q339" s="553" t="n">
        <f aca="false">+P339/SUM($P$9:$P$19)*O339</f>
        <v>0.380997575778196</v>
      </c>
      <c r="R339" s="553"/>
      <c r="S339" s="273"/>
    </row>
    <row r="340" customFormat="false" ht="12.75" hidden="false" customHeight="false" outlineLevel="0" collapsed="false">
      <c r="O340" s="403"/>
      <c r="P340" s="385"/>
      <c r="Q340" s="403"/>
      <c r="R340" s="403"/>
      <c r="S340" s="565"/>
    </row>
    <row r="341" customFormat="false" ht="13.5" hidden="false" customHeight="false" outlineLevel="0" collapsed="false">
      <c r="O341" s="566"/>
      <c r="P341" s="567"/>
      <c r="Q341" s="566"/>
      <c r="R341" s="566"/>
    </row>
    <row r="342" customFormat="false" ht="13.5" hidden="false" customHeight="false" outlineLevel="0" collapsed="false">
      <c r="O342" s="568" t="s">
        <v>277</v>
      </c>
      <c r="P342" s="569"/>
      <c r="Q342" s="570" t="n">
        <f aca="false">SUM(Q329:Q339)</f>
        <v>2.78520360037339</v>
      </c>
      <c r="R342" s="590" t="n">
        <f aca="false">B327</f>
        <v>37181</v>
      </c>
    </row>
    <row r="343" customFormat="false" ht="12.75" hidden="false" customHeight="false" outlineLevel="0" collapsed="false">
      <c r="O343" s="403"/>
      <c r="P343" s="403"/>
      <c r="Q343" s="403"/>
      <c r="R343" s="403"/>
      <c r="S343" s="403"/>
    </row>
    <row r="344" customFormat="false" ht="12.75" hidden="false" customHeight="false" outlineLevel="0" collapsed="false">
      <c r="D344" s="550"/>
      <c r="H344" s="553"/>
      <c r="O344" s="566" t="s">
        <v>298</v>
      </c>
      <c r="P344" s="571" t="n">
        <f aca="false">Weightings!C343</f>
        <v>0</v>
      </c>
      <c r="Q344" s="403" t="s">
        <v>279</v>
      </c>
      <c r="R344" s="572" t="s">
        <v>280</v>
      </c>
      <c r="S344" s="403"/>
    </row>
    <row r="345" customFormat="false" ht="13.5" hidden="false" customHeight="false" outlineLevel="0" collapsed="false">
      <c r="A345" s="591"/>
      <c r="B345" s="592"/>
      <c r="C345" s="591"/>
      <c r="D345" s="593"/>
      <c r="E345" s="591"/>
      <c r="F345" s="591"/>
      <c r="G345" s="591"/>
      <c r="H345" s="594"/>
      <c r="I345" s="591"/>
      <c r="J345" s="591"/>
      <c r="K345" s="591"/>
      <c r="L345" s="591"/>
      <c r="M345" s="591"/>
      <c r="N345" s="591"/>
      <c r="O345" s="591"/>
      <c r="P345" s="595"/>
      <c r="Q345" s="591"/>
      <c r="R345" s="591"/>
      <c r="S345" s="591"/>
    </row>
    <row r="346" customFormat="false" ht="14.25" hidden="false" customHeight="false" outlineLevel="0" collapsed="false">
      <c r="A346" s="267"/>
      <c r="B346" s="544"/>
      <c r="D346" s="269" t="s">
        <v>241</v>
      </c>
      <c r="H346" s="269" t="s">
        <v>242</v>
      </c>
      <c r="L346" s="269" t="s">
        <v>243</v>
      </c>
    </row>
    <row r="347" customFormat="false" ht="14.25" hidden="false" customHeight="false" outlineLevel="0" collapsed="false">
      <c r="A347" s="582" t="s">
        <v>284</v>
      </c>
      <c r="B347" s="583" t="n">
        <f aca="false">B327+1</f>
        <v>37182</v>
      </c>
      <c r="C347" s="584" t="n">
        <f aca="false">Q362</f>
        <v>2.95597668476122</v>
      </c>
      <c r="E347" s="585"/>
    </row>
    <row r="348" customFormat="false" ht="54" hidden="false" customHeight="true" outlineLevel="0" collapsed="false">
      <c r="A348" s="267" t="s">
        <v>244</v>
      </c>
      <c r="B348" s="315" t="s">
        <v>132</v>
      </c>
      <c r="C348" s="545" t="s">
        <v>286</v>
      </c>
      <c r="D348" s="546" t="s">
        <v>247</v>
      </c>
      <c r="E348" s="547" t="s">
        <v>248</v>
      </c>
      <c r="F348" s="547" t="s">
        <v>249</v>
      </c>
      <c r="G348" s="547" t="s">
        <v>250</v>
      </c>
      <c r="H348" s="546" t="s">
        <v>247</v>
      </c>
      <c r="I348" s="547" t="s">
        <v>248</v>
      </c>
      <c r="J348" s="547" t="s">
        <v>249</v>
      </c>
      <c r="K348" s="547" t="s">
        <v>250</v>
      </c>
      <c r="L348" s="546" t="s">
        <v>247</v>
      </c>
      <c r="M348" s="547" t="s">
        <v>248</v>
      </c>
      <c r="N348" s="547" t="s">
        <v>249</v>
      </c>
      <c r="O348" s="547" t="s">
        <v>250</v>
      </c>
      <c r="P348" s="547" t="s">
        <v>251</v>
      </c>
      <c r="Q348" s="547" t="s">
        <v>252</v>
      </c>
      <c r="R348" s="547"/>
      <c r="S348" s="547"/>
    </row>
    <row r="349" customFormat="false" ht="12.75" hidden="false" customHeight="false" outlineLevel="0" collapsed="false">
      <c r="A349" s="266" t="s">
        <v>253</v>
      </c>
      <c r="B349" s="317" t="s">
        <v>142</v>
      </c>
      <c r="C349" s="586" t="n">
        <v>2.625</v>
      </c>
      <c r="D349" s="550" t="s">
        <v>254</v>
      </c>
      <c r="E349" s="555" t="n">
        <v>0.0522</v>
      </c>
      <c r="F349" s="562" t="n">
        <v>0.0506</v>
      </c>
      <c r="G349" s="553" t="n">
        <f aca="false">+C349/(1-F349)+E349</f>
        <v>2.81710414998947</v>
      </c>
      <c r="H349" s="550" t="s">
        <v>255</v>
      </c>
      <c r="I349" s="555" t="n">
        <f aca="false">E351</f>
        <v>0.1043</v>
      </c>
      <c r="J349" s="556" t="n">
        <v>0.0228</v>
      </c>
      <c r="K349" s="553" t="n">
        <f aca="false">+G349/(1-J349)+I349</f>
        <v>2.98713273637891</v>
      </c>
      <c r="L349" s="550" t="s">
        <v>256</v>
      </c>
      <c r="M349" s="555" t="n">
        <v>0</v>
      </c>
      <c r="N349" s="556" t="n">
        <v>0.0025</v>
      </c>
      <c r="O349" s="553" t="n">
        <f aca="false">+K349/(1-N349)+M349</f>
        <v>2.99461928459038</v>
      </c>
      <c r="P349" s="557" t="n">
        <f aca="false">Weightings!$C$4</f>
        <v>1071.40153987277</v>
      </c>
      <c r="Q349" s="553" t="n">
        <f aca="false">+P349/SUM($P$9:$P$19)*O349</f>
        <v>0.0402980344730744</v>
      </c>
      <c r="R349" s="553"/>
      <c r="S349" s="558"/>
    </row>
    <row r="350" customFormat="false" ht="12.75" hidden="false" customHeight="false" outlineLevel="0" collapsed="false">
      <c r="A350" s="266" t="s">
        <v>257</v>
      </c>
      <c r="B350" s="317" t="s">
        <v>143</v>
      </c>
      <c r="C350" s="586" t="n">
        <v>2.59</v>
      </c>
      <c r="D350" s="550" t="s">
        <v>258</v>
      </c>
      <c r="E350" s="555" t="n">
        <v>0.0522</v>
      </c>
      <c r="F350" s="562" t="n">
        <v>0.058</v>
      </c>
      <c r="G350" s="553" t="n">
        <f aca="false">+C350/(1-F350)+E350</f>
        <v>2.80166921443737</v>
      </c>
      <c r="H350" s="550" t="s">
        <v>255</v>
      </c>
      <c r="I350" s="555" t="n">
        <f aca="false">E351</f>
        <v>0.1043</v>
      </c>
      <c r="J350" s="556" t="n">
        <v>0.0228</v>
      </c>
      <c r="K350" s="553" t="n">
        <f aca="false">+G350/(1-J350)+I350</f>
        <v>2.97133767339068</v>
      </c>
      <c r="L350" s="550" t="s">
        <v>256</v>
      </c>
      <c r="M350" s="555" t="n">
        <v>0</v>
      </c>
      <c r="N350" s="556" t="n">
        <v>0.0025</v>
      </c>
      <c r="O350" s="553" t="n">
        <f aca="false">+K350/(1-N350)+M350</f>
        <v>2.97878463497812</v>
      </c>
      <c r="P350" s="557" t="n">
        <f aca="false">Weightings!$C$5</f>
        <v>1309.88291792445</v>
      </c>
      <c r="Q350" s="553" t="n">
        <f aca="false">+P350/SUM($P$9:$P$19)*O350</f>
        <v>0.0490073889422555</v>
      </c>
      <c r="R350" s="553"/>
      <c r="S350" s="273"/>
    </row>
    <row r="351" customFormat="false" ht="12.75" hidden="false" customHeight="false" outlineLevel="0" collapsed="false">
      <c r="A351" s="266" t="s">
        <v>259</v>
      </c>
      <c r="B351" s="317" t="s">
        <v>287</v>
      </c>
      <c r="C351" s="586" t="n">
        <v>2.95</v>
      </c>
      <c r="D351" s="550" t="s">
        <v>260</v>
      </c>
      <c r="E351" s="555" t="n">
        <f aca="false">0.0951+0.0022+0.007</f>
        <v>0.1043</v>
      </c>
      <c r="F351" s="562" t="n">
        <v>0.0228</v>
      </c>
      <c r="G351" s="553" t="n">
        <f aca="false">+C351/(1-F351)+E351</f>
        <v>3.12312930822759</v>
      </c>
      <c r="H351" s="550" t="s">
        <v>256</v>
      </c>
      <c r="I351" s="555" t="n">
        <v>0</v>
      </c>
      <c r="J351" s="556" t="n">
        <v>0.0025</v>
      </c>
      <c r="K351" s="553" t="n">
        <f aca="false">+G351/(1-J351)+I351</f>
        <v>3.13095669997753</v>
      </c>
      <c r="L351" s="550"/>
      <c r="M351" s="555" t="n">
        <v>0</v>
      </c>
      <c r="N351" s="556" t="n">
        <v>0</v>
      </c>
      <c r="O351" s="553" t="n">
        <f aca="false">+K351/(1-N351)+M351</f>
        <v>3.13095669997753</v>
      </c>
      <c r="P351" s="557" t="n">
        <f aca="false">Weightings!$C$6</f>
        <v>19813.4520237259</v>
      </c>
      <c r="Q351" s="553" t="n">
        <f aca="false">+P351/SUM($P$9:$P$19)*O351</f>
        <v>0.77916097069103</v>
      </c>
      <c r="R351" s="553"/>
      <c r="S351" s="273"/>
    </row>
    <row r="352" customFormat="false" ht="12.75" hidden="false" customHeight="false" outlineLevel="0" collapsed="false">
      <c r="A352" s="266" t="s">
        <v>261</v>
      </c>
      <c r="B352" s="317" t="s">
        <v>288</v>
      </c>
      <c r="C352" s="586" t="n">
        <v>3.07</v>
      </c>
      <c r="D352" s="550" t="s">
        <v>262</v>
      </c>
      <c r="E352" s="555" t="n">
        <f aca="false">0.0951+0.0022+0.007</f>
        <v>0.1043</v>
      </c>
      <c r="F352" s="562" t="n">
        <v>0.0228</v>
      </c>
      <c r="G352" s="553" t="n">
        <f aca="false">+C352/(1-F352)+E352</f>
        <v>3.24592914449447</v>
      </c>
      <c r="H352" s="550" t="s">
        <v>256</v>
      </c>
      <c r="I352" s="555" t="n">
        <v>0</v>
      </c>
      <c r="J352" s="556" t="n">
        <v>0.0025</v>
      </c>
      <c r="K352" s="553" t="n">
        <f aca="false">+G352/(1-J352)+I352</f>
        <v>3.25406430525762</v>
      </c>
      <c r="L352" s="550"/>
      <c r="M352" s="555" t="n">
        <v>0</v>
      </c>
      <c r="N352" s="556" t="n">
        <v>0</v>
      </c>
      <c r="O352" s="553" t="n">
        <f aca="false">+K352/(1-N352)+M352</f>
        <v>3.25406430525762</v>
      </c>
      <c r="P352" s="557" t="n">
        <f aca="false">Weightings!$C$7</f>
        <v>669.603363940486</v>
      </c>
      <c r="Q352" s="553" t="n">
        <f aca="false">+P352/SUM($P$9:$P$19)*O352</f>
        <v>0.0273674125248369</v>
      </c>
      <c r="R352" s="553"/>
      <c r="S352" s="558"/>
    </row>
    <row r="353" customFormat="false" ht="12.75" hidden="false" customHeight="false" outlineLevel="0" collapsed="false">
      <c r="A353" s="266" t="s">
        <v>206</v>
      </c>
      <c r="B353" s="317" t="s">
        <v>289</v>
      </c>
      <c r="C353" s="587" t="n">
        <f aca="false">C358</f>
        <v>2.64</v>
      </c>
      <c r="D353" s="550" t="s">
        <v>290</v>
      </c>
      <c r="E353" s="588" t="n">
        <f aca="false">0.0331+0.0022+0.0097</f>
        <v>0.045</v>
      </c>
      <c r="F353" s="589" t="n">
        <v>0.0504</v>
      </c>
      <c r="G353" s="553" t="n">
        <f aca="false">+C353/(1-F353)+E353</f>
        <v>2.82511794439764</v>
      </c>
      <c r="H353" s="550" t="s">
        <v>255</v>
      </c>
      <c r="I353" s="555" t="n">
        <f aca="false">E351</f>
        <v>0.1043</v>
      </c>
      <c r="J353" s="556" t="n">
        <v>0.0228</v>
      </c>
      <c r="K353" s="553" t="n">
        <f aca="false">+G353/(1-J353)+I353</f>
        <v>2.99533350838891</v>
      </c>
      <c r="L353" s="550" t="s">
        <v>256</v>
      </c>
      <c r="M353" s="555" t="n">
        <v>0</v>
      </c>
      <c r="N353" s="556" t="n">
        <v>0.0025</v>
      </c>
      <c r="O353" s="553" t="n">
        <f aca="false">+K353/(1-N353)+M353</f>
        <v>3.00284060991369</v>
      </c>
      <c r="P353" s="557" t="n">
        <f aca="false">Weightings!$C$8</f>
        <v>273.774605247488</v>
      </c>
      <c r="Q353" s="553" t="n">
        <f aca="false">+P353/SUM($P$9:$P$19)*O353</f>
        <v>0.0103256029899958</v>
      </c>
      <c r="R353" s="553"/>
      <c r="S353" s="273"/>
    </row>
    <row r="354" customFormat="false" ht="12.75" hidden="false" customHeight="false" outlineLevel="0" collapsed="false">
      <c r="A354" s="266" t="s">
        <v>207</v>
      </c>
      <c r="B354" s="317" t="s">
        <v>144</v>
      </c>
      <c r="C354" s="587" t="n">
        <f aca="false">C359</f>
        <v>2.72</v>
      </c>
      <c r="D354" s="550" t="s">
        <v>291</v>
      </c>
      <c r="E354" s="588" t="n">
        <f aca="false">0.0305+0.0022+0.0097</f>
        <v>0.0424</v>
      </c>
      <c r="F354" s="589" t="n">
        <v>0.0462</v>
      </c>
      <c r="G354" s="553" t="n">
        <f aca="false">+C354/(1-F354)+E354</f>
        <v>2.89415089117215</v>
      </c>
      <c r="H354" s="550" t="s">
        <v>255</v>
      </c>
      <c r="I354" s="555" t="n">
        <f aca="false">E351</f>
        <v>0.1043</v>
      </c>
      <c r="J354" s="556" t="n">
        <v>0.0228</v>
      </c>
      <c r="K354" s="553" t="n">
        <f aca="false">+G354/(1-J354)+I354</f>
        <v>3.06597712973</v>
      </c>
      <c r="L354" s="550" t="s">
        <v>256</v>
      </c>
      <c r="M354" s="555" t="n">
        <v>0</v>
      </c>
      <c r="N354" s="556" t="n">
        <v>0.0025</v>
      </c>
      <c r="O354" s="553" t="n">
        <f aca="false">+K354/(1-N354)+M354</f>
        <v>3.07366128293734</v>
      </c>
      <c r="P354" s="557" t="n">
        <f aca="false">Weightings!$C$9</f>
        <v>6.55445647922163</v>
      </c>
      <c r="Q354" s="553" t="n">
        <f aca="false">+P354/SUM($P$9:$P$19)*O354</f>
        <v>0.00025303620855375</v>
      </c>
      <c r="R354" s="553"/>
      <c r="S354" s="273"/>
    </row>
    <row r="355" customFormat="false" ht="12.75" hidden="false" customHeight="false" outlineLevel="0" collapsed="false">
      <c r="A355" s="266" t="s">
        <v>211</v>
      </c>
      <c r="B355" s="317" t="s">
        <v>292</v>
      </c>
      <c r="C355" s="586" t="n">
        <v>2.645</v>
      </c>
      <c r="D355" s="550" t="s">
        <v>269</v>
      </c>
      <c r="E355" s="555" t="n">
        <f aca="false">0.0366+0.0022</f>
        <v>0.0388</v>
      </c>
      <c r="F355" s="562" t="n">
        <v>0.00697</v>
      </c>
      <c r="G355" s="553" t="n">
        <f aca="false">+C355/(1-F355)+E355</f>
        <v>2.70236504838726</v>
      </c>
      <c r="H355" s="550" t="s">
        <v>270</v>
      </c>
      <c r="I355" s="588" t="n">
        <f aca="false">0.017+0.0022</f>
        <v>0.0192</v>
      </c>
      <c r="J355" s="589" t="n">
        <v>0.02902</v>
      </c>
      <c r="K355" s="553" t="n">
        <f aca="false">+G355/(1-J355)+I355</f>
        <v>2.80233152525002</v>
      </c>
      <c r="L355" s="561" t="s">
        <v>271</v>
      </c>
      <c r="M355" s="555" t="n">
        <f aca="false">E356</f>
        <v>0.0226</v>
      </c>
      <c r="N355" s="562" t="n">
        <f aca="false">F356</f>
        <v>0.02776</v>
      </c>
      <c r="O355" s="563" t="n">
        <f aca="false">+K355/(1-N355)+M355</f>
        <v>2.90494543451207</v>
      </c>
      <c r="P355" s="557" t="n">
        <f aca="false">Weightings!$C$13</f>
        <v>31370.607479626</v>
      </c>
      <c r="Q355" s="553" t="n">
        <f aca="false">+P355/SUM($P$9:$P$19)*O355</f>
        <v>1.14459248118246</v>
      </c>
      <c r="R355" s="563"/>
      <c r="S355" s="273"/>
    </row>
    <row r="356" customFormat="false" ht="12.75" hidden="false" customHeight="false" outlineLevel="0" collapsed="false">
      <c r="A356" s="266" t="s">
        <v>212</v>
      </c>
      <c r="B356" s="317" t="s">
        <v>293</v>
      </c>
      <c r="C356" s="586" t="n">
        <v>2.81</v>
      </c>
      <c r="D356" s="550" t="s">
        <v>272</v>
      </c>
      <c r="E356" s="555" t="n">
        <f aca="false">0.0134+0.0022+0.007</f>
        <v>0.0226</v>
      </c>
      <c r="F356" s="562" t="n">
        <v>0.02776</v>
      </c>
      <c r="G356" s="553" t="n">
        <f aca="false">+C356/(1-F356)+E356</f>
        <v>2.91283286431334</v>
      </c>
      <c r="H356" s="550"/>
      <c r="I356" s="555" t="n">
        <v>0</v>
      </c>
      <c r="J356" s="556" t="n">
        <v>0</v>
      </c>
      <c r="K356" s="553" t="n">
        <f aca="false">+G356/(1-J356)+I356</f>
        <v>2.91283286431334</v>
      </c>
      <c r="L356" s="561"/>
      <c r="M356" s="555" t="n">
        <v>0</v>
      </c>
      <c r="N356" s="556" t="n">
        <v>0</v>
      </c>
      <c r="O356" s="553" t="n">
        <f aca="false">+K356/(1-N356)+M356</f>
        <v>2.91283286431334</v>
      </c>
      <c r="P356" s="557" t="n">
        <f aca="false">Weightings!$C$14</f>
        <v>5614.32270168218</v>
      </c>
      <c r="Q356" s="553" t="n">
        <f aca="false">+P356/SUM($P$9:$P$19)*O356</f>
        <v>0.205401172448007</v>
      </c>
      <c r="R356" s="553"/>
      <c r="S356" s="564"/>
    </row>
    <row r="357" customFormat="false" ht="12.75" hidden="false" customHeight="false" outlineLevel="0" collapsed="false">
      <c r="A357" s="266" t="s">
        <v>213</v>
      </c>
      <c r="B357" s="317" t="s">
        <v>294</v>
      </c>
      <c r="C357" s="586" t="n">
        <v>2.595</v>
      </c>
      <c r="D357" s="550" t="s">
        <v>295</v>
      </c>
      <c r="E357" s="588" t="n">
        <f aca="false">0.0299+0.0022+0.0097</f>
        <v>0.0418</v>
      </c>
      <c r="F357" s="589" t="n">
        <v>0.0458</v>
      </c>
      <c r="G357" s="553" t="n">
        <f aca="false">+C357/(1-F357)+E357</f>
        <v>2.76135564871096</v>
      </c>
      <c r="H357" s="550" t="s">
        <v>274</v>
      </c>
      <c r="I357" s="555" t="n">
        <v>0</v>
      </c>
      <c r="J357" s="556" t="n">
        <v>0.01</v>
      </c>
      <c r="K357" s="553" t="n">
        <f aca="false">+G357/(1-J357)+I357</f>
        <v>2.78924813001107</v>
      </c>
      <c r="L357" s="561"/>
      <c r="M357" s="555" t="n">
        <v>0</v>
      </c>
      <c r="N357" s="556" t="n">
        <v>0</v>
      </c>
      <c r="O357" s="553" t="n">
        <f aca="false">+K357/(1-N357)+M357</f>
        <v>2.78924813001107</v>
      </c>
      <c r="P357" s="557" t="n">
        <f aca="false">Weightings!$C$15</f>
        <v>3366</v>
      </c>
      <c r="Q357" s="553" t="n">
        <f aca="false">+P357/SUM($P$9:$P$19)*O357</f>
        <v>0.117921024324612</v>
      </c>
      <c r="R357" s="553"/>
      <c r="S357" s="273"/>
    </row>
    <row r="358" customFormat="false" ht="12.75" hidden="false" customHeight="false" outlineLevel="0" collapsed="false">
      <c r="A358" s="266" t="s">
        <v>214</v>
      </c>
      <c r="B358" s="317" t="s">
        <v>289</v>
      </c>
      <c r="C358" s="586" t="n">
        <v>2.64</v>
      </c>
      <c r="D358" s="550" t="s">
        <v>296</v>
      </c>
      <c r="E358" s="588" t="n">
        <f aca="false">0.0277+0.0022+0.0097</f>
        <v>0.0396</v>
      </c>
      <c r="F358" s="589" t="n">
        <v>0.0423</v>
      </c>
      <c r="G358" s="553" t="n">
        <f aca="false">+C358/(1-F358)+E358</f>
        <v>2.79620436462358</v>
      </c>
      <c r="H358" s="550" t="s">
        <v>274</v>
      </c>
      <c r="I358" s="555" t="n">
        <v>0</v>
      </c>
      <c r="J358" s="556" t="n">
        <v>0.01</v>
      </c>
      <c r="K358" s="553" t="n">
        <f aca="false">+G358/(1-J358)+I358</f>
        <v>2.82444885315513</v>
      </c>
      <c r="M358" s="555" t="n">
        <v>0</v>
      </c>
      <c r="N358" s="556" t="n">
        <v>0</v>
      </c>
      <c r="O358" s="553" t="n">
        <f aca="false">+K358/(1-N358)+M358</f>
        <v>2.82444885315513</v>
      </c>
      <c r="P358" s="557" t="n">
        <f aca="false">Weightings!$C$16</f>
        <v>4950</v>
      </c>
      <c r="Q358" s="553" t="n">
        <f aca="false">+P358/SUM($P$9:$P$19)*O358</f>
        <v>0.175601772145379</v>
      </c>
      <c r="R358" s="553"/>
      <c r="S358" s="273"/>
    </row>
    <row r="359" customFormat="false" ht="12.75" hidden="false" customHeight="false" outlineLevel="0" collapsed="false">
      <c r="A359" s="266" t="s">
        <v>215</v>
      </c>
      <c r="B359" s="317" t="s">
        <v>144</v>
      </c>
      <c r="C359" s="586" t="n">
        <v>2.72</v>
      </c>
      <c r="D359" s="550" t="s">
        <v>297</v>
      </c>
      <c r="E359" s="588" t="n">
        <f aca="false">0.0251+0.0022+0.0097</f>
        <v>0.037</v>
      </c>
      <c r="F359" s="589" t="n">
        <v>0.0381</v>
      </c>
      <c r="G359" s="553" t="n">
        <f aca="false">+C359/(1-F359)+E359</f>
        <v>2.86473677097411</v>
      </c>
      <c r="H359" s="550" t="s">
        <v>274</v>
      </c>
      <c r="I359" s="555" t="n">
        <v>0</v>
      </c>
      <c r="J359" s="556" t="n">
        <v>0.01</v>
      </c>
      <c r="K359" s="553" t="n">
        <f aca="false">+G359/(1-J359)+I359</f>
        <v>2.89367350603446</v>
      </c>
      <c r="M359" s="555" t="n">
        <v>0</v>
      </c>
      <c r="N359" s="556" t="n">
        <v>0</v>
      </c>
      <c r="O359" s="553" t="n">
        <f aca="false">+K359/(1-N359)+M359</f>
        <v>2.89367350603446</v>
      </c>
      <c r="P359" s="557" t="n">
        <f aca="false">Weightings!$C$17</f>
        <v>11172.1727158949</v>
      </c>
      <c r="Q359" s="553" t="n">
        <f aca="false">+P359/SUM($P$9:$P$19)*O359</f>
        <v>0.406047788831012</v>
      </c>
      <c r="R359" s="553"/>
      <c r="S359" s="273"/>
    </row>
    <row r="360" customFormat="false" ht="12.75" hidden="false" customHeight="false" outlineLevel="0" collapsed="false">
      <c r="O360" s="403"/>
      <c r="P360" s="385"/>
      <c r="Q360" s="403"/>
      <c r="R360" s="403"/>
      <c r="S360" s="565"/>
    </row>
    <row r="361" customFormat="false" ht="13.5" hidden="false" customHeight="false" outlineLevel="0" collapsed="false">
      <c r="O361" s="566"/>
      <c r="P361" s="567"/>
      <c r="Q361" s="566"/>
      <c r="R361" s="566"/>
    </row>
    <row r="362" customFormat="false" ht="13.5" hidden="false" customHeight="false" outlineLevel="0" collapsed="false">
      <c r="O362" s="568" t="s">
        <v>277</v>
      </c>
      <c r="P362" s="569"/>
      <c r="Q362" s="570" t="n">
        <f aca="false">SUM(Q349:Q359)</f>
        <v>2.95597668476122</v>
      </c>
      <c r="R362" s="590" t="n">
        <f aca="false">B347</f>
        <v>37182</v>
      </c>
    </row>
    <row r="363" customFormat="false" ht="12.75" hidden="false" customHeight="false" outlineLevel="0" collapsed="false">
      <c r="O363" s="403"/>
      <c r="P363" s="403"/>
      <c r="Q363" s="403"/>
      <c r="R363" s="403"/>
      <c r="S363" s="403"/>
    </row>
    <row r="364" customFormat="false" ht="12.75" hidden="false" customHeight="false" outlineLevel="0" collapsed="false">
      <c r="D364" s="550"/>
      <c r="H364" s="553"/>
      <c r="O364" s="566" t="s">
        <v>298</v>
      </c>
      <c r="P364" s="571" t="n">
        <f aca="false">Weightings!C363</f>
        <v>0</v>
      </c>
      <c r="Q364" s="403" t="s">
        <v>279</v>
      </c>
      <c r="R364" s="572" t="s">
        <v>280</v>
      </c>
      <c r="S364" s="403"/>
    </row>
    <row r="365" customFormat="false" ht="13.5" hidden="false" customHeight="false" outlineLevel="0" collapsed="false">
      <c r="A365" s="591"/>
      <c r="B365" s="592"/>
      <c r="C365" s="591"/>
      <c r="D365" s="593"/>
      <c r="E365" s="591"/>
      <c r="F365" s="591"/>
      <c r="G365" s="591"/>
      <c r="H365" s="594"/>
      <c r="I365" s="591"/>
      <c r="J365" s="591"/>
      <c r="K365" s="591"/>
      <c r="L365" s="591"/>
      <c r="M365" s="591"/>
      <c r="N365" s="591"/>
      <c r="O365" s="591"/>
      <c r="P365" s="595"/>
      <c r="Q365" s="591"/>
      <c r="R365" s="591"/>
      <c r="S365" s="591"/>
    </row>
    <row r="366" customFormat="false" ht="14.25" hidden="false" customHeight="false" outlineLevel="0" collapsed="false">
      <c r="A366" s="267"/>
      <c r="B366" s="544"/>
      <c r="D366" s="269" t="s">
        <v>241</v>
      </c>
      <c r="H366" s="269" t="s">
        <v>242</v>
      </c>
      <c r="L366" s="269" t="s">
        <v>243</v>
      </c>
    </row>
    <row r="367" customFormat="false" ht="14.25" hidden="false" customHeight="false" outlineLevel="0" collapsed="false">
      <c r="A367" s="582" t="s">
        <v>284</v>
      </c>
      <c r="B367" s="583" t="n">
        <f aca="false">B347+1</f>
        <v>37183</v>
      </c>
      <c r="C367" s="584" t="n">
        <f aca="false">Q382</f>
        <v>2.65284814062773</v>
      </c>
      <c r="E367" s="585"/>
    </row>
    <row r="368" customFormat="false" ht="54" hidden="false" customHeight="true" outlineLevel="0" collapsed="false">
      <c r="A368" s="267" t="s">
        <v>244</v>
      </c>
      <c r="B368" s="315" t="s">
        <v>132</v>
      </c>
      <c r="C368" s="545" t="s">
        <v>286</v>
      </c>
      <c r="D368" s="546" t="s">
        <v>247</v>
      </c>
      <c r="E368" s="547" t="s">
        <v>248</v>
      </c>
      <c r="F368" s="547" t="s">
        <v>249</v>
      </c>
      <c r="G368" s="547" t="s">
        <v>250</v>
      </c>
      <c r="H368" s="546" t="s">
        <v>247</v>
      </c>
      <c r="I368" s="547" t="s">
        <v>248</v>
      </c>
      <c r="J368" s="547" t="s">
        <v>249</v>
      </c>
      <c r="K368" s="547" t="s">
        <v>250</v>
      </c>
      <c r="L368" s="546" t="s">
        <v>247</v>
      </c>
      <c r="M368" s="547" t="s">
        <v>248</v>
      </c>
      <c r="N368" s="547" t="s">
        <v>249</v>
      </c>
      <c r="O368" s="547" t="s">
        <v>250</v>
      </c>
      <c r="P368" s="547" t="s">
        <v>251</v>
      </c>
      <c r="Q368" s="547" t="s">
        <v>252</v>
      </c>
      <c r="R368" s="547"/>
      <c r="S368" s="547"/>
    </row>
    <row r="369" customFormat="false" ht="12.75" hidden="false" customHeight="false" outlineLevel="0" collapsed="false">
      <c r="A369" s="266" t="s">
        <v>253</v>
      </c>
      <c r="B369" s="317" t="s">
        <v>142</v>
      </c>
      <c r="C369" s="586" t="n">
        <v>2.355</v>
      </c>
      <c r="D369" s="550" t="s">
        <v>254</v>
      </c>
      <c r="E369" s="555" t="n">
        <v>0.0522</v>
      </c>
      <c r="F369" s="562" t="n">
        <v>0.0506</v>
      </c>
      <c r="G369" s="553" t="n">
        <f aca="false">+C369/(1-F369)+E369</f>
        <v>2.53271400884769</v>
      </c>
      <c r="H369" s="550" t="s">
        <v>255</v>
      </c>
      <c r="I369" s="555" t="n">
        <f aca="false">E371</f>
        <v>0.1043</v>
      </c>
      <c r="J369" s="556" t="n">
        <v>0.0228</v>
      </c>
      <c r="K369" s="553" t="n">
        <f aca="false">+G369/(1-J369)+I369</f>
        <v>2.69610721331119</v>
      </c>
      <c r="L369" s="550" t="s">
        <v>256</v>
      </c>
      <c r="M369" s="555" t="n">
        <v>0</v>
      </c>
      <c r="N369" s="556" t="n">
        <v>0.0025</v>
      </c>
      <c r="O369" s="553" t="n">
        <f aca="false">+K369/(1-N369)+M369</f>
        <v>2.70286437424681</v>
      </c>
      <c r="P369" s="557" t="n">
        <f aca="false">Weightings!$C$4</f>
        <v>1071.40153987277</v>
      </c>
      <c r="Q369" s="553" t="n">
        <f aca="false">+P369/SUM($P$9:$P$19)*O369</f>
        <v>0.0363719429344225</v>
      </c>
      <c r="R369" s="553"/>
      <c r="S369" s="558"/>
    </row>
    <row r="370" customFormat="false" ht="12.75" hidden="false" customHeight="false" outlineLevel="0" collapsed="false">
      <c r="A370" s="266" t="s">
        <v>257</v>
      </c>
      <c r="B370" s="317" t="s">
        <v>143</v>
      </c>
      <c r="C370" s="586" t="n">
        <v>2.33</v>
      </c>
      <c r="D370" s="550" t="s">
        <v>258</v>
      </c>
      <c r="E370" s="555" t="n">
        <v>0.0522</v>
      </c>
      <c r="F370" s="562" t="n">
        <v>0.058</v>
      </c>
      <c r="G370" s="553" t="n">
        <f aca="false">+C370/(1-F370)+E370</f>
        <v>2.52566072186837</v>
      </c>
      <c r="H370" s="550" t="s">
        <v>255</v>
      </c>
      <c r="I370" s="555" t="n">
        <f aca="false">E371</f>
        <v>0.1043</v>
      </c>
      <c r="J370" s="556" t="n">
        <v>0.0228</v>
      </c>
      <c r="K370" s="553" t="n">
        <f aca="false">+G370/(1-J370)+I370</f>
        <v>2.68888935925948</v>
      </c>
      <c r="L370" s="550" t="s">
        <v>256</v>
      </c>
      <c r="M370" s="555" t="n">
        <v>0</v>
      </c>
      <c r="N370" s="556" t="n">
        <v>0.0025</v>
      </c>
      <c r="O370" s="553" t="n">
        <f aca="false">+K370/(1-N370)+M370</f>
        <v>2.69562843033532</v>
      </c>
      <c r="P370" s="557" t="n">
        <f aca="false">Weightings!$C$5</f>
        <v>1309.88291792445</v>
      </c>
      <c r="Q370" s="553" t="n">
        <f aca="false">+P370/SUM($P$9:$P$19)*O370</f>
        <v>0.0443488627469085</v>
      </c>
      <c r="R370" s="553"/>
      <c r="S370" s="273"/>
    </row>
    <row r="371" customFormat="false" ht="12.75" hidden="false" customHeight="false" outlineLevel="0" collapsed="false">
      <c r="A371" s="266" t="s">
        <v>259</v>
      </c>
      <c r="B371" s="317" t="s">
        <v>287</v>
      </c>
      <c r="C371" s="586" t="n">
        <v>2.6</v>
      </c>
      <c r="D371" s="550" t="s">
        <v>260</v>
      </c>
      <c r="E371" s="555" t="n">
        <f aca="false">0.0951+0.0022+0.007</f>
        <v>0.1043</v>
      </c>
      <c r="F371" s="562" t="n">
        <v>0.0228</v>
      </c>
      <c r="G371" s="553" t="n">
        <f aca="false">+C371/(1-F371)+E371</f>
        <v>2.76496311911584</v>
      </c>
      <c r="H371" s="550" t="s">
        <v>256</v>
      </c>
      <c r="I371" s="555" t="n">
        <v>0</v>
      </c>
      <c r="J371" s="556" t="n">
        <v>0.0025</v>
      </c>
      <c r="K371" s="553" t="n">
        <f aca="false">+G371/(1-J371)+I371</f>
        <v>2.77189285124395</v>
      </c>
      <c r="L371" s="550"/>
      <c r="M371" s="555" t="n">
        <v>0</v>
      </c>
      <c r="N371" s="556" t="n">
        <v>0</v>
      </c>
      <c r="O371" s="553" t="n">
        <f aca="false">+K371/(1-N371)+M371</f>
        <v>2.77189285124395</v>
      </c>
      <c r="P371" s="557" t="n">
        <f aca="false">Weightings!$C$6</f>
        <v>19813.4520237259</v>
      </c>
      <c r="Q371" s="553" t="n">
        <f aca="false">+P371/SUM($P$9:$P$19)*O371</f>
        <v>0.689805363530661</v>
      </c>
      <c r="R371" s="553"/>
      <c r="S371" s="273"/>
    </row>
    <row r="372" customFormat="false" ht="12.75" hidden="false" customHeight="false" outlineLevel="0" collapsed="false">
      <c r="A372" s="266" t="s">
        <v>261</v>
      </c>
      <c r="B372" s="317" t="s">
        <v>288</v>
      </c>
      <c r="C372" s="586" t="n">
        <v>2.65</v>
      </c>
      <c r="D372" s="550" t="s">
        <v>262</v>
      </c>
      <c r="E372" s="555" t="n">
        <f aca="false">0.0951+0.0022+0.007</f>
        <v>0.1043</v>
      </c>
      <c r="F372" s="562" t="n">
        <v>0.0228</v>
      </c>
      <c r="G372" s="553" t="n">
        <f aca="false">+C372/(1-F372)+E372</f>
        <v>2.81612971756038</v>
      </c>
      <c r="H372" s="550" t="s">
        <v>256</v>
      </c>
      <c r="I372" s="555" t="n">
        <v>0</v>
      </c>
      <c r="J372" s="556" t="n">
        <v>0.0025</v>
      </c>
      <c r="K372" s="553" t="n">
        <f aca="false">+G372/(1-J372)+I372</f>
        <v>2.82318768677732</v>
      </c>
      <c r="L372" s="550"/>
      <c r="M372" s="555" t="n">
        <v>0</v>
      </c>
      <c r="N372" s="556" t="n">
        <v>0</v>
      </c>
      <c r="O372" s="553" t="n">
        <f aca="false">+K372/(1-N372)+M372</f>
        <v>2.82318768677732</v>
      </c>
      <c r="P372" s="557" t="n">
        <f aca="false">Weightings!$C$7</f>
        <v>669.603363940486</v>
      </c>
      <c r="Q372" s="553" t="n">
        <f aca="false">+P372/SUM($P$9:$P$19)*O372</f>
        <v>0.0237436432753464</v>
      </c>
      <c r="R372" s="553"/>
      <c r="S372" s="558"/>
    </row>
    <row r="373" customFormat="false" ht="12.75" hidden="false" customHeight="false" outlineLevel="0" collapsed="false">
      <c r="A373" s="266" t="s">
        <v>206</v>
      </c>
      <c r="B373" s="317" t="s">
        <v>289</v>
      </c>
      <c r="C373" s="587" t="n">
        <f aca="false">C378</f>
        <v>2.365</v>
      </c>
      <c r="D373" s="550" t="s">
        <v>290</v>
      </c>
      <c r="E373" s="588" t="n">
        <f aca="false">0.0331+0.0022+0.0097</f>
        <v>0.045</v>
      </c>
      <c r="F373" s="589" t="n">
        <v>0.0504</v>
      </c>
      <c r="G373" s="553" t="n">
        <f aca="false">+C373/(1-F373)+E373</f>
        <v>2.53552232518955</v>
      </c>
      <c r="H373" s="550" t="s">
        <v>255</v>
      </c>
      <c r="I373" s="555" t="n">
        <f aca="false">E371</f>
        <v>0.1043</v>
      </c>
      <c r="J373" s="556" t="n">
        <v>0.0228</v>
      </c>
      <c r="K373" s="553" t="n">
        <f aca="false">+G373/(1-J373)+I373</f>
        <v>2.69898105320257</v>
      </c>
      <c r="L373" s="550" t="s">
        <v>256</v>
      </c>
      <c r="M373" s="555" t="n">
        <v>0</v>
      </c>
      <c r="N373" s="556" t="n">
        <v>0.0025</v>
      </c>
      <c r="O373" s="553" t="n">
        <f aca="false">+K373/(1-N373)+M373</f>
        <v>2.70574541674443</v>
      </c>
      <c r="P373" s="557" t="n">
        <f aca="false">Weightings!$C$8</f>
        <v>273.774605247488</v>
      </c>
      <c r="Q373" s="553" t="n">
        <f aca="false">+P373/SUM($P$9:$P$19)*O373</f>
        <v>0.00930400796934299</v>
      </c>
      <c r="R373" s="553"/>
      <c r="S373" s="273"/>
    </row>
    <row r="374" customFormat="false" ht="12.75" hidden="false" customHeight="false" outlineLevel="0" collapsed="false">
      <c r="A374" s="266" t="s">
        <v>207</v>
      </c>
      <c r="B374" s="317" t="s">
        <v>144</v>
      </c>
      <c r="C374" s="587" t="n">
        <f aca="false">C379</f>
        <v>2.425</v>
      </c>
      <c r="D374" s="550" t="s">
        <v>291</v>
      </c>
      <c r="E374" s="588" t="n">
        <f aca="false">0.0305+0.0022+0.0097</f>
        <v>0.0424</v>
      </c>
      <c r="F374" s="589" t="n">
        <v>0.0462</v>
      </c>
      <c r="G374" s="553" t="n">
        <f aca="false">+C374/(1-F374)+E374</f>
        <v>2.58486173201929</v>
      </c>
      <c r="H374" s="550" t="s">
        <v>255</v>
      </c>
      <c r="I374" s="555" t="n">
        <f aca="false">E371</f>
        <v>0.1043</v>
      </c>
      <c r="J374" s="556" t="n">
        <v>0.0228</v>
      </c>
      <c r="K374" s="553" t="n">
        <f aca="false">+G374/(1-J374)+I374</f>
        <v>2.74947164553755</v>
      </c>
      <c r="L374" s="550" t="s">
        <v>256</v>
      </c>
      <c r="M374" s="555" t="n">
        <v>0</v>
      </c>
      <c r="N374" s="556" t="n">
        <v>0.0025</v>
      </c>
      <c r="O374" s="553" t="n">
        <f aca="false">+K374/(1-N374)+M374</f>
        <v>2.75636255191734</v>
      </c>
      <c r="P374" s="557" t="n">
        <f aca="false">Weightings!$C$9</f>
        <v>6.55445647922163</v>
      </c>
      <c r="Q374" s="553" t="n">
        <f aca="false">+P374/SUM($P$9:$P$19)*O374</f>
        <v>0.000226914895733135</v>
      </c>
      <c r="R374" s="553"/>
      <c r="S374" s="273"/>
    </row>
    <row r="375" customFormat="false" ht="12.75" hidden="false" customHeight="false" outlineLevel="0" collapsed="false">
      <c r="A375" s="266" t="s">
        <v>211</v>
      </c>
      <c r="B375" s="317" t="s">
        <v>292</v>
      </c>
      <c r="C375" s="586" t="n">
        <v>2.39</v>
      </c>
      <c r="D375" s="550" t="s">
        <v>269</v>
      </c>
      <c r="E375" s="555" t="n">
        <f aca="false">0.0366+0.0022</f>
        <v>0.0388</v>
      </c>
      <c r="F375" s="562" t="n">
        <v>0.00697</v>
      </c>
      <c r="G375" s="553" t="n">
        <f aca="false">+C375/(1-F375)+E375</f>
        <v>2.44557522330645</v>
      </c>
      <c r="H375" s="550" t="s">
        <v>270</v>
      </c>
      <c r="I375" s="588" t="n">
        <f aca="false">0.017+0.0022</f>
        <v>0.0192</v>
      </c>
      <c r="J375" s="589" t="n">
        <v>0.02902</v>
      </c>
      <c r="K375" s="553" t="n">
        <f aca="false">+G375/(1-J375)+I375</f>
        <v>2.53786693784264</v>
      </c>
      <c r="L375" s="561" t="s">
        <v>271</v>
      </c>
      <c r="M375" s="555" t="n">
        <f aca="false">E376</f>
        <v>0.0226</v>
      </c>
      <c r="N375" s="562" t="n">
        <f aca="false">F376</f>
        <v>0.02776</v>
      </c>
      <c r="O375" s="563" t="n">
        <f aca="false">+K375/(1-N375)+M375</f>
        <v>2.6329296900381</v>
      </c>
      <c r="P375" s="557" t="n">
        <f aca="false">Weightings!$C$13</f>
        <v>31370.607479626</v>
      </c>
      <c r="Q375" s="553" t="n">
        <f aca="false">+P375/SUM($P$9:$P$19)*O375</f>
        <v>1.03741415962461</v>
      </c>
      <c r="R375" s="563"/>
      <c r="S375" s="273"/>
    </row>
    <row r="376" customFormat="false" ht="12.75" hidden="false" customHeight="false" outlineLevel="0" collapsed="false">
      <c r="A376" s="266" t="s">
        <v>212</v>
      </c>
      <c r="B376" s="317" t="s">
        <v>293</v>
      </c>
      <c r="C376" s="586" t="n">
        <v>2.55</v>
      </c>
      <c r="D376" s="550" t="s">
        <v>272</v>
      </c>
      <c r="E376" s="555" t="n">
        <f aca="false">0.0134+0.0022+0.007</f>
        <v>0.0226</v>
      </c>
      <c r="F376" s="562" t="n">
        <v>0.02776</v>
      </c>
      <c r="G376" s="553" t="n">
        <f aca="false">+C376/(1-F376)+E376</f>
        <v>2.6454091829178</v>
      </c>
      <c r="H376" s="550"/>
      <c r="I376" s="555" t="n">
        <v>0</v>
      </c>
      <c r="J376" s="556" t="n">
        <v>0</v>
      </c>
      <c r="K376" s="553" t="n">
        <f aca="false">+G376/(1-J376)+I376</f>
        <v>2.6454091829178</v>
      </c>
      <c r="L376" s="561"/>
      <c r="M376" s="555" t="n">
        <v>0</v>
      </c>
      <c r="N376" s="556" t="n">
        <v>0</v>
      </c>
      <c r="O376" s="553" t="n">
        <f aca="false">+K376/(1-N376)+M376</f>
        <v>2.6454091829178</v>
      </c>
      <c r="P376" s="557" t="n">
        <f aca="false">Weightings!$C$14</f>
        <v>5614.32270168218</v>
      </c>
      <c r="Q376" s="553" t="n">
        <f aca="false">+P376/SUM($P$9:$P$19)*O376</f>
        <v>0.186543537884771</v>
      </c>
      <c r="R376" s="553"/>
      <c r="S376" s="564"/>
    </row>
    <row r="377" customFormat="false" ht="12.75" hidden="false" customHeight="false" outlineLevel="0" collapsed="false">
      <c r="A377" s="266" t="s">
        <v>213</v>
      </c>
      <c r="B377" s="317" t="s">
        <v>294</v>
      </c>
      <c r="C377" s="586" t="n">
        <v>2.305</v>
      </c>
      <c r="D377" s="550" t="s">
        <v>295</v>
      </c>
      <c r="E377" s="588" t="n">
        <f aca="false">0.0299+0.0022+0.0097</f>
        <v>0.0418</v>
      </c>
      <c r="F377" s="589" t="n">
        <v>0.0458</v>
      </c>
      <c r="G377" s="553" t="n">
        <f aca="false">+C377/(1-F377)+E377</f>
        <v>2.45743613498218</v>
      </c>
      <c r="H377" s="550" t="s">
        <v>274</v>
      </c>
      <c r="I377" s="555" t="n">
        <v>0</v>
      </c>
      <c r="J377" s="556" t="n">
        <v>0.01</v>
      </c>
      <c r="K377" s="553" t="n">
        <f aca="false">+G377/(1-J377)+I377</f>
        <v>2.48225872220423</v>
      </c>
      <c r="L377" s="561"/>
      <c r="M377" s="555" t="n">
        <v>0</v>
      </c>
      <c r="N377" s="556" t="n">
        <v>0</v>
      </c>
      <c r="O377" s="553" t="n">
        <f aca="false">+K377/(1-N377)+M377</f>
        <v>2.48225872220423</v>
      </c>
      <c r="P377" s="557" t="n">
        <f aca="false">Weightings!$C$15</f>
        <v>3366</v>
      </c>
      <c r="Q377" s="553" t="n">
        <f aca="false">+P377/SUM($P$9:$P$19)*O377</f>
        <v>0.104942435207391</v>
      </c>
      <c r="R377" s="553"/>
      <c r="S377" s="273"/>
    </row>
    <row r="378" customFormat="false" ht="12.75" hidden="false" customHeight="false" outlineLevel="0" collapsed="false">
      <c r="A378" s="266" t="s">
        <v>214</v>
      </c>
      <c r="B378" s="317" t="s">
        <v>289</v>
      </c>
      <c r="C378" s="586" t="n">
        <v>2.365</v>
      </c>
      <c r="D378" s="550" t="s">
        <v>296</v>
      </c>
      <c r="E378" s="588" t="n">
        <f aca="false">0.0277+0.0022+0.0097</f>
        <v>0.0396</v>
      </c>
      <c r="F378" s="589" t="n">
        <v>0.0423</v>
      </c>
      <c r="G378" s="553" t="n">
        <f aca="false">+C378/(1-F378)+E378</f>
        <v>2.50905807664196</v>
      </c>
      <c r="H378" s="550" t="s">
        <v>274</v>
      </c>
      <c r="I378" s="555" t="n">
        <v>0</v>
      </c>
      <c r="J378" s="556" t="n">
        <v>0.01</v>
      </c>
      <c r="K378" s="553" t="n">
        <f aca="false">+G378/(1-J378)+I378</f>
        <v>2.53440209761814</v>
      </c>
      <c r="M378" s="555" t="n">
        <v>0</v>
      </c>
      <c r="N378" s="556" t="n">
        <v>0</v>
      </c>
      <c r="O378" s="553" t="n">
        <f aca="false">+K378/(1-N378)+M378</f>
        <v>2.53440209761814</v>
      </c>
      <c r="P378" s="557" t="n">
        <f aca="false">Weightings!$C$16</f>
        <v>4950</v>
      </c>
      <c r="Q378" s="553" t="n">
        <f aca="false">+P378/SUM($P$9:$P$19)*O378</f>
        <v>0.157568971083884</v>
      </c>
      <c r="R378" s="553"/>
      <c r="S378" s="273"/>
    </row>
    <row r="379" customFormat="false" ht="12.75" hidden="false" customHeight="false" outlineLevel="0" collapsed="false">
      <c r="A379" s="266" t="s">
        <v>215</v>
      </c>
      <c r="B379" s="317" t="s">
        <v>144</v>
      </c>
      <c r="C379" s="586" t="n">
        <v>2.425</v>
      </c>
      <c r="D379" s="550" t="s">
        <v>297</v>
      </c>
      <c r="E379" s="588" t="n">
        <f aca="false">0.0251+0.0022+0.0097</f>
        <v>0.037</v>
      </c>
      <c r="F379" s="589" t="n">
        <v>0.0381</v>
      </c>
      <c r="G379" s="553" t="n">
        <f aca="false">+C379/(1-F379)+E379</f>
        <v>2.55805208441626</v>
      </c>
      <c r="H379" s="550" t="s">
        <v>274</v>
      </c>
      <c r="I379" s="555" t="n">
        <v>0</v>
      </c>
      <c r="J379" s="556" t="n">
        <v>0.01</v>
      </c>
      <c r="K379" s="553" t="n">
        <f aca="false">+G379/(1-J379)+I379</f>
        <v>2.58389099435986</v>
      </c>
      <c r="M379" s="555" t="n">
        <v>0</v>
      </c>
      <c r="N379" s="556" t="n">
        <v>0</v>
      </c>
      <c r="O379" s="553" t="n">
        <f aca="false">+K379/(1-N379)+M379</f>
        <v>2.58389099435986</v>
      </c>
      <c r="P379" s="557" t="n">
        <f aca="false">Weightings!$C$17</f>
        <v>11172.1727158949</v>
      </c>
      <c r="Q379" s="553" t="n">
        <f aca="false">+P379/SUM($P$9:$P$19)*O379</f>
        <v>0.362578301474655</v>
      </c>
      <c r="R379" s="553"/>
      <c r="S379" s="273"/>
    </row>
    <row r="380" customFormat="false" ht="12.75" hidden="false" customHeight="false" outlineLevel="0" collapsed="false">
      <c r="O380" s="403"/>
      <c r="P380" s="385"/>
      <c r="Q380" s="403"/>
      <c r="R380" s="403"/>
      <c r="S380" s="565"/>
    </row>
    <row r="381" customFormat="false" ht="13.5" hidden="false" customHeight="false" outlineLevel="0" collapsed="false">
      <c r="O381" s="566"/>
      <c r="P381" s="567"/>
      <c r="Q381" s="566"/>
      <c r="R381" s="566"/>
    </row>
    <row r="382" customFormat="false" ht="13.5" hidden="false" customHeight="false" outlineLevel="0" collapsed="false">
      <c r="O382" s="568" t="s">
        <v>277</v>
      </c>
      <c r="P382" s="569"/>
      <c r="Q382" s="570" t="n">
        <f aca="false">SUM(Q369:Q379)</f>
        <v>2.65284814062773</v>
      </c>
      <c r="R382" s="590" t="n">
        <f aca="false">B367</f>
        <v>37183</v>
      </c>
    </row>
    <row r="383" customFormat="false" ht="12.75" hidden="false" customHeight="false" outlineLevel="0" collapsed="false">
      <c r="O383" s="403"/>
      <c r="P383" s="403"/>
      <c r="Q383" s="403"/>
      <c r="R383" s="403"/>
      <c r="S383" s="403"/>
    </row>
    <row r="384" customFormat="false" ht="12.75" hidden="false" customHeight="false" outlineLevel="0" collapsed="false">
      <c r="D384" s="550"/>
      <c r="H384" s="553"/>
      <c r="O384" s="566" t="s">
        <v>298</v>
      </c>
      <c r="P384" s="571" t="n">
        <f aca="false">Weightings!C383</f>
        <v>0</v>
      </c>
      <c r="Q384" s="403" t="s">
        <v>279</v>
      </c>
      <c r="R384" s="572" t="s">
        <v>280</v>
      </c>
      <c r="S384" s="403"/>
    </row>
    <row r="385" customFormat="false" ht="13.5" hidden="false" customHeight="false" outlineLevel="0" collapsed="false">
      <c r="A385" s="591"/>
      <c r="B385" s="592"/>
      <c r="C385" s="591"/>
      <c r="D385" s="593"/>
      <c r="E385" s="591"/>
      <c r="F385" s="591"/>
      <c r="G385" s="591"/>
      <c r="H385" s="594"/>
      <c r="I385" s="591"/>
      <c r="J385" s="591"/>
      <c r="K385" s="591"/>
      <c r="L385" s="591"/>
      <c r="M385" s="591"/>
      <c r="N385" s="591"/>
      <c r="O385" s="591"/>
      <c r="P385" s="595"/>
      <c r="Q385" s="591"/>
      <c r="R385" s="591"/>
      <c r="S385" s="591"/>
    </row>
    <row r="386" customFormat="false" ht="14.25" hidden="false" customHeight="false" outlineLevel="0" collapsed="false">
      <c r="A386" s="267"/>
      <c r="B386" s="544"/>
      <c r="D386" s="269" t="s">
        <v>241</v>
      </c>
      <c r="H386" s="269" t="s">
        <v>242</v>
      </c>
      <c r="L386" s="269" t="s">
        <v>243</v>
      </c>
    </row>
    <row r="387" customFormat="false" ht="14.25" hidden="false" customHeight="false" outlineLevel="0" collapsed="false">
      <c r="A387" s="582" t="s">
        <v>284</v>
      </c>
      <c r="B387" s="583" t="n">
        <f aca="false">B367+1</f>
        <v>37184</v>
      </c>
      <c r="C387" s="584" t="n">
        <f aca="false">Q402</f>
        <v>2.55872827725665</v>
      </c>
      <c r="E387" s="585"/>
    </row>
    <row r="388" customFormat="false" ht="54" hidden="false" customHeight="true" outlineLevel="0" collapsed="false">
      <c r="A388" s="267" t="s">
        <v>244</v>
      </c>
      <c r="B388" s="315" t="s">
        <v>132</v>
      </c>
      <c r="C388" s="545" t="s">
        <v>286</v>
      </c>
      <c r="D388" s="546" t="s">
        <v>247</v>
      </c>
      <c r="E388" s="547" t="s">
        <v>248</v>
      </c>
      <c r="F388" s="547" t="s">
        <v>249</v>
      </c>
      <c r="G388" s="547" t="s">
        <v>250</v>
      </c>
      <c r="H388" s="546" t="s">
        <v>247</v>
      </c>
      <c r="I388" s="547" t="s">
        <v>248</v>
      </c>
      <c r="J388" s="547" t="s">
        <v>249</v>
      </c>
      <c r="K388" s="547" t="s">
        <v>250</v>
      </c>
      <c r="L388" s="546" t="s">
        <v>247</v>
      </c>
      <c r="M388" s="547" t="s">
        <v>248</v>
      </c>
      <c r="N388" s="547" t="s">
        <v>249</v>
      </c>
      <c r="O388" s="547" t="s">
        <v>250</v>
      </c>
      <c r="P388" s="547" t="s">
        <v>251</v>
      </c>
      <c r="Q388" s="547" t="s">
        <v>252</v>
      </c>
      <c r="R388" s="547"/>
      <c r="S388" s="547"/>
    </row>
    <row r="389" customFormat="false" ht="12.75" hidden="false" customHeight="false" outlineLevel="0" collapsed="false">
      <c r="A389" s="266" t="s">
        <v>253</v>
      </c>
      <c r="B389" s="317" t="s">
        <v>142</v>
      </c>
      <c r="C389" s="586" t="n">
        <v>2.275</v>
      </c>
      <c r="D389" s="550" t="s">
        <v>254</v>
      </c>
      <c r="E389" s="555" t="n">
        <v>0.0522</v>
      </c>
      <c r="F389" s="562" t="n">
        <v>0.0506</v>
      </c>
      <c r="G389" s="553" t="n">
        <f aca="false">+C389/(1-F389)+E389</f>
        <v>2.4484502633242</v>
      </c>
      <c r="H389" s="550" t="s">
        <v>255</v>
      </c>
      <c r="I389" s="555" t="n">
        <f aca="false">E391</f>
        <v>0.1043</v>
      </c>
      <c r="J389" s="556" t="n">
        <v>0.0228</v>
      </c>
      <c r="K389" s="553" t="n">
        <f aca="false">+G389/(1-J389)+I389</f>
        <v>2.60987742869853</v>
      </c>
      <c r="L389" s="550" t="s">
        <v>256</v>
      </c>
      <c r="M389" s="555" t="n">
        <v>0</v>
      </c>
      <c r="N389" s="556" t="n">
        <v>0.0025</v>
      </c>
      <c r="O389" s="553" t="n">
        <f aca="false">+K389/(1-N389)+M389</f>
        <v>2.61641847488575</v>
      </c>
      <c r="P389" s="557" t="n">
        <f aca="false">Weightings!$C$4</f>
        <v>1071.40153987277</v>
      </c>
      <c r="Q389" s="553" t="n">
        <f aca="false">+P389/SUM($P$9:$P$19)*O389</f>
        <v>0.0352086565525997</v>
      </c>
      <c r="R389" s="553"/>
      <c r="S389" s="558"/>
    </row>
    <row r="390" customFormat="false" ht="12.75" hidden="false" customHeight="false" outlineLevel="0" collapsed="false">
      <c r="A390" s="266" t="s">
        <v>257</v>
      </c>
      <c r="B390" s="317" t="s">
        <v>143</v>
      </c>
      <c r="C390" s="586" t="n">
        <v>2.23</v>
      </c>
      <c r="D390" s="550" t="s">
        <v>258</v>
      </c>
      <c r="E390" s="555" t="n">
        <v>0.0522</v>
      </c>
      <c r="F390" s="562" t="n">
        <v>0.058</v>
      </c>
      <c r="G390" s="553" t="n">
        <f aca="false">+C390/(1-F390)+E390</f>
        <v>2.41950360934183</v>
      </c>
      <c r="H390" s="550" t="s">
        <v>255</v>
      </c>
      <c r="I390" s="555" t="n">
        <f aca="false">E391</f>
        <v>0.1043</v>
      </c>
      <c r="J390" s="556" t="n">
        <v>0.0228</v>
      </c>
      <c r="K390" s="553" t="n">
        <f aca="false">+G390/(1-J390)+I390</f>
        <v>2.58025539228595</v>
      </c>
      <c r="L390" s="550" t="s">
        <v>256</v>
      </c>
      <c r="M390" s="555" t="n">
        <v>0</v>
      </c>
      <c r="N390" s="556" t="n">
        <v>0.0025</v>
      </c>
      <c r="O390" s="553" t="n">
        <f aca="false">+K390/(1-N390)+M390</f>
        <v>2.5867221977804</v>
      </c>
      <c r="P390" s="557" t="n">
        <f aca="false">Weightings!$C$5</f>
        <v>1309.88291792445</v>
      </c>
      <c r="Q390" s="553" t="n">
        <f aca="false">+P390/SUM($P$9:$P$19)*O390</f>
        <v>0.0425571219025443</v>
      </c>
      <c r="R390" s="553"/>
      <c r="S390" s="273"/>
    </row>
    <row r="391" customFormat="false" ht="12.75" hidden="false" customHeight="false" outlineLevel="0" collapsed="false">
      <c r="A391" s="266" t="s">
        <v>259</v>
      </c>
      <c r="B391" s="317" t="s">
        <v>287</v>
      </c>
      <c r="C391" s="586" t="n">
        <v>2.485</v>
      </c>
      <c r="D391" s="550" t="s">
        <v>260</v>
      </c>
      <c r="E391" s="555" t="n">
        <f aca="false">0.0951+0.0022+0.007</f>
        <v>0.1043</v>
      </c>
      <c r="F391" s="562" t="n">
        <v>0.0228</v>
      </c>
      <c r="G391" s="553" t="n">
        <f aca="false">+C391/(1-F391)+E391</f>
        <v>2.64727994269341</v>
      </c>
      <c r="H391" s="550" t="s">
        <v>256</v>
      </c>
      <c r="I391" s="555" t="n">
        <v>0</v>
      </c>
      <c r="J391" s="556" t="n">
        <v>0.0025</v>
      </c>
      <c r="K391" s="553" t="n">
        <f aca="false">+G391/(1-J391)+I391</f>
        <v>2.6539147295172</v>
      </c>
      <c r="L391" s="550"/>
      <c r="M391" s="555" t="n">
        <v>0</v>
      </c>
      <c r="N391" s="556" t="n">
        <v>0</v>
      </c>
      <c r="O391" s="553" t="n">
        <f aca="false">+K391/(1-N391)+M391</f>
        <v>2.6539147295172</v>
      </c>
      <c r="P391" s="557" t="n">
        <f aca="false">Weightings!$C$6</f>
        <v>19813.4520237259</v>
      </c>
      <c r="Q391" s="553" t="n">
        <f aca="false">+P391/SUM($P$9:$P$19)*O391</f>
        <v>0.660445664035112</v>
      </c>
      <c r="R391" s="553"/>
      <c r="S391" s="273"/>
    </row>
    <row r="392" customFormat="false" ht="12.75" hidden="false" customHeight="false" outlineLevel="0" collapsed="false">
      <c r="A392" s="266" t="s">
        <v>261</v>
      </c>
      <c r="B392" s="317" t="s">
        <v>288</v>
      </c>
      <c r="C392" s="586" t="n">
        <v>2.55</v>
      </c>
      <c r="D392" s="550" t="s">
        <v>262</v>
      </c>
      <c r="E392" s="555" t="n">
        <f aca="false">0.0951+0.0022+0.007</f>
        <v>0.1043</v>
      </c>
      <c r="F392" s="562" t="n">
        <v>0.0228</v>
      </c>
      <c r="G392" s="553" t="n">
        <f aca="false">+C392/(1-F392)+E392</f>
        <v>2.71379652067131</v>
      </c>
      <c r="H392" s="550" t="s">
        <v>256</v>
      </c>
      <c r="I392" s="555" t="n">
        <v>0</v>
      </c>
      <c r="J392" s="556" t="n">
        <v>0.0025</v>
      </c>
      <c r="K392" s="553" t="n">
        <f aca="false">+G392/(1-J392)+I392</f>
        <v>2.72059801571058</v>
      </c>
      <c r="L392" s="550"/>
      <c r="M392" s="555" t="n">
        <v>0</v>
      </c>
      <c r="N392" s="556" t="n">
        <v>0</v>
      </c>
      <c r="O392" s="553" t="n">
        <f aca="false">+K392/(1-N392)+M392</f>
        <v>2.72059801571058</v>
      </c>
      <c r="P392" s="557" t="n">
        <f aca="false">Weightings!$C$7</f>
        <v>669.603363940486</v>
      </c>
      <c r="Q392" s="553" t="n">
        <f aca="false">+P392/SUM($P$9:$P$19)*O392</f>
        <v>0.0228808410730868</v>
      </c>
      <c r="R392" s="553"/>
      <c r="S392" s="558"/>
    </row>
    <row r="393" customFormat="false" ht="12.75" hidden="false" customHeight="false" outlineLevel="0" collapsed="false">
      <c r="A393" s="266" t="s">
        <v>206</v>
      </c>
      <c r="B393" s="317" t="s">
        <v>289</v>
      </c>
      <c r="C393" s="587" t="n">
        <f aca="false">C398</f>
        <v>2.26</v>
      </c>
      <c r="D393" s="550" t="s">
        <v>290</v>
      </c>
      <c r="E393" s="588" t="n">
        <f aca="false">0.0331+0.0022+0.0097</f>
        <v>0.045</v>
      </c>
      <c r="F393" s="589" t="n">
        <v>0.0504</v>
      </c>
      <c r="G393" s="553" t="n">
        <f aca="false">+C393/(1-F393)+E393</f>
        <v>2.42494945240101</v>
      </c>
      <c r="H393" s="550" t="s">
        <v>255</v>
      </c>
      <c r="I393" s="555" t="n">
        <f aca="false">E391</f>
        <v>0.1043</v>
      </c>
      <c r="J393" s="556" t="n">
        <v>0.0228</v>
      </c>
      <c r="K393" s="553" t="n">
        <f aca="false">+G393/(1-J393)+I393</f>
        <v>2.58582829758597</v>
      </c>
      <c r="L393" s="550" t="s">
        <v>256</v>
      </c>
      <c r="M393" s="555" t="n">
        <v>0</v>
      </c>
      <c r="N393" s="556" t="n">
        <v>0.0025</v>
      </c>
      <c r="O393" s="553" t="n">
        <f aca="false">+K393/(1-N393)+M393</f>
        <v>2.59230907026162</v>
      </c>
      <c r="P393" s="557" t="n">
        <f aca="false">Weightings!$C$8</f>
        <v>273.774605247488</v>
      </c>
      <c r="Q393" s="553" t="n">
        <f aca="false">+P393/SUM($P$9:$P$19)*O393</f>
        <v>0.00891394441600282</v>
      </c>
      <c r="R393" s="553"/>
      <c r="S393" s="273"/>
    </row>
    <row r="394" customFormat="false" ht="12.75" hidden="false" customHeight="false" outlineLevel="0" collapsed="false">
      <c r="A394" s="266" t="s">
        <v>207</v>
      </c>
      <c r="B394" s="317" t="s">
        <v>144</v>
      </c>
      <c r="C394" s="587" t="n">
        <f aca="false">C399</f>
        <v>2.365</v>
      </c>
      <c r="D394" s="550" t="s">
        <v>291</v>
      </c>
      <c r="E394" s="588" t="n">
        <f aca="false">0.0305+0.0022+0.0097</f>
        <v>0.0424</v>
      </c>
      <c r="F394" s="589" t="n">
        <v>0.0462</v>
      </c>
      <c r="G394" s="553" t="n">
        <f aca="false">+C394/(1-F394)+E394</f>
        <v>2.52195546236108</v>
      </c>
      <c r="H394" s="550" t="s">
        <v>255</v>
      </c>
      <c r="I394" s="555" t="n">
        <f aca="false">E391</f>
        <v>0.1043</v>
      </c>
      <c r="J394" s="556" t="n">
        <v>0.0228</v>
      </c>
      <c r="K394" s="553" t="n">
        <f aca="false">+G394/(1-J394)+I394</f>
        <v>2.68509764875264</v>
      </c>
      <c r="L394" s="550" t="s">
        <v>256</v>
      </c>
      <c r="M394" s="555" t="n">
        <v>0</v>
      </c>
      <c r="N394" s="556" t="n">
        <v>0.0025</v>
      </c>
      <c r="O394" s="553" t="n">
        <f aca="false">+K394/(1-N394)+M394</f>
        <v>2.69182721679463</v>
      </c>
      <c r="P394" s="557" t="n">
        <f aca="false">Weightings!$C$9</f>
        <v>6.55445647922163</v>
      </c>
      <c r="Q394" s="553" t="n">
        <f aca="false">+P394/SUM($P$9:$P$19)*O394</f>
        <v>0.000221602086345892</v>
      </c>
      <c r="R394" s="553"/>
      <c r="S394" s="273"/>
    </row>
    <row r="395" customFormat="false" ht="12.75" hidden="false" customHeight="false" outlineLevel="0" collapsed="false">
      <c r="A395" s="266" t="s">
        <v>211</v>
      </c>
      <c r="B395" s="317" t="s">
        <v>292</v>
      </c>
      <c r="C395" s="586" t="n">
        <v>2.31</v>
      </c>
      <c r="D395" s="550" t="s">
        <v>269</v>
      </c>
      <c r="E395" s="555" t="n">
        <f aca="false">0.0366+0.0022</f>
        <v>0.0388</v>
      </c>
      <c r="F395" s="562" t="n">
        <v>0.00697</v>
      </c>
      <c r="G395" s="553" t="n">
        <f aca="false">+C395/(1-F395)+E395</f>
        <v>2.3650137095556</v>
      </c>
      <c r="H395" s="550" t="s">
        <v>270</v>
      </c>
      <c r="I395" s="588" t="n">
        <f aca="false">0.017+0.0022</f>
        <v>0.0192</v>
      </c>
      <c r="J395" s="589" t="n">
        <v>0.02902</v>
      </c>
      <c r="K395" s="553" t="n">
        <f aca="false">+G395/(1-J395)+I395</f>
        <v>2.45489765551876</v>
      </c>
      <c r="L395" s="561" t="s">
        <v>271</v>
      </c>
      <c r="M395" s="555" t="n">
        <f aca="false">E396</f>
        <v>0.0226</v>
      </c>
      <c r="N395" s="562" t="n">
        <f aca="false">F396</f>
        <v>0.02776</v>
      </c>
      <c r="O395" s="563" t="n">
        <f aca="false">+K395/(1-N395)+M395</f>
        <v>2.54759141726195</v>
      </c>
      <c r="P395" s="557" t="n">
        <f aca="false">Weightings!$C$13</f>
        <v>31370.607479626</v>
      </c>
      <c r="Q395" s="553" t="n">
        <f aca="false">+P395/SUM($P$9:$P$19)*O395</f>
        <v>1.00378958815548</v>
      </c>
      <c r="R395" s="563"/>
      <c r="S395" s="273"/>
    </row>
    <row r="396" customFormat="false" ht="12.75" hidden="false" customHeight="false" outlineLevel="0" collapsed="false">
      <c r="A396" s="266" t="s">
        <v>212</v>
      </c>
      <c r="B396" s="317" t="s">
        <v>293</v>
      </c>
      <c r="C396" s="586" t="n">
        <v>2.445</v>
      </c>
      <c r="D396" s="550" t="s">
        <v>272</v>
      </c>
      <c r="E396" s="555" t="n">
        <f aca="false">0.0134+0.0022+0.007</f>
        <v>0.0226</v>
      </c>
      <c r="F396" s="562" t="n">
        <v>0.02776</v>
      </c>
      <c r="G396" s="553" t="n">
        <f aca="false">+C396/(1-F396)+E396</f>
        <v>2.53741115773883</v>
      </c>
      <c r="H396" s="550"/>
      <c r="I396" s="555" t="n">
        <v>0</v>
      </c>
      <c r="J396" s="556" t="n">
        <v>0</v>
      </c>
      <c r="K396" s="553" t="n">
        <f aca="false">+G396/(1-J396)+I396</f>
        <v>2.53741115773883</v>
      </c>
      <c r="L396" s="561"/>
      <c r="M396" s="555" t="n">
        <v>0</v>
      </c>
      <c r="N396" s="556" t="n">
        <v>0</v>
      </c>
      <c r="O396" s="553" t="n">
        <f aca="false">+K396/(1-N396)+M396</f>
        <v>2.53741115773883</v>
      </c>
      <c r="P396" s="557" t="n">
        <f aca="false">Weightings!$C$14</f>
        <v>5614.32270168218</v>
      </c>
      <c r="Q396" s="553" t="n">
        <f aca="false">+P396/SUM($P$9:$P$19)*O396</f>
        <v>0.178927954695771</v>
      </c>
      <c r="R396" s="553"/>
      <c r="S396" s="564"/>
    </row>
    <row r="397" customFormat="false" ht="12.75" hidden="false" customHeight="false" outlineLevel="0" collapsed="false">
      <c r="A397" s="266" t="s">
        <v>213</v>
      </c>
      <c r="B397" s="317" t="s">
        <v>294</v>
      </c>
      <c r="C397" s="586" t="n">
        <v>2.225</v>
      </c>
      <c r="D397" s="550" t="s">
        <v>295</v>
      </c>
      <c r="E397" s="588" t="n">
        <f aca="false">0.0299+0.0022+0.0097</f>
        <v>0.0418</v>
      </c>
      <c r="F397" s="589" t="n">
        <v>0.0458</v>
      </c>
      <c r="G397" s="553" t="n">
        <f aca="false">+C397/(1-F397)+E397</f>
        <v>2.37359626912597</v>
      </c>
      <c r="H397" s="550" t="s">
        <v>274</v>
      </c>
      <c r="I397" s="555" t="n">
        <v>0</v>
      </c>
      <c r="J397" s="556" t="n">
        <v>0.01</v>
      </c>
      <c r="K397" s="553" t="n">
        <f aca="false">+G397/(1-J397)+I397</f>
        <v>2.39757198901613</v>
      </c>
      <c r="L397" s="561"/>
      <c r="M397" s="555" t="n">
        <v>0</v>
      </c>
      <c r="N397" s="556" t="n">
        <v>0</v>
      </c>
      <c r="O397" s="553" t="n">
        <f aca="false">+K397/(1-N397)+M397</f>
        <v>2.39757198901613</v>
      </c>
      <c r="P397" s="557" t="n">
        <f aca="false">Weightings!$C$15</f>
        <v>3366</v>
      </c>
      <c r="Q397" s="553" t="n">
        <f aca="false">+P397/SUM($P$9:$P$19)*O397</f>
        <v>0.101362134761262</v>
      </c>
      <c r="R397" s="553"/>
      <c r="S397" s="273"/>
    </row>
    <row r="398" customFormat="false" ht="12.75" hidden="false" customHeight="false" outlineLevel="0" collapsed="false">
      <c r="A398" s="266" t="s">
        <v>214</v>
      </c>
      <c r="B398" s="317" t="s">
        <v>289</v>
      </c>
      <c r="C398" s="586" t="n">
        <v>2.26</v>
      </c>
      <c r="D398" s="550" t="s">
        <v>296</v>
      </c>
      <c r="E398" s="588" t="n">
        <f aca="false">0.0277+0.0022+0.0097</f>
        <v>0.0396</v>
      </c>
      <c r="F398" s="589" t="n">
        <v>0.0423</v>
      </c>
      <c r="G398" s="553" t="n">
        <f aca="false">+C398/(1-F398)+E398</f>
        <v>2.39942040304897</v>
      </c>
      <c r="H398" s="550" t="s">
        <v>274</v>
      </c>
      <c r="I398" s="555" t="n">
        <v>0</v>
      </c>
      <c r="J398" s="556" t="n">
        <v>0.01</v>
      </c>
      <c r="K398" s="553" t="n">
        <f aca="false">+G398/(1-J398)+I398</f>
        <v>2.42365697277674</v>
      </c>
      <c r="M398" s="555" t="n">
        <v>0</v>
      </c>
      <c r="N398" s="556" t="n">
        <v>0</v>
      </c>
      <c r="O398" s="553" t="n">
        <f aca="false">+K398/(1-N398)+M398</f>
        <v>2.42365697277674</v>
      </c>
      <c r="P398" s="557" t="n">
        <f aca="false">Weightings!$C$16</f>
        <v>4950</v>
      </c>
      <c r="Q398" s="553" t="n">
        <f aca="false">+P398/SUM($P$9:$P$19)*O398</f>
        <v>0.150683719769496</v>
      </c>
      <c r="R398" s="553"/>
      <c r="S398" s="273"/>
    </row>
    <row r="399" customFormat="false" ht="12.75" hidden="false" customHeight="false" outlineLevel="0" collapsed="false">
      <c r="A399" s="266" t="s">
        <v>215</v>
      </c>
      <c r="B399" s="317" t="s">
        <v>144</v>
      </c>
      <c r="C399" s="586" t="n">
        <v>2.365</v>
      </c>
      <c r="D399" s="550" t="s">
        <v>297</v>
      </c>
      <c r="E399" s="588" t="n">
        <f aca="false">0.0251+0.0022+0.0097</f>
        <v>0.037</v>
      </c>
      <c r="F399" s="589" t="n">
        <v>0.0381</v>
      </c>
      <c r="G399" s="553" t="n">
        <f aca="false">+C399/(1-F399)+E399</f>
        <v>2.49567553799771</v>
      </c>
      <c r="H399" s="550" t="s">
        <v>274</v>
      </c>
      <c r="I399" s="555" t="n">
        <v>0</v>
      </c>
      <c r="J399" s="556" t="n">
        <v>0.01</v>
      </c>
      <c r="K399" s="553" t="n">
        <f aca="false">+G399/(1-J399)+I399</f>
        <v>2.52088438181587</v>
      </c>
      <c r="M399" s="555" t="n">
        <v>0</v>
      </c>
      <c r="N399" s="556" t="n">
        <v>0</v>
      </c>
      <c r="O399" s="553" t="n">
        <f aca="false">+K399/(1-N399)+M399</f>
        <v>2.52088438181587</v>
      </c>
      <c r="P399" s="557" t="n">
        <f aca="false">Weightings!$C$17</f>
        <v>11172.1727158949</v>
      </c>
      <c r="Q399" s="553" t="n">
        <f aca="false">+P399/SUM($P$9:$P$19)*O399</f>
        <v>0.353737049808956</v>
      </c>
      <c r="R399" s="553"/>
      <c r="S399" s="273"/>
    </row>
    <row r="400" customFormat="false" ht="12.75" hidden="false" customHeight="false" outlineLevel="0" collapsed="false">
      <c r="O400" s="403"/>
      <c r="P400" s="385"/>
      <c r="Q400" s="403"/>
      <c r="R400" s="403"/>
      <c r="S400" s="565"/>
    </row>
    <row r="401" customFormat="false" ht="13.5" hidden="false" customHeight="false" outlineLevel="0" collapsed="false">
      <c r="O401" s="566"/>
      <c r="P401" s="567"/>
      <c r="Q401" s="566"/>
      <c r="R401" s="566"/>
    </row>
    <row r="402" customFormat="false" ht="13.5" hidden="false" customHeight="false" outlineLevel="0" collapsed="false">
      <c r="O402" s="568" t="s">
        <v>277</v>
      </c>
      <c r="P402" s="569"/>
      <c r="Q402" s="570" t="n">
        <f aca="false">SUM(Q389:Q399)</f>
        <v>2.55872827725665</v>
      </c>
      <c r="R402" s="590" t="n">
        <f aca="false">B387</f>
        <v>37184</v>
      </c>
    </row>
    <row r="403" customFormat="false" ht="12.75" hidden="false" customHeight="false" outlineLevel="0" collapsed="false">
      <c r="O403" s="403"/>
      <c r="P403" s="403"/>
      <c r="Q403" s="403"/>
      <c r="R403" s="403"/>
      <c r="S403" s="403"/>
    </row>
    <row r="404" customFormat="false" ht="12.75" hidden="false" customHeight="false" outlineLevel="0" collapsed="false">
      <c r="D404" s="550"/>
      <c r="H404" s="553"/>
      <c r="O404" s="566" t="s">
        <v>298</v>
      </c>
      <c r="P404" s="571" t="n">
        <f aca="false">Weightings!C403</f>
        <v>0</v>
      </c>
      <c r="Q404" s="403" t="s">
        <v>279</v>
      </c>
      <c r="R404" s="572" t="s">
        <v>280</v>
      </c>
      <c r="S404" s="403"/>
    </row>
    <row r="405" customFormat="false" ht="13.5" hidden="false" customHeight="false" outlineLevel="0" collapsed="false">
      <c r="A405" s="591"/>
      <c r="B405" s="592"/>
      <c r="C405" s="591"/>
      <c r="D405" s="593"/>
      <c r="E405" s="591"/>
      <c r="F405" s="591"/>
      <c r="G405" s="591"/>
      <c r="H405" s="594"/>
      <c r="I405" s="591"/>
      <c r="J405" s="591"/>
      <c r="K405" s="591"/>
      <c r="L405" s="591"/>
      <c r="M405" s="591"/>
      <c r="N405" s="591"/>
      <c r="O405" s="591"/>
      <c r="P405" s="595"/>
      <c r="Q405" s="591"/>
      <c r="R405" s="591"/>
      <c r="S405" s="591"/>
    </row>
    <row r="406" customFormat="false" ht="14.25" hidden="false" customHeight="false" outlineLevel="0" collapsed="false">
      <c r="A406" s="267"/>
      <c r="B406" s="544"/>
      <c r="D406" s="269" t="s">
        <v>241</v>
      </c>
      <c r="H406" s="269" t="s">
        <v>242</v>
      </c>
      <c r="L406" s="269" t="s">
        <v>243</v>
      </c>
    </row>
    <row r="407" customFormat="false" ht="14.25" hidden="false" customHeight="false" outlineLevel="0" collapsed="false">
      <c r="A407" s="582" t="s">
        <v>284</v>
      </c>
      <c r="B407" s="583" t="n">
        <f aca="false">B387+1</f>
        <v>37185</v>
      </c>
      <c r="C407" s="584" t="n">
        <f aca="false">Q422</f>
        <v>2.55872827725665</v>
      </c>
      <c r="E407" s="585"/>
    </row>
    <row r="408" customFormat="false" ht="54" hidden="false" customHeight="true" outlineLevel="0" collapsed="false">
      <c r="A408" s="267" t="s">
        <v>244</v>
      </c>
      <c r="B408" s="315" t="s">
        <v>132</v>
      </c>
      <c r="C408" s="545" t="s">
        <v>286</v>
      </c>
      <c r="D408" s="546" t="s">
        <v>247</v>
      </c>
      <c r="E408" s="547" t="s">
        <v>248</v>
      </c>
      <c r="F408" s="547" t="s">
        <v>249</v>
      </c>
      <c r="G408" s="547" t="s">
        <v>250</v>
      </c>
      <c r="H408" s="546" t="s">
        <v>247</v>
      </c>
      <c r="I408" s="547" t="s">
        <v>248</v>
      </c>
      <c r="J408" s="547" t="s">
        <v>249</v>
      </c>
      <c r="K408" s="547" t="s">
        <v>250</v>
      </c>
      <c r="L408" s="546" t="s">
        <v>247</v>
      </c>
      <c r="M408" s="547" t="s">
        <v>248</v>
      </c>
      <c r="N408" s="547" t="s">
        <v>249</v>
      </c>
      <c r="O408" s="547" t="s">
        <v>250</v>
      </c>
      <c r="P408" s="547" t="s">
        <v>251</v>
      </c>
      <c r="Q408" s="547" t="s">
        <v>252</v>
      </c>
      <c r="R408" s="547"/>
      <c r="S408" s="547"/>
    </row>
    <row r="409" customFormat="false" ht="12.75" hidden="false" customHeight="false" outlineLevel="0" collapsed="false">
      <c r="A409" s="266" t="s">
        <v>253</v>
      </c>
      <c r="B409" s="317" t="s">
        <v>142</v>
      </c>
      <c r="C409" s="586" t="n">
        <v>2.275</v>
      </c>
      <c r="D409" s="550" t="s">
        <v>254</v>
      </c>
      <c r="E409" s="555" t="n">
        <v>0.0522</v>
      </c>
      <c r="F409" s="562" t="n">
        <v>0.0506</v>
      </c>
      <c r="G409" s="553" t="n">
        <f aca="false">+C409/(1-F409)+E409</f>
        <v>2.4484502633242</v>
      </c>
      <c r="H409" s="550" t="s">
        <v>255</v>
      </c>
      <c r="I409" s="555" t="n">
        <f aca="false">E411</f>
        <v>0.1043</v>
      </c>
      <c r="J409" s="556" t="n">
        <v>0.0228</v>
      </c>
      <c r="K409" s="553" t="n">
        <f aca="false">+G409/(1-J409)+I409</f>
        <v>2.60987742869853</v>
      </c>
      <c r="L409" s="550" t="s">
        <v>256</v>
      </c>
      <c r="M409" s="555" t="n">
        <v>0</v>
      </c>
      <c r="N409" s="556" t="n">
        <v>0.0025</v>
      </c>
      <c r="O409" s="553" t="n">
        <f aca="false">+K409/(1-N409)+M409</f>
        <v>2.61641847488575</v>
      </c>
      <c r="P409" s="557" t="n">
        <f aca="false">Weightings!$C$4</f>
        <v>1071.40153987277</v>
      </c>
      <c r="Q409" s="553" t="n">
        <f aca="false">+P409/SUM($P$9:$P$19)*O409</f>
        <v>0.0352086565525997</v>
      </c>
      <c r="R409" s="553"/>
      <c r="S409" s="558"/>
    </row>
    <row r="410" customFormat="false" ht="12.75" hidden="false" customHeight="false" outlineLevel="0" collapsed="false">
      <c r="A410" s="266" t="s">
        <v>257</v>
      </c>
      <c r="B410" s="317" t="s">
        <v>143</v>
      </c>
      <c r="C410" s="586" t="n">
        <v>2.23</v>
      </c>
      <c r="D410" s="550" t="s">
        <v>258</v>
      </c>
      <c r="E410" s="555" t="n">
        <v>0.0522</v>
      </c>
      <c r="F410" s="562" t="n">
        <v>0.058</v>
      </c>
      <c r="G410" s="553" t="n">
        <f aca="false">+C410/(1-F410)+E410</f>
        <v>2.41950360934183</v>
      </c>
      <c r="H410" s="550" t="s">
        <v>255</v>
      </c>
      <c r="I410" s="555" t="n">
        <f aca="false">E411</f>
        <v>0.1043</v>
      </c>
      <c r="J410" s="556" t="n">
        <v>0.0228</v>
      </c>
      <c r="K410" s="553" t="n">
        <f aca="false">+G410/(1-J410)+I410</f>
        <v>2.58025539228595</v>
      </c>
      <c r="L410" s="550" t="s">
        <v>256</v>
      </c>
      <c r="M410" s="555" t="n">
        <v>0</v>
      </c>
      <c r="N410" s="556" t="n">
        <v>0.0025</v>
      </c>
      <c r="O410" s="553" t="n">
        <f aca="false">+K410/(1-N410)+M410</f>
        <v>2.5867221977804</v>
      </c>
      <c r="P410" s="557" t="n">
        <f aca="false">Weightings!$C$5</f>
        <v>1309.88291792445</v>
      </c>
      <c r="Q410" s="553" t="n">
        <f aca="false">+P410/SUM($P$9:$P$19)*O410</f>
        <v>0.0425571219025443</v>
      </c>
      <c r="R410" s="553"/>
      <c r="S410" s="273"/>
    </row>
    <row r="411" customFormat="false" ht="12.75" hidden="false" customHeight="false" outlineLevel="0" collapsed="false">
      <c r="A411" s="266" t="s">
        <v>259</v>
      </c>
      <c r="B411" s="317" t="s">
        <v>287</v>
      </c>
      <c r="C411" s="586" t="n">
        <v>2.485</v>
      </c>
      <c r="D411" s="550" t="s">
        <v>260</v>
      </c>
      <c r="E411" s="555" t="n">
        <f aca="false">0.0951+0.0022+0.007</f>
        <v>0.1043</v>
      </c>
      <c r="F411" s="562" t="n">
        <v>0.0228</v>
      </c>
      <c r="G411" s="553" t="n">
        <f aca="false">+C411/(1-F411)+E411</f>
        <v>2.64727994269341</v>
      </c>
      <c r="H411" s="550" t="s">
        <v>256</v>
      </c>
      <c r="I411" s="555" t="n">
        <v>0</v>
      </c>
      <c r="J411" s="556" t="n">
        <v>0.0025</v>
      </c>
      <c r="K411" s="553" t="n">
        <f aca="false">+G411/(1-J411)+I411</f>
        <v>2.6539147295172</v>
      </c>
      <c r="L411" s="550"/>
      <c r="M411" s="555" t="n">
        <v>0</v>
      </c>
      <c r="N411" s="556" t="n">
        <v>0</v>
      </c>
      <c r="O411" s="553" t="n">
        <f aca="false">+K411/(1-N411)+M411</f>
        <v>2.6539147295172</v>
      </c>
      <c r="P411" s="557" t="n">
        <f aca="false">Weightings!$C$6</f>
        <v>19813.4520237259</v>
      </c>
      <c r="Q411" s="553" t="n">
        <f aca="false">+P411/SUM($P$9:$P$19)*O411</f>
        <v>0.660445664035112</v>
      </c>
      <c r="R411" s="553"/>
      <c r="S411" s="273"/>
    </row>
    <row r="412" customFormat="false" ht="12.75" hidden="false" customHeight="false" outlineLevel="0" collapsed="false">
      <c r="A412" s="266" t="s">
        <v>261</v>
      </c>
      <c r="B412" s="317" t="s">
        <v>288</v>
      </c>
      <c r="C412" s="586" t="n">
        <v>2.55</v>
      </c>
      <c r="D412" s="550" t="s">
        <v>262</v>
      </c>
      <c r="E412" s="555" t="n">
        <f aca="false">0.0951+0.0022+0.007</f>
        <v>0.1043</v>
      </c>
      <c r="F412" s="562" t="n">
        <v>0.0228</v>
      </c>
      <c r="G412" s="553" t="n">
        <f aca="false">+C412/(1-F412)+E412</f>
        <v>2.71379652067131</v>
      </c>
      <c r="H412" s="550" t="s">
        <v>256</v>
      </c>
      <c r="I412" s="555" t="n">
        <v>0</v>
      </c>
      <c r="J412" s="556" t="n">
        <v>0.0025</v>
      </c>
      <c r="K412" s="553" t="n">
        <f aca="false">+G412/(1-J412)+I412</f>
        <v>2.72059801571058</v>
      </c>
      <c r="L412" s="550"/>
      <c r="M412" s="555" t="n">
        <v>0</v>
      </c>
      <c r="N412" s="556" t="n">
        <v>0</v>
      </c>
      <c r="O412" s="553" t="n">
        <f aca="false">+K412/(1-N412)+M412</f>
        <v>2.72059801571058</v>
      </c>
      <c r="P412" s="557" t="n">
        <f aca="false">Weightings!$C$7</f>
        <v>669.603363940486</v>
      </c>
      <c r="Q412" s="553" t="n">
        <f aca="false">+P412/SUM($P$9:$P$19)*O412</f>
        <v>0.0228808410730868</v>
      </c>
      <c r="R412" s="553"/>
      <c r="S412" s="558"/>
    </row>
    <row r="413" customFormat="false" ht="12.75" hidden="false" customHeight="false" outlineLevel="0" collapsed="false">
      <c r="A413" s="266" t="s">
        <v>206</v>
      </c>
      <c r="B413" s="317" t="s">
        <v>289</v>
      </c>
      <c r="C413" s="587" t="n">
        <f aca="false">C418</f>
        <v>2.26</v>
      </c>
      <c r="D413" s="550" t="s">
        <v>290</v>
      </c>
      <c r="E413" s="588" t="n">
        <f aca="false">0.0331+0.0022+0.0097</f>
        <v>0.045</v>
      </c>
      <c r="F413" s="589" t="n">
        <v>0.0504</v>
      </c>
      <c r="G413" s="553" t="n">
        <f aca="false">+C413/(1-F413)+E413</f>
        <v>2.42494945240101</v>
      </c>
      <c r="H413" s="550" t="s">
        <v>255</v>
      </c>
      <c r="I413" s="555" t="n">
        <f aca="false">E411</f>
        <v>0.1043</v>
      </c>
      <c r="J413" s="556" t="n">
        <v>0.0228</v>
      </c>
      <c r="K413" s="553" t="n">
        <f aca="false">+G413/(1-J413)+I413</f>
        <v>2.58582829758597</v>
      </c>
      <c r="L413" s="550" t="s">
        <v>256</v>
      </c>
      <c r="M413" s="555" t="n">
        <v>0</v>
      </c>
      <c r="N413" s="556" t="n">
        <v>0.0025</v>
      </c>
      <c r="O413" s="553" t="n">
        <f aca="false">+K413/(1-N413)+M413</f>
        <v>2.59230907026162</v>
      </c>
      <c r="P413" s="557" t="n">
        <f aca="false">Weightings!$C$8</f>
        <v>273.774605247488</v>
      </c>
      <c r="Q413" s="553" t="n">
        <f aca="false">+P413/SUM($P$9:$P$19)*O413</f>
        <v>0.00891394441600282</v>
      </c>
      <c r="R413" s="553"/>
      <c r="S413" s="273"/>
    </row>
    <row r="414" customFormat="false" ht="12.75" hidden="false" customHeight="false" outlineLevel="0" collapsed="false">
      <c r="A414" s="266" t="s">
        <v>207</v>
      </c>
      <c r="B414" s="317" t="s">
        <v>144</v>
      </c>
      <c r="C414" s="587" t="n">
        <f aca="false">C419</f>
        <v>2.365</v>
      </c>
      <c r="D414" s="550" t="s">
        <v>291</v>
      </c>
      <c r="E414" s="588" t="n">
        <f aca="false">0.0305+0.0022+0.0097</f>
        <v>0.0424</v>
      </c>
      <c r="F414" s="589" t="n">
        <v>0.0462</v>
      </c>
      <c r="G414" s="553" t="n">
        <f aca="false">+C414/(1-F414)+E414</f>
        <v>2.52195546236108</v>
      </c>
      <c r="H414" s="550" t="s">
        <v>255</v>
      </c>
      <c r="I414" s="555" t="n">
        <f aca="false">E411</f>
        <v>0.1043</v>
      </c>
      <c r="J414" s="556" t="n">
        <v>0.0228</v>
      </c>
      <c r="K414" s="553" t="n">
        <f aca="false">+G414/(1-J414)+I414</f>
        <v>2.68509764875264</v>
      </c>
      <c r="L414" s="550" t="s">
        <v>256</v>
      </c>
      <c r="M414" s="555" t="n">
        <v>0</v>
      </c>
      <c r="N414" s="556" t="n">
        <v>0.0025</v>
      </c>
      <c r="O414" s="553" t="n">
        <f aca="false">+K414/(1-N414)+M414</f>
        <v>2.69182721679463</v>
      </c>
      <c r="P414" s="557" t="n">
        <f aca="false">Weightings!$C$9</f>
        <v>6.55445647922163</v>
      </c>
      <c r="Q414" s="553" t="n">
        <f aca="false">+P414/SUM($P$9:$P$19)*O414</f>
        <v>0.000221602086345892</v>
      </c>
      <c r="R414" s="553"/>
      <c r="S414" s="273"/>
    </row>
    <row r="415" customFormat="false" ht="12.75" hidden="false" customHeight="false" outlineLevel="0" collapsed="false">
      <c r="A415" s="266" t="s">
        <v>211</v>
      </c>
      <c r="B415" s="317" t="s">
        <v>292</v>
      </c>
      <c r="C415" s="586" t="n">
        <v>2.31</v>
      </c>
      <c r="D415" s="550" t="s">
        <v>269</v>
      </c>
      <c r="E415" s="555" t="n">
        <f aca="false">0.0366+0.0022</f>
        <v>0.0388</v>
      </c>
      <c r="F415" s="562" t="n">
        <v>0.00697</v>
      </c>
      <c r="G415" s="553" t="n">
        <f aca="false">+C415/(1-F415)+E415</f>
        <v>2.3650137095556</v>
      </c>
      <c r="H415" s="550" t="s">
        <v>270</v>
      </c>
      <c r="I415" s="588" t="n">
        <f aca="false">0.017+0.0022</f>
        <v>0.0192</v>
      </c>
      <c r="J415" s="589" t="n">
        <v>0.02902</v>
      </c>
      <c r="K415" s="553" t="n">
        <f aca="false">+G415/(1-J415)+I415</f>
        <v>2.45489765551876</v>
      </c>
      <c r="L415" s="561" t="s">
        <v>271</v>
      </c>
      <c r="M415" s="555" t="n">
        <f aca="false">E416</f>
        <v>0.0226</v>
      </c>
      <c r="N415" s="562" t="n">
        <f aca="false">F416</f>
        <v>0.02776</v>
      </c>
      <c r="O415" s="563" t="n">
        <f aca="false">+K415/(1-N415)+M415</f>
        <v>2.54759141726195</v>
      </c>
      <c r="P415" s="557" t="n">
        <f aca="false">Weightings!$C$13</f>
        <v>31370.607479626</v>
      </c>
      <c r="Q415" s="553" t="n">
        <f aca="false">+P415/SUM($P$9:$P$19)*O415</f>
        <v>1.00378958815548</v>
      </c>
      <c r="R415" s="563"/>
      <c r="S415" s="273"/>
    </row>
    <row r="416" customFormat="false" ht="12.75" hidden="false" customHeight="false" outlineLevel="0" collapsed="false">
      <c r="A416" s="266" t="s">
        <v>212</v>
      </c>
      <c r="B416" s="317" t="s">
        <v>293</v>
      </c>
      <c r="C416" s="586" t="n">
        <v>2.445</v>
      </c>
      <c r="D416" s="550" t="s">
        <v>272</v>
      </c>
      <c r="E416" s="555" t="n">
        <f aca="false">0.0134+0.0022+0.007</f>
        <v>0.0226</v>
      </c>
      <c r="F416" s="562" t="n">
        <v>0.02776</v>
      </c>
      <c r="G416" s="553" t="n">
        <f aca="false">+C416/(1-F416)+E416</f>
        <v>2.53741115773883</v>
      </c>
      <c r="H416" s="550"/>
      <c r="I416" s="555" t="n">
        <v>0</v>
      </c>
      <c r="J416" s="556" t="n">
        <v>0</v>
      </c>
      <c r="K416" s="553" t="n">
        <f aca="false">+G416/(1-J416)+I416</f>
        <v>2.53741115773883</v>
      </c>
      <c r="L416" s="561"/>
      <c r="M416" s="555" t="n">
        <v>0</v>
      </c>
      <c r="N416" s="556" t="n">
        <v>0</v>
      </c>
      <c r="O416" s="553" t="n">
        <f aca="false">+K416/(1-N416)+M416</f>
        <v>2.53741115773883</v>
      </c>
      <c r="P416" s="557" t="n">
        <f aca="false">Weightings!$C$14</f>
        <v>5614.32270168218</v>
      </c>
      <c r="Q416" s="553" t="n">
        <f aca="false">+P416/SUM($P$9:$P$19)*O416</f>
        <v>0.178927954695771</v>
      </c>
      <c r="R416" s="553"/>
      <c r="S416" s="564"/>
    </row>
    <row r="417" customFormat="false" ht="12.75" hidden="false" customHeight="false" outlineLevel="0" collapsed="false">
      <c r="A417" s="266" t="s">
        <v>213</v>
      </c>
      <c r="B417" s="317" t="s">
        <v>294</v>
      </c>
      <c r="C417" s="586" t="n">
        <v>2.225</v>
      </c>
      <c r="D417" s="550" t="s">
        <v>295</v>
      </c>
      <c r="E417" s="588" t="n">
        <f aca="false">0.0299+0.0022+0.0097</f>
        <v>0.0418</v>
      </c>
      <c r="F417" s="589" t="n">
        <v>0.0458</v>
      </c>
      <c r="G417" s="553" t="n">
        <f aca="false">+C417/(1-F417)+E417</f>
        <v>2.37359626912597</v>
      </c>
      <c r="H417" s="550" t="s">
        <v>274</v>
      </c>
      <c r="I417" s="555" t="n">
        <v>0</v>
      </c>
      <c r="J417" s="556" t="n">
        <v>0.01</v>
      </c>
      <c r="K417" s="553" t="n">
        <f aca="false">+G417/(1-J417)+I417</f>
        <v>2.39757198901613</v>
      </c>
      <c r="L417" s="561"/>
      <c r="M417" s="555" t="n">
        <v>0</v>
      </c>
      <c r="N417" s="556" t="n">
        <v>0</v>
      </c>
      <c r="O417" s="553" t="n">
        <f aca="false">+K417/(1-N417)+M417</f>
        <v>2.39757198901613</v>
      </c>
      <c r="P417" s="557" t="n">
        <f aca="false">Weightings!$C$15</f>
        <v>3366</v>
      </c>
      <c r="Q417" s="553" t="n">
        <f aca="false">+P417/SUM($P$9:$P$19)*O417</f>
        <v>0.101362134761262</v>
      </c>
      <c r="R417" s="553"/>
      <c r="S417" s="273"/>
    </row>
    <row r="418" customFormat="false" ht="12.75" hidden="false" customHeight="false" outlineLevel="0" collapsed="false">
      <c r="A418" s="266" t="s">
        <v>214</v>
      </c>
      <c r="B418" s="317" t="s">
        <v>289</v>
      </c>
      <c r="C418" s="586" t="n">
        <v>2.26</v>
      </c>
      <c r="D418" s="550" t="s">
        <v>296</v>
      </c>
      <c r="E418" s="588" t="n">
        <f aca="false">0.0277+0.0022+0.0097</f>
        <v>0.0396</v>
      </c>
      <c r="F418" s="589" t="n">
        <v>0.0423</v>
      </c>
      <c r="G418" s="553" t="n">
        <f aca="false">+C418/(1-F418)+E418</f>
        <v>2.39942040304897</v>
      </c>
      <c r="H418" s="550" t="s">
        <v>274</v>
      </c>
      <c r="I418" s="555" t="n">
        <v>0</v>
      </c>
      <c r="J418" s="556" t="n">
        <v>0.01</v>
      </c>
      <c r="K418" s="553" t="n">
        <f aca="false">+G418/(1-J418)+I418</f>
        <v>2.42365697277674</v>
      </c>
      <c r="M418" s="555" t="n">
        <v>0</v>
      </c>
      <c r="N418" s="556" t="n">
        <v>0</v>
      </c>
      <c r="O418" s="553" t="n">
        <f aca="false">+K418/(1-N418)+M418</f>
        <v>2.42365697277674</v>
      </c>
      <c r="P418" s="557" t="n">
        <f aca="false">Weightings!$C$16</f>
        <v>4950</v>
      </c>
      <c r="Q418" s="553" t="n">
        <f aca="false">+P418/SUM($P$9:$P$19)*O418</f>
        <v>0.150683719769496</v>
      </c>
      <c r="R418" s="553"/>
      <c r="S418" s="273"/>
    </row>
    <row r="419" customFormat="false" ht="12.75" hidden="false" customHeight="false" outlineLevel="0" collapsed="false">
      <c r="A419" s="266" t="s">
        <v>215</v>
      </c>
      <c r="B419" s="317" t="s">
        <v>144</v>
      </c>
      <c r="C419" s="586" t="n">
        <v>2.365</v>
      </c>
      <c r="D419" s="550" t="s">
        <v>297</v>
      </c>
      <c r="E419" s="588" t="n">
        <f aca="false">0.0251+0.0022+0.0097</f>
        <v>0.037</v>
      </c>
      <c r="F419" s="589" t="n">
        <v>0.0381</v>
      </c>
      <c r="G419" s="553" t="n">
        <f aca="false">+C419/(1-F419)+E419</f>
        <v>2.49567553799771</v>
      </c>
      <c r="H419" s="550" t="s">
        <v>274</v>
      </c>
      <c r="I419" s="555" t="n">
        <v>0</v>
      </c>
      <c r="J419" s="556" t="n">
        <v>0.01</v>
      </c>
      <c r="K419" s="553" t="n">
        <f aca="false">+G419/(1-J419)+I419</f>
        <v>2.52088438181587</v>
      </c>
      <c r="M419" s="555" t="n">
        <v>0</v>
      </c>
      <c r="N419" s="556" t="n">
        <v>0</v>
      </c>
      <c r="O419" s="553" t="n">
        <f aca="false">+K419/(1-N419)+M419</f>
        <v>2.52088438181587</v>
      </c>
      <c r="P419" s="557" t="n">
        <f aca="false">Weightings!$C$17</f>
        <v>11172.1727158949</v>
      </c>
      <c r="Q419" s="553" t="n">
        <f aca="false">+P419/SUM($P$9:$P$19)*O419</f>
        <v>0.353737049808956</v>
      </c>
      <c r="R419" s="553"/>
      <c r="S419" s="273"/>
    </row>
    <row r="420" customFormat="false" ht="12.75" hidden="false" customHeight="false" outlineLevel="0" collapsed="false">
      <c r="O420" s="403"/>
      <c r="P420" s="385"/>
      <c r="Q420" s="403"/>
      <c r="R420" s="403"/>
      <c r="S420" s="565"/>
    </row>
    <row r="421" customFormat="false" ht="13.5" hidden="false" customHeight="false" outlineLevel="0" collapsed="false">
      <c r="O421" s="566"/>
      <c r="P421" s="567"/>
      <c r="Q421" s="566"/>
      <c r="R421" s="566"/>
    </row>
    <row r="422" customFormat="false" ht="13.5" hidden="false" customHeight="false" outlineLevel="0" collapsed="false">
      <c r="O422" s="568" t="s">
        <v>277</v>
      </c>
      <c r="P422" s="569"/>
      <c r="Q422" s="570" t="n">
        <f aca="false">SUM(Q409:Q419)</f>
        <v>2.55872827725665</v>
      </c>
      <c r="R422" s="590" t="n">
        <f aca="false">B407</f>
        <v>37185</v>
      </c>
    </row>
    <row r="423" customFormat="false" ht="12.75" hidden="false" customHeight="false" outlineLevel="0" collapsed="false">
      <c r="O423" s="403"/>
      <c r="P423" s="403"/>
      <c r="Q423" s="403"/>
      <c r="R423" s="403"/>
      <c r="S423" s="403"/>
    </row>
    <row r="424" customFormat="false" ht="12.75" hidden="false" customHeight="false" outlineLevel="0" collapsed="false">
      <c r="D424" s="550"/>
      <c r="H424" s="553"/>
      <c r="O424" s="566" t="s">
        <v>298</v>
      </c>
      <c r="P424" s="571" t="n">
        <f aca="false">Weightings!C423</f>
        <v>0</v>
      </c>
      <c r="Q424" s="403" t="s">
        <v>279</v>
      </c>
      <c r="R424" s="572" t="s">
        <v>280</v>
      </c>
      <c r="S424" s="403"/>
    </row>
    <row r="425" customFormat="false" ht="13.5" hidden="false" customHeight="false" outlineLevel="0" collapsed="false">
      <c r="A425" s="591"/>
      <c r="B425" s="592"/>
      <c r="C425" s="591"/>
      <c r="D425" s="593"/>
      <c r="E425" s="591"/>
      <c r="F425" s="591"/>
      <c r="G425" s="591"/>
      <c r="H425" s="594"/>
      <c r="I425" s="591"/>
      <c r="J425" s="591"/>
      <c r="K425" s="591"/>
      <c r="L425" s="591"/>
      <c r="M425" s="591"/>
      <c r="N425" s="591"/>
      <c r="O425" s="591"/>
      <c r="P425" s="595"/>
      <c r="Q425" s="591"/>
      <c r="R425" s="591"/>
      <c r="S425" s="591"/>
    </row>
    <row r="426" customFormat="false" ht="14.25" hidden="false" customHeight="false" outlineLevel="0" collapsed="false">
      <c r="A426" s="267"/>
      <c r="B426" s="544"/>
      <c r="D426" s="269" t="s">
        <v>241</v>
      </c>
      <c r="H426" s="269" t="s">
        <v>242</v>
      </c>
      <c r="L426" s="269" t="s">
        <v>243</v>
      </c>
    </row>
    <row r="427" customFormat="false" ht="14.25" hidden="false" customHeight="false" outlineLevel="0" collapsed="false">
      <c r="A427" s="582" t="s">
        <v>284</v>
      </c>
      <c r="B427" s="583" t="n">
        <f aca="false">B407+1</f>
        <v>37186</v>
      </c>
      <c r="C427" s="584" t="n">
        <f aca="false">Q442</f>
        <v>2.55872827725665</v>
      </c>
      <c r="E427" s="585"/>
    </row>
    <row r="428" customFormat="false" ht="54" hidden="false" customHeight="true" outlineLevel="0" collapsed="false">
      <c r="A428" s="267" t="s">
        <v>244</v>
      </c>
      <c r="B428" s="315" t="s">
        <v>132</v>
      </c>
      <c r="C428" s="545" t="s">
        <v>286</v>
      </c>
      <c r="D428" s="546" t="s">
        <v>247</v>
      </c>
      <c r="E428" s="547" t="s">
        <v>248</v>
      </c>
      <c r="F428" s="547" t="s">
        <v>249</v>
      </c>
      <c r="G428" s="547" t="s">
        <v>250</v>
      </c>
      <c r="H428" s="546" t="s">
        <v>247</v>
      </c>
      <c r="I428" s="547" t="s">
        <v>248</v>
      </c>
      <c r="J428" s="547" t="s">
        <v>249</v>
      </c>
      <c r="K428" s="547" t="s">
        <v>250</v>
      </c>
      <c r="L428" s="546" t="s">
        <v>247</v>
      </c>
      <c r="M428" s="547" t="s">
        <v>248</v>
      </c>
      <c r="N428" s="547" t="s">
        <v>249</v>
      </c>
      <c r="O428" s="547" t="s">
        <v>250</v>
      </c>
      <c r="P428" s="547" t="s">
        <v>251</v>
      </c>
      <c r="Q428" s="547" t="s">
        <v>252</v>
      </c>
      <c r="R428" s="547"/>
      <c r="S428" s="547"/>
    </row>
    <row r="429" customFormat="false" ht="12.75" hidden="false" customHeight="false" outlineLevel="0" collapsed="false">
      <c r="A429" s="266" t="s">
        <v>253</v>
      </c>
      <c r="B429" s="317" t="s">
        <v>142</v>
      </c>
      <c r="C429" s="586" t="n">
        <v>2.275</v>
      </c>
      <c r="D429" s="550" t="s">
        <v>254</v>
      </c>
      <c r="E429" s="555" t="n">
        <v>0.0522</v>
      </c>
      <c r="F429" s="562" t="n">
        <v>0.0506</v>
      </c>
      <c r="G429" s="553" t="n">
        <f aca="false">+C429/(1-F429)+E429</f>
        <v>2.4484502633242</v>
      </c>
      <c r="H429" s="550" t="s">
        <v>255</v>
      </c>
      <c r="I429" s="555" t="n">
        <f aca="false">E431</f>
        <v>0.1043</v>
      </c>
      <c r="J429" s="556" t="n">
        <v>0.0228</v>
      </c>
      <c r="K429" s="553" t="n">
        <f aca="false">+G429/(1-J429)+I429</f>
        <v>2.60987742869853</v>
      </c>
      <c r="L429" s="550" t="s">
        <v>256</v>
      </c>
      <c r="M429" s="555" t="n">
        <v>0</v>
      </c>
      <c r="N429" s="556" t="n">
        <v>0.0025</v>
      </c>
      <c r="O429" s="553" t="n">
        <f aca="false">+K429/(1-N429)+M429</f>
        <v>2.61641847488575</v>
      </c>
      <c r="P429" s="557" t="n">
        <f aca="false">Weightings!$C$4</f>
        <v>1071.40153987277</v>
      </c>
      <c r="Q429" s="553" t="n">
        <f aca="false">+P429/SUM($P$9:$P$19)*O429</f>
        <v>0.0352086565525997</v>
      </c>
      <c r="R429" s="553"/>
      <c r="S429" s="558"/>
    </row>
    <row r="430" customFormat="false" ht="12.75" hidden="false" customHeight="false" outlineLevel="0" collapsed="false">
      <c r="A430" s="266" t="s">
        <v>257</v>
      </c>
      <c r="B430" s="317" t="s">
        <v>143</v>
      </c>
      <c r="C430" s="586" t="n">
        <v>2.23</v>
      </c>
      <c r="D430" s="550" t="s">
        <v>258</v>
      </c>
      <c r="E430" s="555" t="n">
        <v>0.0522</v>
      </c>
      <c r="F430" s="562" t="n">
        <v>0.058</v>
      </c>
      <c r="G430" s="553" t="n">
        <f aca="false">+C430/(1-F430)+E430</f>
        <v>2.41950360934183</v>
      </c>
      <c r="H430" s="550" t="s">
        <v>255</v>
      </c>
      <c r="I430" s="555" t="n">
        <f aca="false">E431</f>
        <v>0.1043</v>
      </c>
      <c r="J430" s="556" t="n">
        <v>0.0228</v>
      </c>
      <c r="K430" s="553" t="n">
        <f aca="false">+G430/(1-J430)+I430</f>
        <v>2.58025539228595</v>
      </c>
      <c r="L430" s="550" t="s">
        <v>256</v>
      </c>
      <c r="M430" s="555" t="n">
        <v>0</v>
      </c>
      <c r="N430" s="556" t="n">
        <v>0.0025</v>
      </c>
      <c r="O430" s="553" t="n">
        <f aca="false">+K430/(1-N430)+M430</f>
        <v>2.5867221977804</v>
      </c>
      <c r="P430" s="557" t="n">
        <f aca="false">Weightings!$C$5</f>
        <v>1309.88291792445</v>
      </c>
      <c r="Q430" s="553" t="n">
        <f aca="false">+P430/SUM($P$9:$P$19)*O430</f>
        <v>0.0425571219025443</v>
      </c>
      <c r="R430" s="553"/>
      <c r="S430" s="273"/>
    </row>
    <row r="431" customFormat="false" ht="12.75" hidden="false" customHeight="false" outlineLevel="0" collapsed="false">
      <c r="A431" s="266" t="s">
        <v>259</v>
      </c>
      <c r="B431" s="317" t="s">
        <v>287</v>
      </c>
      <c r="C431" s="586" t="n">
        <v>2.485</v>
      </c>
      <c r="D431" s="550" t="s">
        <v>260</v>
      </c>
      <c r="E431" s="555" t="n">
        <f aca="false">0.0951+0.0022+0.007</f>
        <v>0.1043</v>
      </c>
      <c r="F431" s="562" t="n">
        <v>0.0228</v>
      </c>
      <c r="G431" s="553" t="n">
        <f aca="false">+C431/(1-F431)+E431</f>
        <v>2.64727994269341</v>
      </c>
      <c r="H431" s="550" t="s">
        <v>256</v>
      </c>
      <c r="I431" s="555" t="n">
        <v>0</v>
      </c>
      <c r="J431" s="556" t="n">
        <v>0.0025</v>
      </c>
      <c r="K431" s="553" t="n">
        <f aca="false">+G431/(1-J431)+I431</f>
        <v>2.6539147295172</v>
      </c>
      <c r="L431" s="550"/>
      <c r="M431" s="555" t="n">
        <v>0</v>
      </c>
      <c r="N431" s="556" t="n">
        <v>0</v>
      </c>
      <c r="O431" s="553" t="n">
        <f aca="false">+K431/(1-N431)+M431</f>
        <v>2.6539147295172</v>
      </c>
      <c r="P431" s="557" t="n">
        <f aca="false">Weightings!$C$6</f>
        <v>19813.4520237259</v>
      </c>
      <c r="Q431" s="553" t="n">
        <f aca="false">+P431/SUM($P$9:$P$19)*O431</f>
        <v>0.660445664035112</v>
      </c>
      <c r="R431" s="553"/>
      <c r="S431" s="273"/>
    </row>
    <row r="432" customFormat="false" ht="12.75" hidden="false" customHeight="false" outlineLevel="0" collapsed="false">
      <c r="A432" s="266" t="s">
        <v>261</v>
      </c>
      <c r="B432" s="317" t="s">
        <v>288</v>
      </c>
      <c r="C432" s="586" t="n">
        <v>2.55</v>
      </c>
      <c r="D432" s="550" t="s">
        <v>262</v>
      </c>
      <c r="E432" s="555" t="n">
        <f aca="false">0.0951+0.0022+0.007</f>
        <v>0.1043</v>
      </c>
      <c r="F432" s="562" t="n">
        <v>0.0228</v>
      </c>
      <c r="G432" s="553" t="n">
        <f aca="false">+C432/(1-F432)+E432</f>
        <v>2.71379652067131</v>
      </c>
      <c r="H432" s="550" t="s">
        <v>256</v>
      </c>
      <c r="I432" s="555" t="n">
        <v>0</v>
      </c>
      <c r="J432" s="556" t="n">
        <v>0.0025</v>
      </c>
      <c r="K432" s="553" t="n">
        <f aca="false">+G432/(1-J432)+I432</f>
        <v>2.72059801571058</v>
      </c>
      <c r="L432" s="550"/>
      <c r="M432" s="555" t="n">
        <v>0</v>
      </c>
      <c r="N432" s="556" t="n">
        <v>0</v>
      </c>
      <c r="O432" s="553" t="n">
        <f aca="false">+K432/(1-N432)+M432</f>
        <v>2.72059801571058</v>
      </c>
      <c r="P432" s="557" t="n">
        <f aca="false">Weightings!$C$7</f>
        <v>669.603363940486</v>
      </c>
      <c r="Q432" s="553" t="n">
        <f aca="false">+P432/SUM($P$9:$P$19)*O432</f>
        <v>0.0228808410730868</v>
      </c>
      <c r="R432" s="553"/>
      <c r="S432" s="558"/>
    </row>
    <row r="433" customFormat="false" ht="12.75" hidden="false" customHeight="false" outlineLevel="0" collapsed="false">
      <c r="A433" s="266" t="s">
        <v>206</v>
      </c>
      <c r="B433" s="317" t="s">
        <v>289</v>
      </c>
      <c r="C433" s="587" t="n">
        <f aca="false">C438</f>
        <v>2.26</v>
      </c>
      <c r="D433" s="550" t="s">
        <v>290</v>
      </c>
      <c r="E433" s="588" t="n">
        <f aca="false">0.0331+0.0022+0.0097</f>
        <v>0.045</v>
      </c>
      <c r="F433" s="589" t="n">
        <v>0.0504</v>
      </c>
      <c r="G433" s="553" t="n">
        <f aca="false">+C433/(1-F433)+E433</f>
        <v>2.42494945240101</v>
      </c>
      <c r="H433" s="550" t="s">
        <v>255</v>
      </c>
      <c r="I433" s="555" t="n">
        <f aca="false">E431</f>
        <v>0.1043</v>
      </c>
      <c r="J433" s="556" t="n">
        <v>0.0228</v>
      </c>
      <c r="K433" s="553" t="n">
        <f aca="false">+G433/(1-J433)+I433</f>
        <v>2.58582829758597</v>
      </c>
      <c r="L433" s="550" t="s">
        <v>256</v>
      </c>
      <c r="M433" s="555" t="n">
        <v>0</v>
      </c>
      <c r="N433" s="556" t="n">
        <v>0.0025</v>
      </c>
      <c r="O433" s="553" t="n">
        <f aca="false">+K433/(1-N433)+M433</f>
        <v>2.59230907026162</v>
      </c>
      <c r="P433" s="557" t="n">
        <f aca="false">Weightings!$C$8</f>
        <v>273.774605247488</v>
      </c>
      <c r="Q433" s="553" t="n">
        <f aca="false">+P433/SUM($P$9:$P$19)*O433</f>
        <v>0.00891394441600282</v>
      </c>
      <c r="R433" s="553"/>
      <c r="S433" s="273"/>
    </row>
    <row r="434" customFormat="false" ht="12.75" hidden="false" customHeight="false" outlineLevel="0" collapsed="false">
      <c r="A434" s="266" t="s">
        <v>207</v>
      </c>
      <c r="B434" s="317" t="s">
        <v>144</v>
      </c>
      <c r="C434" s="587" t="n">
        <f aca="false">C439</f>
        <v>2.365</v>
      </c>
      <c r="D434" s="550" t="s">
        <v>291</v>
      </c>
      <c r="E434" s="588" t="n">
        <f aca="false">0.0305+0.0022+0.0097</f>
        <v>0.0424</v>
      </c>
      <c r="F434" s="589" t="n">
        <v>0.0462</v>
      </c>
      <c r="G434" s="553" t="n">
        <f aca="false">+C434/(1-F434)+E434</f>
        <v>2.52195546236108</v>
      </c>
      <c r="H434" s="550" t="s">
        <v>255</v>
      </c>
      <c r="I434" s="555" t="n">
        <f aca="false">E431</f>
        <v>0.1043</v>
      </c>
      <c r="J434" s="556" t="n">
        <v>0.0228</v>
      </c>
      <c r="K434" s="553" t="n">
        <f aca="false">+G434/(1-J434)+I434</f>
        <v>2.68509764875264</v>
      </c>
      <c r="L434" s="550" t="s">
        <v>256</v>
      </c>
      <c r="M434" s="555" t="n">
        <v>0</v>
      </c>
      <c r="N434" s="556" t="n">
        <v>0.0025</v>
      </c>
      <c r="O434" s="553" t="n">
        <f aca="false">+K434/(1-N434)+M434</f>
        <v>2.69182721679463</v>
      </c>
      <c r="P434" s="557" t="n">
        <f aca="false">Weightings!$C$9</f>
        <v>6.55445647922163</v>
      </c>
      <c r="Q434" s="553" t="n">
        <f aca="false">+P434/SUM($P$9:$P$19)*O434</f>
        <v>0.000221602086345892</v>
      </c>
      <c r="R434" s="553"/>
      <c r="S434" s="273"/>
    </row>
    <row r="435" customFormat="false" ht="12.75" hidden="false" customHeight="false" outlineLevel="0" collapsed="false">
      <c r="A435" s="266" t="s">
        <v>211</v>
      </c>
      <c r="B435" s="317" t="s">
        <v>292</v>
      </c>
      <c r="C435" s="586" t="n">
        <v>2.31</v>
      </c>
      <c r="D435" s="550" t="s">
        <v>269</v>
      </c>
      <c r="E435" s="555" t="n">
        <f aca="false">0.0366+0.0022</f>
        <v>0.0388</v>
      </c>
      <c r="F435" s="562" t="n">
        <v>0.00697</v>
      </c>
      <c r="G435" s="553" t="n">
        <f aca="false">+C435/(1-F435)+E435</f>
        <v>2.3650137095556</v>
      </c>
      <c r="H435" s="550" t="s">
        <v>270</v>
      </c>
      <c r="I435" s="588" t="n">
        <f aca="false">0.017+0.0022</f>
        <v>0.0192</v>
      </c>
      <c r="J435" s="589" t="n">
        <v>0.02902</v>
      </c>
      <c r="K435" s="553" t="n">
        <f aca="false">+G435/(1-J435)+I435</f>
        <v>2.45489765551876</v>
      </c>
      <c r="L435" s="561" t="s">
        <v>271</v>
      </c>
      <c r="M435" s="555" t="n">
        <f aca="false">E436</f>
        <v>0.0226</v>
      </c>
      <c r="N435" s="562" t="n">
        <f aca="false">F436</f>
        <v>0.02776</v>
      </c>
      <c r="O435" s="563" t="n">
        <f aca="false">+K435/(1-N435)+M435</f>
        <v>2.54759141726195</v>
      </c>
      <c r="P435" s="557" t="n">
        <f aca="false">Weightings!$C$13</f>
        <v>31370.607479626</v>
      </c>
      <c r="Q435" s="553" t="n">
        <f aca="false">+P435/SUM($P$9:$P$19)*O435</f>
        <v>1.00378958815548</v>
      </c>
      <c r="R435" s="563"/>
      <c r="S435" s="273"/>
    </row>
    <row r="436" customFormat="false" ht="12.75" hidden="false" customHeight="false" outlineLevel="0" collapsed="false">
      <c r="A436" s="266" t="s">
        <v>212</v>
      </c>
      <c r="B436" s="317" t="s">
        <v>293</v>
      </c>
      <c r="C436" s="586" t="n">
        <v>2.445</v>
      </c>
      <c r="D436" s="550" t="s">
        <v>272</v>
      </c>
      <c r="E436" s="555" t="n">
        <f aca="false">0.0134+0.0022+0.007</f>
        <v>0.0226</v>
      </c>
      <c r="F436" s="562" t="n">
        <v>0.02776</v>
      </c>
      <c r="G436" s="553" t="n">
        <f aca="false">+C436/(1-F436)+E436</f>
        <v>2.53741115773883</v>
      </c>
      <c r="H436" s="550"/>
      <c r="I436" s="555" t="n">
        <v>0</v>
      </c>
      <c r="J436" s="556" t="n">
        <v>0</v>
      </c>
      <c r="K436" s="553" t="n">
        <f aca="false">+G436/(1-J436)+I436</f>
        <v>2.53741115773883</v>
      </c>
      <c r="L436" s="561"/>
      <c r="M436" s="555" t="n">
        <v>0</v>
      </c>
      <c r="N436" s="556" t="n">
        <v>0</v>
      </c>
      <c r="O436" s="553" t="n">
        <f aca="false">+K436/(1-N436)+M436</f>
        <v>2.53741115773883</v>
      </c>
      <c r="P436" s="557" t="n">
        <f aca="false">Weightings!$C$14</f>
        <v>5614.32270168218</v>
      </c>
      <c r="Q436" s="553" t="n">
        <f aca="false">+P436/SUM($P$9:$P$19)*O436</f>
        <v>0.178927954695771</v>
      </c>
      <c r="R436" s="553"/>
      <c r="S436" s="564"/>
    </row>
    <row r="437" customFormat="false" ht="12.75" hidden="false" customHeight="false" outlineLevel="0" collapsed="false">
      <c r="A437" s="266" t="s">
        <v>213</v>
      </c>
      <c r="B437" s="317" t="s">
        <v>294</v>
      </c>
      <c r="C437" s="586" t="n">
        <v>2.225</v>
      </c>
      <c r="D437" s="550" t="s">
        <v>295</v>
      </c>
      <c r="E437" s="588" t="n">
        <f aca="false">0.0299+0.0022+0.0097</f>
        <v>0.0418</v>
      </c>
      <c r="F437" s="589" t="n">
        <v>0.0458</v>
      </c>
      <c r="G437" s="553" t="n">
        <f aca="false">+C437/(1-F437)+E437</f>
        <v>2.37359626912597</v>
      </c>
      <c r="H437" s="550" t="s">
        <v>274</v>
      </c>
      <c r="I437" s="555" t="n">
        <v>0</v>
      </c>
      <c r="J437" s="556" t="n">
        <v>0.01</v>
      </c>
      <c r="K437" s="553" t="n">
        <f aca="false">+G437/(1-J437)+I437</f>
        <v>2.39757198901613</v>
      </c>
      <c r="L437" s="561"/>
      <c r="M437" s="555" t="n">
        <v>0</v>
      </c>
      <c r="N437" s="556" t="n">
        <v>0</v>
      </c>
      <c r="O437" s="553" t="n">
        <f aca="false">+K437/(1-N437)+M437</f>
        <v>2.39757198901613</v>
      </c>
      <c r="P437" s="557" t="n">
        <f aca="false">Weightings!$C$15</f>
        <v>3366</v>
      </c>
      <c r="Q437" s="553" t="n">
        <f aca="false">+P437/SUM($P$9:$P$19)*O437</f>
        <v>0.101362134761262</v>
      </c>
      <c r="R437" s="553"/>
      <c r="S437" s="273"/>
    </row>
    <row r="438" customFormat="false" ht="12.75" hidden="false" customHeight="false" outlineLevel="0" collapsed="false">
      <c r="A438" s="266" t="s">
        <v>214</v>
      </c>
      <c r="B438" s="317" t="s">
        <v>289</v>
      </c>
      <c r="C438" s="586" t="n">
        <v>2.26</v>
      </c>
      <c r="D438" s="550" t="s">
        <v>296</v>
      </c>
      <c r="E438" s="588" t="n">
        <f aca="false">0.0277+0.0022+0.0097</f>
        <v>0.0396</v>
      </c>
      <c r="F438" s="589" t="n">
        <v>0.0423</v>
      </c>
      <c r="G438" s="553" t="n">
        <f aca="false">+C438/(1-F438)+E438</f>
        <v>2.39942040304897</v>
      </c>
      <c r="H438" s="550" t="s">
        <v>274</v>
      </c>
      <c r="I438" s="555" t="n">
        <v>0</v>
      </c>
      <c r="J438" s="556" t="n">
        <v>0.01</v>
      </c>
      <c r="K438" s="553" t="n">
        <f aca="false">+G438/(1-J438)+I438</f>
        <v>2.42365697277674</v>
      </c>
      <c r="M438" s="555" t="n">
        <v>0</v>
      </c>
      <c r="N438" s="556" t="n">
        <v>0</v>
      </c>
      <c r="O438" s="553" t="n">
        <f aca="false">+K438/(1-N438)+M438</f>
        <v>2.42365697277674</v>
      </c>
      <c r="P438" s="557" t="n">
        <f aca="false">Weightings!$C$16</f>
        <v>4950</v>
      </c>
      <c r="Q438" s="553" t="n">
        <f aca="false">+P438/SUM($P$9:$P$19)*O438</f>
        <v>0.150683719769496</v>
      </c>
      <c r="R438" s="553"/>
      <c r="S438" s="273"/>
    </row>
    <row r="439" customFormat="false" ht="12.75" hidden="false" customHeight="false" outlineLevel="0" collapsed="false">
      <c r="A439" s="266" t="s">
        <v>215</v>
      </c>
      <c r="B439" s="317" t="s">
        <v>144</v>
      </c>
      <c r="C439" s="586" t="n">
        <v>2.365</v>
      </c>
      <c r="D439" s="550" t="s">
        <v>297</v>
      </c>
      <c r="E439" s="588" t="n">
        <f aca="false">0.0251+0.0022+0.0097</f>
        <v>0.037</v>
      </c>
      <c r="F439" s="589" t="n">
        <v>0.0381</v>
      </c>
      <c r="G439" s="553" t="n">
        <f aca="false">+C439/(1-F439)+E439</f>
        <v>2.49567553799771</v>
      </c>
      <c r="H439" s="550" t="s">
        <v>274</v>
      </c>
      <c r="I439" s="555" t="n">
        <v>0</v>
      </c>
      <c r="J439" s="556" t="n">
        <v>0.01</v>
      </c>
      <c r="K439" s="553" t="n">
        <f aca="false">+G439/(1-J439)+I439</f>
        <v>2.52088438181587</v>
      </c>
      <c r="M439" s="555" t="n">
        <v>0</v>
      </c>
      <c r="N439" s="556" t="n">
        <v>0</v>
      </c>
      <c r="O439" s="553" t="n">
        <f aca="false">+K439/(1-N439)+M439</f>
        <v>2.52088438181587</v>
      </c>
      <c r="P439" s="557" t="n">
        <f aca="false">Weightings!$C$17</f>
        <v>11172.1727158949</v>
      </c>
      <c r="Q439" s="553" t="n">
        <f aca="false">+P439/SUM($P$9:$P$19)*O439</f>
        <v>0.353737049808956</v>
      </c>
      <c r="R439" s="553"/>
      <c r="S439" s="273"/>
    </row>
    <row r="440" customFormat="false" ht="12.75" hidden="false" customHeight="false" outlineLevel="0" collapsed="false">
      <c r="O440" s="403"/>
      <c r="P440" s="385"/>
      <c r="Q440" s="403"/>
      <c r="R440" s="403"/>
      <c r="S440" s="565"/>
    </row>
    <row r="441" customFormat="false" ht="13.5" hidden="false" customHeight="false" outlineLevel="0" collapsed="false">
      <c r="O441" s="566"/>
      <c r="P441" s="567"/>
      <c r="Q441" s="566"/>
      <c r="R441" s="566"/>
    </row>
    <row r="442" customFormat="false" ht="13.5" hidden="false" customHeight="false" outlineLevel="0" collapsed="false">
      <c r="O442" s="568" t="s">
        <v>277</v>
      </c>
      <c r="P442" s="569"/>
      <c r="Q442" s="570" t="n">
        <f aca="false">SUM(Q429:Q439)</f>
        <v>2.55872827725665</v>
      </c>
      <c r="R442" s="590" t="n">
        <f aca="false">B427</f>
        <v>37186</v>
      </c>
    </row>
    <row r="443" customFormat="false" ht="12.75" hidden="false" customHeight="false" outlineLevel="0" collapsed="false">
      <c r="O443" s="403"/>
      <c r="P443" s="403"/>
      <c r="Q443" s="403"/>
      <c r="R443" s="403"/>
      <c r="S443" s="403"/>
    </row>
    <row r="444" customFormat="false" ht="12.75" hidden="false" customHeight="false" outlineLevel="0" collapsed="false">
      <c r="D444" s="550"/>
      <c r="H444" s="553"/>
      <c r="O444" s="566" t="s">
        <v>298</v>
      </c>
      <c r="P444" s="571" t="n">
        <f aca="false">Weightings!C443</f>
        <v>0</v>
      </c>
      <c r="Q444" s="403" t="s">
        <v>279</v>
      </c>
      <c r="R444" s="572" t="s">
        <v>280</v>
      </c>
      <c r="S444" s="403"/>
    </row>
    <row r="445" customFormat="false" ht="13.5" hidden="false" customHeight="false" outlineLevel="0" collapsed="false">
      <c r="A445" s="591"/>
      <c r="B445" s="592"/>
      <c r="C445" s="591"/>
      <c r="D445" s="593"/>
      <c r="E445" s="591"/>
      <c r="F445" s="591"/>
      <c r="G445" s="591"/>
      <c r="H445" s="594"/>
      <c r="I445" s="591"/>
      <c r="J445" s="591"/>
      <c r="K445" s="591"/>
      <c r="L445" s="591"/>
      <c r="M445" s="591"/>
      <c r="N445" s="591"/>
      <c r="O445" s="591"/>
      <c r="P445" s="595"/>
      <c r="Q445" s="591"/>
      <c r="R445" s="591"/>
      <c r="S445" s="591"/>
    </row>
    <row r="446" customFormat="false" ht="14.25" hidden="false" customHeight="false" outlineLevel="0" collapsed="false">
      <c r="A446" s="267"/>
      <c r="B446" s="544"/>
      <c r="D446" s="269" t="s">
        <v>241</v>
      </c>
      <c r="H446" s="269" t="s">
        <v>242</v>
      </c>
      <c r="L446" s="269" t="s">
        <v>243</v>
      </c>
    </row>
    <row r="447" customFormat="false" ht="14.25" hidden="false" customHeight="false" outlineLevel="0" collapsed="false">
      <c r="A447" s="582" t="s">
        <v>284</v>
      </c>
      <c r="B447" s="583" t="n">
        <f aca="false">B427+1</f>
        <v>37187</v>
      </c>
      <c r="C447" s="584" t="n">
        <f aca="false">Q462</f>
        <v>2.85046449868258</v>
      </c>
      <c r="E447" s="585"/>
    </row>
    <row r="448" customFormat="false" ht="54" hidden="false" customHeight="true" outlineLevel="0" collapsed="false">
      <c r="A448" s="267" t="s">
        <v>244</v>
      </c>
      <c r="B448" s="315" t="s">
        <v>132</v>
      </c>
      <c r="C448" s="545" t="s">
        <v>286</v>
      </c>
      <c r="D448" s="546" t="s">
        <v>247</v>
      </c>
      <c r="E448" s="547" t="s">
        <v>248</v>
      </c>
      <c r="F448" s="547" t="s">
        <v>249</v>
      </c>
      <c r="G448" s="547" t="s">
        <v>250</v>
      </c>
      <c r="H448" s="546" t="s">
        <v>247</v>
      </c>
      <c r="I448" s="547" t="s">
        <v>248</v>
      </c>
      <c r="J448" s="547" t="s">
        <v>249</v>
      </c>
      <c r="K448" s="547" t="s">
        <v>250</v>
      </c>
      <c r="L448" s="546" t="s">
        <v>247</v>
      </c>
      <c r="M448" s="547" t="s">
        <v>248</v>
      </c>
      <c r="N448" s="547" t="s">
        <v>249</v>
      </c>
      <c r="O448" s="547" t="s">
        <v>250</v>
      </c>
      <c r="P448" s="547" t="s">
        <v>251</v>
      </c>
      <c r="Q448" s="547" t="s">
        <v>252</v>
      </c>
      <c r="R448" s="547"/>
      <c r="S448" s="547"/>
    </row>
    <row r="449" customFormat="false" ht="12.75" hidden="false" customHeight="false" outlineLevel="0" collapsed="false">
      <c r="A449" s="266" t="s">
        <v>253</v>
      </c>
      <c r="B449" s="317" t="s">
        <v>142</v>
      </c>
      <c r="C449" s="586" t="n">
        <v>2.54</v>
      </c>
      <c r="D449" s="550" t="s">
        <v>254</v>
      </c>
      <c r="E449" s="555" t="n">
        <v>0.0522</v>
      </c>
      <c r="F449" s="562" t="n">
        <v>0.0506</v>
      </c>
      <c r="G449" s="553" t="n">
        <f aca="false">+C449/(1-F449)+E449</f>
        <v>2.72757392037076</v>
      </c>
      <c r="H449" s="550" t="s">
        <v>255</v>
      </c>
      <c r="I449" s="555" t="n">
        <f aca="false">E451</f>
        <v>0.1043</v>
      </c>
      <c r="J449" s="556" t="n">
        <v>0.0228</v>
      </c>
      <c r="K449" s="553" t="n">
        <f aca="false">+G449/(1-J449)+I449</f>
        <v>2.89551359022796</v>
      </c>
      <c r="L449" s="550" t="s">
        <v>256</v>
      </c>
      <c r="M449" s="555" t="n">
        <v>0</v>
      </c>
      <c r="N449" s="556" t="n">
        <v>0.0025</v>
      </c>
      <c r="O449" s="553" t="n">
        <f aca="false">+K449/(1-N449)+M449</f>
        <v>2.90277051651926</v>
      </c>
      <c r="P449" s="557" t="n">
        <f aca="false">Weightings!$C$4</f>
        <v>1071.40153987277</v>
      </c>
      <c r="Q449" s="553" t="n">
        <f aca="false">+P449/SUM($P$9:$P$19)*O449</f>
        <v>0.0390620426923877</v>
      </c>
      <c r="R449" s="553"/>
      <c r="S449" s="558"/>
    </row>
    <row r="450" customFormat="false" ht="12.75" hidden="false" customHeight="false" outlineLevel="0" collapsed="false">
      <c r="A450" s="266" t="s">
        <v>257</v>
      </c>
      <c r="B450" s="317" t="s">
        <v>143</v>
      </c>
      <c r="C450" s="586" t="n">
        <v>2.55</v>
      </c>
      <c r="D450" s="550" t="s">
        <v>258</v>
      </c>
      <c r="E450" s="555" t="n">
        <v>0.0522</v>
      </c>
      <c r="F450" s="562" t="n">
        <v>0.058</v>
      </c>
      <c r="G450" s="553" t="n">
        <f aca="false">+C450/(1-F450)+E450</f>
        <v>2.75920636942675</v>
      </c>
      <c r="H450" s="550" t="s">
        <v>255</v>
      </c>
      <c r="I450" s="555" t="n">
        <f aca="false">E451</f>
        <v>0.1043</v>
      </c>
      <c r="J450" s="556" t="n">
        <v>0.0228</v>
      </c>
      <c r="K450" s="553" t="n">
        <f aca="false">+G450/(1-J450)+I450</f>
        <v>2.92788408660126</v>
      </c>
      <c r="L450" s="550" t="s">
        <v>256</v>
      </c>
      <c r="M450" s="555" t="n">
        <v>0</v>
      </c>
      <c r="N450" s="556" t="n">
        <v>0.0025</v>
      </c>
      <c r="O450" s="553" t="n">
        <f aca="false">+K450/(1-N450)+M450</f>
        <v>2.93522214195615</v>
      </c>
      <c r="P450" s="557" t="n">
        <f aca="false">Weightings!$C$5</f>
        <v>1309.88291792445</v>
      </c>
      <c r="Q450" s="553" t="n">
        <f aca="false">+P450/SUM($P$9:$P$19)*O450</f>
        <v>0.0482906926045098</v>
      </c>
      <c r="R450" s="553"/>
      <c r="S450" s="273"/>
    </row>
    <row r="451" customFormat="false" ht="12.75" hidden="false" customHeight="false" outlineLevel="0" collapsed="false">
      <c r="A451" s="266" t="s">
        <v>259</v>
      </c>
      <c r="B451" s="317" t="s">
        <v>287</v>
      </c>
      <c r="C451" s="586" t="n">
        <v>2.74</v>
      </c>
      <c r="D451" s="550" t="s">
        <v>260</v>
      </c>
      <c r="E451" s="555" t="n">
        <f aca="false">0.0951+0.0022+0.007</f>
        <v>0.1043</v>
      </c>
      <c r="F451" s="562" t="n">
        <v>0.0228</v>
      </c>
      <c r="G451" s="553" t="n">
        <f aca="false">+C451/(1-F451)+E451</f>
        <v>2.90822959476054</v>
      </c>
      <c r="H451" s="550" t="s">
        <v>256</v>
      </c>
      <c r="I451" s="555" t="n">
        <v>0</v>
      </c>
      <c r="J451" s="556" t="n">
        <v>0.0025</v>
      </c>
      <c r="K451" s="553" t="n">
        <f aca="false">+G451/(1-J451)+I451</f>
        <v>2.91551839073738</v>
      </c>
      <c r="L451" s="550"/>
      <c r="M451" s="555" t="n">
        <v>0</v>
      </c>
      <c r="N451" s="556" t="n">
        <v>0</v>
      </c>
      <c r="O451" s="553" t="n">
        <f aca="false">+K451/(1-N451)+M451</f>
        <v>2.91551839073738</v>
      </c>
      <c r="P451" s="557" t="n">
        <f aca="false">Weightings!$C$6</f>
        <v>19813.4520237259</v>
      </c>
      <c r="Q451" s="553" t="n">
        <f aca="false">+P451/SUM($P$9:$P$19)*O451</f>
        <v>0.725547606394809</v>
      </c>
      <c r="R451" s="553"/>
      <c r="S451" s="273"/>
    </row>
    <row r="452" customFormat="false" ht="12.75" hidden="false" customHeight="false" outlineLevel="0" collapsed="false">
      <c r="A452" s="266" t="s">
        <v>261</v>
      </c>
      <c r="B452" s="317" t="s">
        <v>288</v>
      </c>
      <c r="C452" s="586" t="n">
        <v>2.785</v>
      </c>
      <c r="D452" s="550" t="s">
        <v>262</v>
      </c>
      <c r="E452" s="555" t="n">
        <f aca="false">0.0951+0.0022+0.007</f>
        <v>0.1043</v>
      </c>
      <c r="F452" s="562" t="n">
        <v>0.0228</v>
      </c>
      <c r="G452" s="553" t="n">
        <f aca="false">+C452/(1-F452)+E452</f>
        <v>2.95427953336062</v>
      </c>
      <c r="H452" s="550" t="s">
        <v>256</v>
      </c>
      <c r="I452" s="555" t="n">
        <v>0</v>
      </c>
      <c r="J452" s="556" t="n">
        <v>0.0025</v>
      </c>
      <c r="K452" s="553" t="n">
        <f aca="false">+G452/(1-J452)+I452</f>
        <v>2.96168374271742</v>
      </c>
      <c r="L452" s="550"/>
      <c r="M452" s="555" t="n">
        <v>0</v>
      </c>
      <c r="N452" s="556" t="n">
        <v>0</v>
      </c>
      <c r="O452" s="553" t="n">
        <f aca="false">+K452/(1-N452)+M452</f>
        <v>2.96168374271742</v>
      </c>
      <c r="P452" s="557" t="n">
        <f aca="false">Weightings!$C$7</f>
        <v>669.603363940486</v>
      </c>
      <c r="Q452" s="553" t="n">
        <f aca="false">+P452/SUM($P$9:$P$19)*O452</f>
        <v>0.0249084262483969</v>
      </c>
      <c r="R452" s="553"/>
      <c r="S452" s="558"/>
    </row>
    <row r="453" customFormat="false" ht="12.75" hidden="false" customHeight="false" outlineLevel="0" collapsed="false">
      <c r="A453" s="266" t="s">
        <v>206</v>
      </c>
      <c r="B453" s="317" t="s">
        <v>289</v>
      </c>
      <c r="C453" s="587" t="n">
        <f aca="false">C458</f>
        <v>2.585</v>
      </c>
      <c r="D453" s="550" t="s">
        <v>290</v>
      </c>
      <c r="E453" s="588" t="n">
        <f aca="false">0.0331+0.0022+0.0097</f>
        <v>0.045</v>
      </c>
      <c r="F453" s="589" t="n">
        <v>0.0504</v>
      </c>
      <c r="G453" s="553" t="n">
        <f aca="false">+C453/(1-F453)+E453</f>
        <v>2.76719882055602</v>
      </c>
      <c r="H453" s="550" t="s">
        <v>255</v>
      </c>
      <c r="I453" s="555" t="n">
        <f aca="false">E451</f>
        <v>0.1043</v>
      </c>
      <c r="J453" s="556" t="n">
        <v>0.0228</v>
      </c>
      <c r="K453" s="553" t="n">
        <f aca="false">+G453/(1-J453)+I453</f>
        <v>2.93606301735164</v>
      </c>
      <c r="L453" s="550" t="s">
        <v>256</v>
      </c>
      <c r="M453" s="555" t="n">
        <v>0</v>
      </c>
      <c r="N453" s="556" t="n">
        <v>0.0025</v>
      </c>
      <c r="O453" s="553" t="n">
        <f aca="false">+K453/(1-N453)+M453</f>
        <v>2.94342157127984</v>
      </c>
      <c r="P453" s="557" t="n">
        <f aca="false">Weightings!$C$8</f>
        <v>273.774605247488</v>
      </c>
      <c r="Q453" s="553" t="n">
        <f aca="false">+P453/SUM($P$9:$P$19)*O453</f>
        <v>0.0101212839858652</v>
      </c>
      <c r="R453" s="553"/>
      <c r="S453" s="273"/>
    </row>
    <row r="454" customFormat="false" ht="12.75" hidden="false" customHeight="false" outlineLevel="0" collapsed="false">
      <c r="A454" s="266" t="s">
        <v>207</v>
      </c>
      <c r="B454" s="317" t="s">
        <v>144</v>
      </c>
      <c r="C454" s="587" t="n">
        <f aca="false">C459</f>
        <v>2.645</v>
      </c>
      <c r="D454" s="550" t="s">
        <v>291</v>
      </c>
      <c r="E454" s="588" t="n">
        <f aca="false">0.0305+0.0022+0.0097</f>
        <v>0.0424</v>
      </c>
      <c r="F454" s="589" t="n">
        <v>0.0462</v>
      </c>
      <c r="G454" s="553" t="n">
        <f aca="false">+C454/(1-F454)+E454</f>
        <v>2.81551805409939</v>
      </c>
      <c r="H454" s="550" t="s">
        <v>255</v>
      </c>
      <c r="I454" s="555" t="n">
        <f aca="false">E451</f>
        <v>0.1043</v>
      </c>
      <c r="J454" s="556" t="n">
        <v>0.0228</v>
      </c>
      <c r="K454" s="553" t="n">
        <f aca="false">+G454/(1-J454)+I454</f>
        <v>2.98550963374887</v>
      </c>
      <c r="L454" s="550" t="s">
        <v>256</v>
      </c>
      <c r="M454" s="555" t="n">
        <v>0</v>
      </c>
      <c r="N454" s="556" t="n">
        <v>0.0025</v>
      </c>
      <c r="O454" s="553" t="n">
        <f aca="false">+K454/(1-N454)+M454</f>
        <v>2.99299211403395</v>
      </c>
      <c r="P454" s="557" t="n">
        <f aca="false">Weightings!$C$9</f>
        <v>6.55445647922163</v>
      </c>
      <c r="Q454" s="553" t="n">
        <f aca="false">+P454/SUM($P$9:$P$19)*O454</f>
        <v>0.000246395196819695</v>
      </c>
      <c r="R454" s="553"/>
      <c r="S454" s="273"/>
    </row>
    <row r="455" customFormat="false" ht="12.75" hidden="false" customHeight="false" outlineLevel="0" collapsed="false">
      <c r="A455" s="266" t="s">
        <v>211</v>
      </c>
      <c r="B455" s="317" t="s">
        <v>292</v>
      </c>
      <c r="C455" s="586" t="n">
        <v>2.585</v>
      </c>
      <c r="D455" s="550" t="s">
        <v>269</v>
      </c>
      <c r="E455" s="555" t="n">
        <f aca="false">0.0366+0.0022</f>
        <v>0.0388</v>
      </c>
      <c r="F455" s="562" t="n">
        <v>0.00697</v>
      </c>
      <c r="G455" s="553" t="n">
        <f aca="false">+C455/(1-F455)+E455</f>
        <v>2.64194391307413</v>
      </c>
      <c r="H455" s="550" t="s">
        <v>270</v>
      </c>
      <c r="I455" s="588" t="n">
        <f aca="false">0.017+0.0022</f>
        <v>0.0192</v>
      </c>
      <c r="J455" s="589" t="n">
        <v>0.02902</v>
      </c>
      <c r="K455" s="553" t="n">
        <f aca="false">+G455/(1-J455)+I455</f>
        <v>2.7401045635071</v>
      </c>
      <c r="L455" s="561" t="s">
        <v>271</v>
      </c>
      <c r="M455" s="555" t="n">
        <f aca="false">E456</f>
        <v>0.0226</v>
      </c>
      <c r="N455" s="562" t="n">
        <f aca="false">F456</f>
        <v>0.02776</v>
      </c>
      <c r="O455" s="563" t="n">
        <f aca="false">+K455/(1-N455)+M455</f>
        <v>2.84094172992996</v>
      </c>
      <c r="P455" s="557" t="n">
        <f aca="false">Weightings!$C$13</f>
        <v>31370.607479626</v>
      </c>
      <c r="Q455" s="553" t="n">
        <f aca="false">+P455/SUM($P$9:$P$19)*O455</f>
        <v>1.11937405258062</v>
      </c>
      <c r="R455" s="563"/>
      <c r="S455" s="273"/>
    </row>
    <row r="456" customFormat="false" ht="12.75" hidden="false" customHeight="false" outlineLevel="0" collapsed="false">
      <c r="A456" s="266" t="s">
        <v>212</v>
      </c>
      <c r="B456" s="317" t="s">
        <v>293</v>
      </c>
      <c r="C456" s="586" t="n">
        <v>2.745</v>
      </c>
      <c r="D456" s="550" t="s">
        <v>272</v>
      </c>
      <c r="E456" s="555" t="n">
        <f aca="false">0.0134+0.0022+0.007</f>
        <v>0.0226</v>
      </c>
      <c r="F456" s="562" t="n">
        <v>0.02776</v>
      </c>
      <c r="G456" s="553" t="n">
        <f aca="false">+C456/(1-F456)+E456</f>
        <v>2.84597694396445</v>
      </c>
      <c r="H456" s="550"/>
      <c r="I456" s="555" t="n">
        <v>0</v>
      </c>
      <c r="J456" s="556" t="n">
        <v>0</v>
      </c>
      <c r="K456" s="553" t="n">
        <f aca="false">+G456/(1-J456)+I456</f>
        <v>2.84597694396445</v>
      </c>
      <c r="L456" s="561"/>
      <c r="M456" s="555" t="n">
        <v>0</v>
      </c>
      <c r="N456" s="556" t="n">
        <v>0</v>
      </c>
      <c r="O456" s="553" t="n">
        <f aca="false">+K456/(1-N456)+M456</f>
        <v>2.84597694396445</v>
      </c>
      <c r="P456" s="557" t="n">
        <f aca="false">Weightings!$C$14</f>
        <v>5614.32270168218</v>
      </c>
      <c r="Q456" s="553" t="n">
        <f aca="false">+P456/SUM($P$9:$P$19)*O456</f>
        <v>0.200686763807198</v>
      </c>
      <c r="R456" s="553"/>
      <c r="S456" s="564"/>
    </row>
    <row r="457" customFormat="false" ht="12.75" hidden="false" customHeight="false" outlineLevel="0" collapsed="false">
      <c r="A457" s="266" t="s">
        <v>213</v>
      </c>
      <c r="B457" s="317" t="s">
        <v>294</v>
      </c>
      <c r="C457" s="586" t="n">
        <v>2.535</v>
      </c>
      <c r="D457" s="550" t="s">
        <v>295</v>
      </c>
      <c r="E457" s="588" t="n">
        <f aca="false">0.0299+0.0022+0.0097</f>
        <v>0.0418</v>
      </c>
      <c r="F457" s="589" t="n">
        <v>0.0458</v>
      </c>
      <c r="G457" s="553" t="n">
        <f aca="false">+C457/(1-F457)+E457</f>
        <v>2.6984757493188</v>
      </c>
      <c r="H457" s="550" t="s">
        <v>274</v>
      </c>
      <c r="I457" s="555" t="n">
        <v>0</v>
      </c>
      <c r="J457" s="556" t="n">
        <v>0.01</v>
      </c>
      <c r="K457" s="553" t="n">
        <f aca="false">+G457/(1-J457)+I457</f>
        <v>2.72573308012</v>
      </c>
      <c r="L457" s="561"/>
      <c r="M457" s="555" t="n">
        <v>0</v>
      </c>
      <c r="N457" s="556" t="n">
        <v>0</v>
      </c>
      <c r="O457" s="553" t="n">
        <f aca="false">+K457/(1-N457)+M457</f>
        <v>2.72573308012</v>
      </c>
      <c r="P457" s="557" t="n">
        <f aca="false">Weightings!$C$15</f>
        <v>3366</v>
      </c>
      <c r="Q457" s="553" t="n">
        <f aca="false">+P457/SUM($P$9:$P$19)*O457</f>
        <v>0.115235798990015</v>
      </c>
      <c r="R457" s="553"/>
      <c r="S457" s="273"/>
    </row>
    <row r="458" customFormat="false" ht="12.75" hidden="false" customHeight="false" outlineLevel="0" collapsed="false">
      <c r="A458" s="266" t="s">
        <v>214</v>
      </c>
      <c r="B458" s="317" t="s">
        <v>289</v>
      </c>
      <c r="C458" s="586" t="n">
        <v>2.585</v>
      </c>
      <c r="D458" s="550" t="s">
        <v>296</v>
      </c>
      <c r="E458" s="588" t="n">
        <f aca="false">0.0277+0.0022+0.0097</f>
        <v>0.0396</v>
      </c>
      <c r="F458" s="589" t="n">
        <v>0.0423</v>
      </c>
      <c r="G458" s="553" t="n">
        <f aca="false">+C458/(1-F458)+E458</f>
        <v>2.73877510702725</v>
      </c>
      <c r="H458" s="550" t="s">
        <v>274</v>
      </c>
      <c r="I458" s="555" t="n">
        <v>0</v>
      </c>
      <c r="J458" s="556" t="n">
        <v>0.01</v>
      </c>
      <c r="K458" s="553" t="n">
        <f aca="false">+G458/(1-J458)+I458</f>
        <v>2.76643950204773</v>
      </c>
      <c r="M458" s="555" t="n">
        <v>0</v>
      </c>
      <c r="N458" s="556" t="n">
        <v>0</v>
      </c>
      <c r="O458" s="553" t="n">
        <f aca="false">+K458/(1-N458)+M458</f>
        <v>2.76643950204773</v>
      </c>
      <c r="P458" s="557" t="n">
        <f aca="false">Weightings!$C$16</f>
        <v>4950</v>
      </c>
      <c r="Q458" s="553" t="n">
        <f aca="false">+P458/SUM($P$9:$P$19)*O458</f>
        <v>0.17199521193308</v>
      </c>
      <c r="R458" s="553"/>
      <c r="S458" s="273"/>
    </row>
    <row r="459" customFormat="false" ht="12.75" hidden="false" customHeight="false" outlineLevel="0" collapsed="false">
      <c r="A459" s="266" t="s">
        <v>215</v>
      </c>
      <c r="B459" s="317" t="s">
        <v>144</v>
      </c>
      <c r="C459" s="586" t="n">
        <v>2.645</v>
      </c>
      <c r="D459" s="550" t="s">
        <v>297</v>
      </c>
      <c r="E459" s="588" t="n">
        <f aca="false">0.0251+0.0022+0.0097</f>
        <v>0.037</v>
      </c>
      <c r="F459" s="589" t="n">
        <v>0.0381</v>
      </c>
      <c r="G459" s="553" t="n">
        <f aca="false">+C459/(1-F459)+E459</f>
        <v>2.78676608795093</v>
      </c>
      <c r="H459" s="550" t="s">
        <v>274</v>
      </c>
      <c r="I459" s="555" t="n">
        <v>0</v>
      </c>
      <c r="J459" s="556" t="n">
        <v>0.01</v>
      </c>
      <c r="K459" s="553" t="n">
        <f aca="false">+G459/(1-J459)+I459</f>
        <v>2.81491524035448</v>
      </c>
      <c r="M459" s="555" t="n">
        <v>0</v>
      </c>
      <c r="N459" s="556" t="n">
        <v>0</v>
      </c>
      <c r="O459" s="553" t="n">
        <f aca="false">+K459/(1-N459)+M459</f>
        <v>2.81491524035448</v>
      </c>
      <c r="P459" s="557" t="n">
        <f aca="false">Weightings!$C$17</f>
        <v>11172.1727158949</v>
      </c>
      <c r="Q459" s="553" t="n">
        <f aca="false">+P459/SUM($P$9:$P$19)*O459</f>
        <v>0.394996224248887</v>
      </c>
      <c r="R459" s="553"/>
      <c r="S459" s="273"/>
    </row>
    <row r="460" customFormat="false" ht="12.75" hidden="false" customHeight="false" outlineLevel="0" collapsed="false">
      <c r="O460" s="403"/>
      <c r="P460" s="385"/>
      <c r="Q460" s="403"/>
      <c r="R460" s="403"/>
      <c r="S460" s="565"/>
    </row>
    <row r="461" customFormat="false" ht="13.5" hidden="false" customHeight="false" outlineLevel="0" collapsed="false">
      <c r="O461" s="566"/>
      <c r="P461" s="567"/>
      <c r="Q461" s="566"/>
      <c r="R461" s="566"/>
    </row>
    <row r="462" customFormat="false" ht="13.5" hidden="false" customHeight="false" outlineLevel="0" collapsed="false">
      <c r="O462" s="568" t="s">
        <v>277</v>
      </c>
      <c r="P462" s="569"/>
      <c r="Q462" s="570" t="n">
        <f aca="false">SUM(Q449:Q459)</f>
        <v>2.85046449868258</v>
      </c>
      <c r="R462" s="590" t="n">
        <f aca="false">B447</f>
        <v>37187</v>
      </c>
    </row>
    <row r="463" customFormat="false" ht="12.75" hidden="false" customHeight="false" outlineLevel="0" collapsed="false">
      <c r="O463" s="403"/>
      <c r="P463" s="403"/>
      <c r="Q463" s="403"/>
      <c r="R463" s="403"/>
      <c r="S463" s="403"/>
    </row>
    <row r="464" customFormat="false" ht="12.75" hidden="false" customHeight="false" outlineLevel="0" collapsed="false">
      <c r="D464" s="550"/>
      <c r="H464" s="553"/>
      <c r="O464" s="566" t="s">
        <v>298</v>
      </c>
      <c r="P464" s="571" t="n">
        <f aca="false">Weightings!C463</f>
        <v>0</v>
      </c>
      <c r="Q464" s="403" t="s">
        <v>279</v>
      </c>
      <c r="R464" s="572" t="s">
        <v>280</v>
      </c>
      <c r="S464" s="403"/>
    </row>
    <row r="465" customFormat="false" ht="13.5" hidden="false" customHeight="false" outlineLevel="0" collapsed="false">
      <c r="A465" s="591"/>
      <c r="B465" s="592"/>
      <c r="C465" s="591"/>
      <c r="D465" s="593"/>
      <c r="E465" s="591"/>
      <c r="F465" s="591"/>
      <c r="G465" s="591"/>
      <c r="H465" s="594"/>
      <c r="I465" s="591"/>
      <c r="J465" s="591"/>
      <c r="K465" s="591"/>
      <c r="L465" s="591"/>
      <c r="M465" s="591"/>
      <c r="N465" s="591"/>
      <c r="O465" s="591"/>
      <c r="P465" s="595"/>
      <c r="Q465" s="591"/>
      <c r="R465" s="591"/>
      <c r="S465" s="591"/>
    </row>
    <row r="466" customFormat="false" ht="14.25" hidden="false" customHeight="false" outlineLevel="0" collapsed="false">
      <c r="A466" s="267"/>
      <c r="B466" s="544"/>
      <c r="D466" s="269" t="s">
        <v>241</v>
      </c>
      <c r="H466" s="269" t="s">
        <v>242</v>
      </c>
      <c r="L466" s="269" t="s">
        <v>243</v>
      </c>
    </row>
    <row r="467" customFormat="false" ht="14.25" hidden="false" customHeight="false" outlineLevel="0" collapsed="false">
      <c r="A467" s="582" t="s">
        <v>284</v>
      </c>
      <c r="B467" s="583" t="n">
        <f aca="false">B447+1</f>
        <v>37188</v>
      </c>
      <c r="C467" s="584" t="n">
        <f aca="false">Q482</f>
        <v>3.1013905509279</v>
      </c>
      <c r="E467" s="585"/>
    </row>
    <row r="468" customFormat="false" ht="54" hidden="false" customHeight="true" outlineLevel="0" collapsed="false">
      <c r="A468" s="267" t="s">
        <v>244</v>
      </c>
      <c r="B468" s="315" t="s">
        <v>132</v>
      </c>
      <c r="C468" s="545" t="s">
        <v>286</v>
      </c>
      <c r="D468" s="546" t="s">
        <v>247</v>
      </c>
      <c r="E468" s="547" t="s">
        <v>248</v>
      </c>
      <c r="F468" s="547" t="s">
        <v>249</v>
      </c>
      <c r="G468" s="547" t="s">
        <v>250</v>
      </c>
      <c r="H468" s="546" t="s">
        <v>247</v>
      </c>
      <c r="I468" s="547" t="s">
        <v>248</v>
      </c>
      <c r="J468" s="547" t="s">
        <v>249</v>
      </c>
      <c r="K468" s="547" t="s">
        <v>250</v>
      </c>
      <c r="L468" s="546" t="s">
        <v>247</v>
      </c>
      <c r="M468" s="547" t="s">
        <v>248</v>
      </c>
      <c r="N468" s="547" t="s">
        <v>249</v>
      </c>
      <c r="O468" s="547" t="s">
        <v>250</v>
      </c>
      <c r="P468" s="547" t="s">
        <v>251</v>
      </c>
      <c r="Q468" s="547" t="s">
        <v>252</v>
      </c>
      <c r="R468" s="547"/>
      <c r="S468" s="547"/>
    </row>
    <row r="469" customFormat="false" ht="12.75" hidden="false" customHeight="false" outlineLevel="0" collapsed="false">
      <c r="A469" s="266" t="s">
        <v>253</v>
      </c>
      <c r="B469" s="317" t="s">
        <v>142</v>
      </c>
      <c r="C469" s="586" t="n">
        <v>2.785</v>
      </c>
      <c r="D469" s="550" t="s">
        <v>254</v>
      </c>
      <c r="E469" s="555" t="n">
        <v>0.0522</v>
      </c>
      <c r="F469" s="562" t="n">
        <v>0.0506</v>
      </c>
      <c r="G469" s="553" t="n">
        <f aca="false">+C469/(1-F469)+E469</f>
        <v>2.98563164103644</v>
      </c>
      <c r="H469" s="550" t="s">
        <v>255</v>
      </c>
      <c r="I469" s="555" t="n">
        <f aca="false">E471</f>
        <v>0.1043</v>
      </c>
      <c r="J469" s="556" t="n">
        <v>0.0228</v>
      </c>
      <c r="K469" s="553" t="n">
        <f aca="false">+G469/(1-J469)+I469</f>
        <v>3.15959230560422</v>
      </c>
      <c r="L469" s="550" t="s">
        <v>256</v>
      </c>
      <c r="M469" s="555" t="n">
        <v>0</v>
      </c>
      <c r="N469" s="556" t="n">
        <v>0.0025</v>
      </c>
      <c r="O469" s="553" t="n">
        <f aca="false">+K469/(1-N469)+M469</f>
        <v>3.1675110833125</v>
      </c>
      <c r="P469" s="557" t="n">
        <f aca="false">Weightings!$C$4</f>
        <v>1071.40153987277</v>
      </c>
      <c r="Q469" s="553" t="n">
        <f aca="false">+P469/SUM($P$9:$P$19)*O469</f>
        <v>0.04262460723672</v>
      </c>
      <c r="R469" s="553"/>
      <c r="S469" s="558"/>
    </row>
    <row r="470" customFormat="false" ht="12.75" hidden="false" customHeight="false" outlineLevel="0" collapsed="false">
      <c r="A470" s="266" t="s">
        <v>257</v>
      </c>
      <c r="B470" s="317" t="s">
        <v>143</v>
      </c>
      <c r="C470" s="586" t="n">
        <v>2.78</v>
      </c>
      <c r="D470" s="550" t="s">
        <v>258</v>
      </c>
      <c r="E470" s="555" t="n">
        <v>0.0522</v>
      </c>
      <c r="F470" s="562" t="n">
        <v>0.058</v>
      </c>
      <c r="G470" s="553" t="n">
        <f aca="false">+C470/(1-F470)+E470</f>
        <v>3.00336772823779</v>
      </c>
      <c r="H470" s="550" t="s">
        <v>255</v>
      </c>
      <c r="I470" s="555" t="n">
        <f aca="false">E471</f>
        <v>0.1043</v>
      </c>
      <c r="J470" s="556" t="n">
        <v>0.0228</v>
      </c>
      <c r="K470" s="553" t="n">
        <f aca="false">+G470/(1-J470)+I470</f>
        <v>3.17774221064039</v>
      </c>
      <c r="L470" s="550" t="s">
        <v>256</v>
      </c>
      <c r="M470" s="555" t="n">
        <v>0</v>
      </c>
      <c r="N470" s="556" t="n">
        <v>0.0025</v>
      </c>
      <c r="O470" s="553" t="n">
        <f aca="false">+K470/(1-N470)+M470</f>
        <v>3.18570647683247</v>
      </c>
      <c r="P470" s="557" t="n">
        <f aca="false">Weightings!$C$5</f>
        <v>1309.88291792445</v>
      </c>
      <c r="Q470" s="553" t="n">
        <f aca="false">+P470/SUM($P$9:$P$19)*O470</f>
        <v>0.0524116965465475</v>
      </c>
      <c r="R470" s="553"/>
      <c r="S470" s="273"/>
    </row>
    <row r="471" customFormat="false" ht="12.75" hidden="false" customHeight="false" outlineLevel="0" collapsed="false">
      <c r="A471" s="266" t="s">
        <v>259</v>
      </c>
      <c r="B471" s="317" t="s">
        <v>287</v>
      </c>
      <c r="C471" s="586" t="n">
        <v>2.99</v>
      </c>
      <c r="D471" s="550" t="s">
        <v>260</v>
      </c>
      <c r="E471" s="555" t="n">
        <f aca="false">0.0951+0.0022+0.007</f>
        <v>0.1043</v>
      </c>
      <c r="F471" s="562" t="n">
        <v>0.0228</v>
      </c>
      <c r="G471" s="553" t="n">
        <f aca="false">+C471/(1-F471)+E471</f>
        <v>3.16406258698322</v>
      </c>
      <c r="H471" s="550" t="s">
        <v>256</v>
      </c>
      <c r="I471" s="555" t="n">
        <v>0</v>
      </c>
      <c r="J471" s="556" t="n">
        <v>0.0025</v>
      </c>
      <c r="K471" s="553" t="n">
        <f aca="false">+G471/(1-J471)+I471</f>
        <v>3.17199256840423</v>
      </c>
      <c r="L471" s="550"/>
      <c r="M471" s="555" t="n">
        <v>0</v>
      </c>
      <c r="N471" s="556" t="n">
        <v>0</v>
      </c>
      <c r="O471" s="553" t="n">
        <f aca="false">+K471/(1-N471)+M471</f>
        <v>3.17199256840423</v>
      </c>
      <c r="P471" s="557" t="n">
        <f aca="false">Weightings!$C$6</f>
        <v>19813.4520237259</v>
      </c>
      <c r="Q471" s="553" t="n">
        <f aca="false">+P471/SUM($P$9:$P$19)*O471</f>
        <v>0.789373040080786</v>
      </c>
      <c r="R471" s="553"/>
      <c r="S471" s="273"/>
    </row>
    <row r="472" customFormat="false" ht="12.75" hidden="false" customHeight="false" outlineLevel="0" collapsed="false">
      <c r="A472" s="266" t="s">
        <v>261</v>
      </c>
      <c r="B472" s="317" t="s">
        <v>288</v>
      </c>
      <c r="C472" s="586" t="n">
        <v>3.015</v>
      </c>
      <c r="D472" s="550" t="s">
        <v>262</v>
      </c>
      <c r="E472" s="555" t="n">
        <f aca="false">0.0951+0.0022+0.007</f>
        <v>0.1043</v>
      </c>
      <c r="F472" s="562" t="n">
        <v>0.0228</v>
      </c>
      <c r="G472" s="553" t="n">
        <f aca="false">+C472/(1-F472)+E472</f>
        <v>3.18964588620549</v>
      </c>
      <c r="H472" s="550" t="s">
        <v>256</v>
      </c>
      <c r="I472" s="555" t="n">
        <v>0</v>
      </c>
      <c r="J472" s="556" t="n">
        <v>0.0025</v>
      </c>
      <c r="K472" s="553" t="n">
        <f aca="false">+G472/(1-J472)+I472</f>
        <v>3.19763998617091</v>
      </c>
      <c r="L472" s="550"/>
      <c r="M472" s="555" t="n">
        <v>0</v>
      </c>
      <c r="N472" s="556" t="n">
        <v>0</v>
      </c>
      <c r="O472" s="553" t="n">
        <f aca="false">+K472/(1-N472)+M472</f>
        <v>3.19763998617091</v>
      </c>
      <c r="P472" s="557" t="n">
        <f aca="false">Weightings!$C$7</f>
        <v>669.603363940486</v>
      </c>
      <c r="Q472" s="553" t="n">
        <f aca="false">+P472/SUM($P$9:$P$19)*O472</f>
        <v>0.0268928713135941</v>
      </c>
      <c r="R472" s="553"/>
      <c r="S472" s="558"/>
    </row>
    <row r="473" customFormat="false" ht="12.75" hidden="false" customHeight="false" outlineLevel="0" collapsed="false">
      <c r="A473" s="266" t="s">
        <v>206</v>
      </c>
      <c r="B473" s="317" t="s">
        <v>289</v>
      </c>
      <c r="C473" s="587" t="n">
        <f aca="false">C478</f>
        <v>2.805</v>
      </c>
      <c r="D473" s="550" t="s">
        <v>290</v>
      </c>
      <c r="E473" s="588" t="n">
        <f aca="false">0.0331+0.0022+0.0097</f>
        <v>0.045</v>
      </c>
      <c r="F473" s="589" t="n">
        <v>0.0504</v>
      </c>
      <c r="G473" s="553" t="n">
        <f aca="false">+C473/(1-F473)+E473</f>
        <v>2.99887531592249</v>
      </c>
      <c r="H473" s="550" t="s">
        <v>255</v>
      </c>
      <c r="I473" s="555" t="n">
        <f aca="false">E471</f>
        <v>0.1043</v>
      </c>
      <c r="J473" s="556" t="n">
        <v>0.0228</v>
      </c>
      <c r="K473" s="553" t="n">
        <f aca="false">+G473/(1-J473)+I473</f>
        <v>3.17314498150071</v>
      </c>
      <c r="L473" s="550" t="s">
        <v>256</v>
      </c>
      <c r="M473" s="555" t="n">
        <v>0</v>
      </c>
      <c r="N473" s="556" t="n">
        <v>0.0025</v>
      </c>
      <c r="O473" s="553" t="n">
        <f aca="false">+K473/(1-N473)+M473</f>
        <v>3.18109772581525</v>
      </c>
      <c r="P473" s="557" t="n">
        <f aca="false">Weightings!$C$8</f>
        <v>273.774605247488</v>
      </c>
      <c r="Q473" s="553" t="n">
        <f aca="false">+P473/SUM($P$9:$P$19)*O473</f>
        <v>0.0109385600023875</v>
      </c>
      <c r="R473" s="553"/>
      <c r="S473" s="273"/>
    </row>
    <row r="474" customFormat="false" ht="12.75" hidden="false" customHeight="false" outlineLevel="0" collapsed="false">
      <c r="A474" s="266" t="s">
        <v>207</v>
      </c>
      <c r="B474" s="317" t="s">
        <v>144</v>
      </c>
      <c r="C474" s="587" t="n">
        <f aca="false">C479</f>
        <v>2.97</v>
      </c>
      <c r="D474" s="550" t="s">
        <v>291</v>
      </c>
      <c r="E474" s="588" t="n">
        <f aca="false">0.0305+0.0022+0.0097</f>
        <v>0.0424</v>
      </c>
      <c r="F474" s="589" t="n">
        <v>0.0462</v>
      </c>
      <c r="G474" s="553" t="n">
        <f aca="false">+C474/(1-F474)+E474</f>
        <v>3.15626034808136</v>
      </c>
      <c r="H474" s="550" t="s">
        <v>255</v>
      </c>
      <c r="I474" s="555" t="n">
        <f aca="false">E471</f>
        <v>0.1043</v>
      </c>
      <c r="J474" s="556" t="n">
        <v>0.0228</v>
      </c>
      <c r="K474" s="553" t="n">
        <f aca="false">+G474/(1-J474)+I474</f>
        <v>3.33420211633377</v>
      </c>
      <c r="L474" s="550" t="s">
        <v>256</v>
      </c>
      <c r="M474" s="555" t="n">
        <v>0</v>
      </c>
      <c r="N474" s="556" t="n">
        <v>0.0025</v>
      </c>
      <c r="O474" s="553" t="n">
        <f aca="false">+K474/(1-N474)+M474</f>
        <v>3.34255851261531</v>
      </c>
      <c r="P474" s="557" t="n">
        <f aca="false">Weightings!$C$9</f>
        <v>6.55445647922163</v>
      </c>
      <c r="Q474" s="553" t="n">
        <f aca="false">+P474/SUM($P$9:$P$19)*O474</f>
        <v>0.000275172914333931</v>
      </c>
      <c r="R474" s="553"/>
      <c r="S474" s="273"/>
    </row>
    <row r="475" customFormat="false" ht="12.75" hidden="false" customHeight="false" outlineLevel="0" collapsed="false">
      <c r="A475" s="266" t="s">
        <v>211</v>
      </c>
      <c r="B475" s="317" t="s">
        <v>292</v>
      </c>
      <c r="C475" s="586" t="n">
        <v>2.8</v>
      </c>
      <c r="D475" s="550" t="s">
        <v>269</v>
      </c>
      <c r="E475" s="555" t="n">
        <f aca="false">0.0366+0.0022</f>
        <v>0.0388</v>
      </c>
      <c r="F475" s="562" t="n">
        <v>0.00697</v>
      </c>
      <c r="G475" s="553" t="n">
        <f aca="false">+C475/(1-F475)+E475</f>
        <v>2.85845298127952</v>
      </c>
      <c r="H475" s="550" t="s">
        <v>270</v>
      </c>
      <c r="I475" s="588" t="n">
        <f aca="false">0.017+0.0022</f>
        <v>0.0192</v>
      </c>
      <c r="J475" s="589" t="n">
        <v>0.02902</v>
      </c>
      <c r="K475" s="553" t="n">
        <f aca="false">+G475/(1-J475)+I475</f>
        <v>2.96308450975254</v>
      </c>
      <c r="L475" s="561" t="s">
        <v>271</v>
      </c>
      <c r="M475" s="555" t="n">
        <f aca="false">E476</f>
        <v>0.0226</v>
      </c>
      <c r="N475" s="562" t="n">
        <f aca="false">F476</f>
        <v>0.02776</v>
      </c>
      <c r="O475" s="563" t="n">
        <f aca="false">+K475/(1-N475)+M475</f>
        <v>3.07028833801586</v>
      </c>
      <c r="P475" s="557" t="n">
        <f aca="false">Weightings!$C$13</f>
        <v>31370.607479626</v>
      </c>
      <c r="Q475" s="553" t="n">
        <f aca="false">+P475/SUM($P$9:$P$19)*O475</f>
        <v>1.20974008840391</v>
      </c>
      <c r="R475" s="563"/>
      <c r="S475" s="273"/>
    </row>
    <row r="476" customFormat="false" ht="12.75" hidden="false" customHeight="false" outlineLevel="0" collapsed="false">
      <c r="A476" s="266" t="s">
        <v>212</v>
      </c>
      <c r="B476" s="317" t="s">
        <v>293</v>
      </c>
      <c r="C476" s="586" t="n">
        <v>2.945</v>
      </c>
      <c r="D476" s="550" t="s">
        <v>272</v>
      </c>
      <c r="E476" s="555" t="n">
        <f aca="false">0.0134+0.0022+0.007</f>
        <v>0.0226</v>
      </c>
      <c r="F476" s="562" t="n">
        <v>0.02776</v>
      </c>
      <c r="G476" s="553" t="n">
        <f aca="false">+C476/(1-F476)+E476</f>
        <v>3.05168746811487</v>
      </c>
      <c r="H476" s="550"/>
      <c r="I476" s="555" t="n">
        <v>0</v>
      </c>
      <c r="J476" s="556" t="n">
        <v>0</v>
      </c>
      <c r="K476" s="553" t="n">
        <f aca="false">+G476/(1-J476)+I476</f>
        <v>3.05168746811487</v>
      </c>
      <c r="L476" s="561"/>
      <c r="M476" s="555" t="n">
        <v>0</v>
      </c>
      <c r="N476" s="556" t="n">
        <v>0</v>
      </c>
      <c r="O476" s="553" t="n">
        <f aca="false">+K476/(1-N476)+M476</f>
        <v>3.05168746811487</v>
      </c>
      <c r="P476" s="557" t="n">
        <f aca="false">Weightings!$C$14</f>
        <v>5614.32270168218</v>
      </c>
      <c r="Q476" s="553" t="n">
        <f aca="false">+P476/SUM($P$9:$P$19)*O476</f>
        <v>0.215192636548149</v>
      </c>
      <c r="R476" s="553"/>
      <c r="S476" s="564"/>
    </row>
    <row r="477" customFormat="false" ht="12.75" hidden="false" customHeight="false" outlineLevel="0" collapsed="false">
      <c r="A477" s="266" t="s">
        <v>213</v>
      </c>
      <c r="B477" s="317" t="s">
        <v>294</v>
      </c>
      <c r="C477" s="586" t="n">
        <v>2.745</v>
      </c>
      <c r="D477" s="550" t="s">
        <v>295</v>
      </c>
      <c r="E477" s="588" t="n">
        <f aca="false">0.0299+0.0022+0.0097</f>
        <v>0.0418</v>
      </c>
      <c r="F477" s="589" t="n">
        <v>0.0458</v>
      </c>
      <c r="G477" s="553" t="n">
        <f aca="false">+C477/(1-F477)+E477</f>
        <v>2.91855539719136</v>
      </c>
      <c r="H477" s="550" t="s">
        <v>274</v>
      </c>
      <c r="I477" s="555" t="n">
        <v>0</v>
      </c>
      <c r="J477" s="556" t="n">
        <v>0.01</v>
      </c>
      <c r="K477" s="553" t="n">
        <f aca="false">+G477/(1-J477)+I477</f>
        <v>2.94803575473875</v>
      </c>
      <c r="L477" s="561"/>
      <c r="M477" s="555" t="n">
        <v>0</v>
      </c>
      <c r="N477" s="556" t="n">
        <v>0</v>
      </c>
      <c r="O477" s="553" t="n">
        <f aca="false">+K477/(1-N477)+M477</f>
        <v>2.94803575473875</v>
      </c>
      <c r="P477" s="557" t="n">
        <f aca="false">Weightings!$C$15</f>
        <v>3366</v>
      </c>
      <c r="Q477" s="553" t="n">
        <f aca="false">+P477/SUM($P$9:$P$19)*O477</f>
        <v>0.124634087661105</v>
      </c>
      <c r="R477" s="553"/>
      <c r="S477" s="273"/>
    </row>
    <row r="478" customFormat="false" ht="12.75" hidden="false" customHeight="false" outlineLevel="0" collapsed="false">
      <c r="A478" s="266" t="s">
        <v>214</v>
      </c>
      <c r="B478" s="317" t="s">
        <v>289</v>
      </c>
      <c r="C478" s="586" t="n">
        <v>2.805</v>
      </c>
      <c r="D478" s="550" t="s">
        <v>296</v>
      </c>
      <c r="E478" s="588" t="n">
        <f aca="false">0.0277+0.0022+0.0097</f>
        <v>0.0396</v>
      </c>
      <c r="F478" s="589" t="n">
        <v>0.0423</v>
      </c>
      <c r="G478" s="553" t="n">
        <f aca="false">+C478/(1-F478)+E478</f>
        <v>2.96849213741255</v>
      </c>
      <c r="H478" s="550" t="s">
        <v>274</v>
      </c>
      <c r="I478" s="555" t="n">
        <v>0</v>
      </c>
      <c r="J478" s="556" t="n">
        <v>0.01</v>
      </c>
      <c r="K478" s="553" t="n">
        <f aca="false">+G478/(1-J478)+I478</f>
        <v>2.99847690647732</v>
      </c>
      <c r="M478" s="555" t="n">
        <v>0</v>
      </c>
      <c r="N478" s="556" t="n">
        <v>0</v>
      </c>
      <c r="O478" s="553" t="n">
        <f aca="false">+K478/(1-N478)+M478</f>
        <v>2.99847690647732</v>
      </c>
      <c r="P478" s="557" t="n">
        <f aca="false">Weightings!$C$16</f>
        <v>4950</v>
      </c>
      <c r="Q478" s="553" t="n">
        <f aca="false">+P478/SUM($P$9:$P$19)*O478</f>
        <v>0.186421452782276</v>
      </c>
      <c r="R478" s="553"/>
      <c r="S478" s="273"/>
    </row>
    <row r="479" customFormat="false" ht="12.75" hidden="false" customHeight="false" outlineLevel="0" collapsed="false">
      <c r="A479" s="266" t="s">
        <v>215</v>
      </c>
      <c r="B479" s="317" t="s">
        <v>144</v>
      </c>
      <c r="C479" s="586" t="n">
        <v>2.97</v>
      </c>
      <c r="D479" s="550" t="s">
        <v>297</v>
      </c>
      <c r="E479" s="588" t="n">
        <f aca="false">0.0251+0.0022+0.0097</f>
        <v>0.037</v>
      </c>
      <c r="F479" s="589" t="n">
        <v>0.0381</v>
      </c>
      <c r="G479" s="553" t="n">
        <f aca="false">+C479/(1-F479)+E479</f>
        <v>3.12463904771806</v>
      </c>
      <c r="H479" s="550" t="s">
        <v>274</v>
      </c>
      <c r="I479" s="555" t="n">
        <v>0</v>
      </c>
      <c r="J479" s="556" t="n">
        <v>0.01</v>
      </c>
      <c r="K479" s="553" t="n">
        <f aca="false">+G479/(1-J479)+I479</f>
        <v>3.15620105830107</v>
      </c>
      <c r="M479" s="555" t="n">
        <v>0</v>
      </c>
      <c r="N479" s="556" t="n">
        <v>0</v>
      </c>
      <c r="O479" s="553" t="n">
        <f aca="false">+K479/(1-N479)+M479</f>
        <v>3.15620105830107</v>
      </c>
      <c r="P479" s="557" t="n">
        <f aca="false">Weightings!$C$17</f>
        <v>11172.1727158949</v>
      </c>
      <c r="Q479" s="553" t="n">
        <f aca="false">+P479/SUM($P$9:$P$19)*O479</f>
        <v>0.442886337438094</v>
      </c>
      <c r="R479" s="553"/>
      <c r="S479" s="273"/>
    </row>
    <row r="480" customFormat="false" ht="12.75" hidden="false" customHeight="false" outlineLevel="0" collapsed="false">
      <c r="O480" s="403"/>
      <c r="P480" s="385"/>
      <c r="Q480" s="403"/>
      <c r="R480" s="403"/>
      <c r="S480" s="565"/>
    </row>
    <row r="481" customFormat="false" ht="13.5" hidden="false" customHeight="false" outlineLevel="0" collapsed="false">
      <c r="O481" s="566"/>
      <c r="P481" s="567"/>
      <c r="Q481" s="566"/>
      <c r="R481" s="566"/>
    </row>
    <row r="482" customFormat="false" ht="13.5" hidden="false" customHeight="false" outlineLevel="0" collapsed="false">
      <c r="O482" s="568" t="s">
        <v>277</v>
      </c>
      <c r="P482" s="569"/>
      <c r="Q482" s="570" t="n">
        <f aca="false">SUM(Q469:Q479)</f>
        <v>3.1013905509279</v>
      </c>
      <c r="R482" s="590" t="n">
        <f aca="false">B467</f>
        <v>37188</v>
      </c>
    </row>
    <row r="483" customFormat="false" ht="12.75" hidden="false" customHeight="false" outlineLevel="0" collapsed="false">
      <c r="O483" s="403"/>
      <c r="P483" s="403"/>
      <c r="Q483" s="403"/>
      <c r="R483" s="403"/>
      <c r="S483" s="403"/>
    </row>
    <row r="484" customFormat="false" ht="12.75" hidden="false" customHeight="false" outlineLevel="0" collapsed="false">
      <c r="D484" s="550"/>
      <c r="H484" s="553"/>
      <c r="O484" s="566" t="s">
        <v>298</v>
      </c>
      <c r="P484" s="571" t="n">
        <f aca="false">Weightings!C483</f>
        <v>0</v>
      </c>
      <c r="Q484" s="403" t="s">
        <v>279</v>
      </c>
      <c r="R484" s="572" t="s">
        <v>280</v>
      </c>
      <c r="S484" s="403"/>
    </row>
    <row r="485" customFormat="false" ht="13.5" hidden="false" customHeight="false" outlineLevel="0" collapsed="false">
      <c r="A485" s="591"/>
      <c r="B485" s="592"/>
      <c r="C485" s="591"/>
      <c r="D485" s="593"/>
      <c r="E485" s="591"/>
      <c r="F485" s="591"/>
      <c r="G485" s="591"/>
      <c r="H485" s="594"/>
      <c r="I485" s="591"/>
      <c r="J485" s="591"/>
      <c r="K485" s="591"/>
      <c r="L485" s="591"/>
      <c r="M485" s="591"/>
      <c r="N485" s="591"/>
      <c r="O485" s="591"/>
      <c r="P485" s="595"/>
      <c r="Q485" s="591"/>
      <c r="R485" s="591"/>
      <c r="S485" s="591"/>
    </row>
    <row r="486" customFormat="false" ht="14.25" hidden="false" customHeight="false" outlineLevel="0" collapsed="false">
      <c r="A486" s="267"/>
      <c r="B486" s="544"/>
      <c r="D486" s="269" t="s">
        <v>241</v>
      </c>
      <c r="H486" s="269" t="s">
        <v>242</v>
      </c>
      <c r="L486" s="269" t="s">
        <v>243</v>
      </c>
    </row>
    <row r="487" customFormat="false" ht="14.25" hidden="false" customHeight="false" outlineLevel="0" collapsed="false">
      <c r="A487" s="582" t="s">
        <v>284</v>
      </c>
      <c r="B487" s="583" t="n">
        <f aca="false">B467+1</f>
        <v>37189</v>
      </c>
      <c r="C487" s="584" t="n">
        <f aca="false">Q502</f>
        <v>2.96881401617452</v>
      </c>
      <c r="E487" s="585"/>
    </row>
    <row r="488" customFormat="false" ht="54" hidden="false" customHeight="true" outlineLevel="0" collapsed="false">
      <c r="A488" s="267" t="s">
        <v>244</v>
      </c>
      <c r="B488" s="315" t="s">
        <v>132</v>
      </c>
      <c r="C488" s="545" t="s">
        <v>286</v>
      </c>
      <c r="D488" s="546" t="s">
        <v>247</v>
      </c>
      <c r="E488" s="547" t="s">
        <v>248</v>
      </c>
      <c r="F488" s="547" t="s">
        <v>249</v>
      </c>
      <c r="G488" s="547" t="s">
        <v>250</v>
      </c>
      <c r="H488" s="546" t="s">
        <v>247</v>
      </c>
      <c r="I488" s="547" t="s">
        <v>248</v>
      </c>
      <c r="J488" s="547" t="s">
        <v>249</v>
      </c>
      <c r="K488" s="547" t="s">
        <v>250</v>
      </c>
      <c r="L488" s="546" t="s">
        <v>247</v>
      </c>
      <c r="M488" s="547" t="s">
        <v>248</v>
      </c>
      <c r="N488" s="547" t="s">
        <v>249</v>
      </c>
      <c r="O488" s="547" t="s">
        <v>250</v>
      </c>
      <c r="P488" s="547" t="s">
        <v>251</v>
      </c>
      <c r="Q488" s="547" t="s">
        <v>252</v>
      </c>
      <c r="R488" s="547"/>
      <c r="S488" s="547"/>
    </row>
    <row r="489" customFormat="false" ht="12.75" hidden="false" customHeight="false" outlineLevel="0" collapsed="false">
      <c r="A489" s="266" t="s">
        <v>253</v>
      </c>
      <c r="B489" s="317" t="s">
        <v>142</v>
      </c>
      <c r="C489" s="586" t="n">
        <v>2.635</v>
      </c>
      <c r="D489" s="550" t="s">
        <v>254</v>
      </c>
      <c r="E489" s="555" t="n">
        <v>0.0522</v>
      </c>
      <c r="F489" s="562" t="n">
        <v>0.0506</v>
      </c>
      <c r="G489" s="553" t="n">
        <f aca="false">+C489/(1-F489)+E489</f>
        <v>2.8276371181799</v>
      </c>
      <c r="H489" s="550" t="s">
        <v>255</v>
      </c>
      <c r="I489" s="555" t="n">
        <f aca="false">E491</f>
        <v>0.1043</v>
      </c>
      <c r="J489" s="556" t="n">
        <v>0.0228</v>
      </c>
      <c r="K489" s="553" t="n">
        <f aca="false">+G489/(1-J489)+I489</f>
        <v>2.99791145945549</v>
      </c>
      <c r="L489" s="550" t="s">
        <v>256</v>
      </c>
      <c r="M489" s="555" t="n">
        <v>0</v>
      </c>
      <c r="N489" s="556" t="n">
        <v>0.0025</v>
      </c>
      <c r="O489" s="553" t="n">
        <f aca="false">+K489/(1-N489)+M489</f>
        <v>3.00542502201051</v>
      </c>
      <c r="P489" s="557" t="n">
        <f aca="false">Weightings!$C$4</f>
        <v>1071.40153987277</v>
      </c>
      <c r="Q489" s="553" t="n">
        <f aca="false">+P489/SUM($P$9:$P$19)*O489</f>
        <v>0.0404434452708023</v>
      </c>
      <c r="R489" s="553"/>
      <c r="S489" s="558"/>
    </row>
    <row r="490" customFormat="false" ht="12.75" hidden="false" customHeight="false" outlineLevel="0" collapsed="false">
      <c r="A490" s="266" t="s">
        <v>257</v>
      </c>
      <c r="B490" s="317" t="s">
        <v>143</v>
      </c>
      <c r="C490" s="586" t="n">
        <v>2.635</v>
      </c>
      <c r="D490" s="550" t="s">
        <v>258</v>
      </c>
      <c r="E490" s="555" t="n">
        <v>0.0522</v>
      </c>
      <c r="F490" s="562" t="n">
        <v>0.058</v>
      </c>
      <c r="G490" s="553" t="n">
        <f aca="false">+C490/(1-F490)+E490</f>
        <v>2.84943991507431</v>
      </c>
      <c r="H490" s="550" t="s">
        <v>255</v>
      </c>
      <c r="I490" s="555" t="n">
        <f aca="false">E491</f>
        <v>0.1043</v>
      </c>
      <c r="J490" s="556" t="n">
        <v>0.0228</v>
      </c>
      <c r="K490" s="553" t="n">
        <f aca="false">+G490/(1-J490)+I490</f>
        <v>3.02022295852877</v>
      </c>
      <c r="L490" s="550" t="s">
        <v>256</v>
      </c>
      <c r="M490" s="555" t="n">
        <v>0</v>
      </c>
      <c r="N490" s="556" t="n">
        <v>0.0025</v>
      </c>
      <c r="O490" s="553" t="n">
        <f aca="false">+K490/(1-N490)+M490</f>
        <v>3.02779243962784</v>
      </c>
      <c r="P490" s="557" t="n">
        <f aca="false">Weightings!$C$5</f>
        <v>1309.88291792445</v>
      </c>
      <c r="Q490" s="553" t="n">
        <f aca="false">+P490/SUM($P$9:$P$19)*O490</f>
        <v>0.0498136723222194</v>
      </c>
      <c r="R490" s="553"/>
      <c r="S490" s="273"/>
    </row>
    <row r="491" customFormat="false" ht="12.75" hidden="false" customHeight="false" outlineLevel="0" collapsed="false">
      <c r="A491" s="266" t="s">
        <v>259</v>
      </c>
      <c r="B491" s="317" t="s">
        <v>287</v>
      </c>
      <c r="C491" s="586" t="n">
        <v>2.945</v>
      </c>
      <c r="D491" s="550" t="s">
        <v>260</v>
      </c>
      <c r="E491" s="555" t="n">
        <f aca="false">0.0951+0.0022+0.007</f>
        <v>0.1043</v>
      </c>
      <c r="F491" s="562" t="n">
        <v>0.0228</v>
      </c>
      <c r="G491" s="553" t="n">
        <f aca="false">+C491/(1-F491)+E491</f>
        <v>3.11801264838314</v>
      </c>
      <c r="H491" s="550" t="s">
        <v>256</v>
      </c>
      <c r="I491" s="555" t="n">
        <v>0</v>
      </c>
      <c r="J491" s="556" t="n">
        <v>0.0025</v>
      </c>
      <c r="K491" s="553" t="n">
        <f aca="false">+G491/(1-J491)+I491</f>
        <v>3.1258272164242</v>
      </c>
      <c r="L491" s="550"/>
      <c r="M491" s="555" t="n">
        <v>0</v>
      </c>
      <c r="N491" s="556" t="n">
        <v>0</v>
      </c>
      <c r="O491" s="553" t="n">
        <f aca="false">+K491/(1-N491)+M491</f>
        <v>3.1258272164242</v>
      </c>
      <c r="P491" s="557" t="n">
        <f aca="false">Weightings!$C$6</f>
        <v>19813.4520237259</v>
      </c>
      <c r="Q491" s="553" t="n">
        <f aca="false">+P491/SUM($P$9:$P$19)*O491</f>
        <v>0.77788446201731</v>
      </c>
      <c r="R491" s="553"/>
      <c r="S491" s="273"/>
    </row>
    <row r="492" customFormat="false" ht="12.75" hidden="false" customHeight="false" outlineLevel="0" collapsed="false">
      <c r="A492" s="266" t="s">
        <v>261</v>
      </c>
      <c r="B492" s="317" t="s">
        <v>288</v>
      </c>
      <c r="C492" s="586" t="n">
        <v>2.99</v>
      </c>
      <c r="D492" s="550" t="s">
        <v>262</v>
      </c>
      <c r="E492" s="555" t="n">
        <f aca="false">0.0951+0.0022+0.007</f>
        <v>0.1043</v>
      </c>
      <c r="F492" s="562" t="n">
        <v>0.0228</v>
      </c>
      <c r="G492" s="553" t="n">
        <f aca="false">+C492/(1-F492)+E492</f>
        <v>3.16406258698322</v>
      </c>
      <c r="H492" s="550" t="s">
        <v>256</v>
      </c>
      <c r="I492" s="555" t="n">
        <v>0</v>
      </c>
      <c r="J492" s="556" t="n">
        <v>0.0025</v>
      </c>
      <c r="K492" s="553" t="n">
        <f aca="false">+G492/(1-J492)+I492</f>
        <v>3.17199256840423</v>
      </c>
      <c r="L492" s="550"/>
      <c r="M492" s="555" t="n">
        <v>0</v>
      </c>
      <c r="N492" s="556" t="n">
        <v>0</v>
      </c>
      <c r="O492" s="553" t="n">
        <f aca="false">+K492/(1-N492)+M492</f>
        <v>3.17199256840423</v>
      </c>
      <c r="P492" s="557" t="n">
        <f aca="false">Weightings!$C$7</f>
        <v>669.603363940486</v>
      </c>
      <c r="Q492" s="553" t="n">
        <f aca="false">+P492/SUM($P$9:$P$19)*O492</f>
        <v>0.0266771707630292</v>
      </c>
      <c r="R492" s="553"/>
      <c r="S492" s="558"/>
    </row>
    <row r="493" customFormat="false" ht="12.75" hidden="false" customHeight="false" outlineLevel="0" collapsed="false">
      <c r="A493" s="266" t="s">
        <v>206</v>
      </c>
      <c r="B493" s="317" t="s">
        <v>289</v>
      </c>
      <c r="C493" s="587" t="n">
        <f aca="false">C498</f>
        <v>2.625</v>
      </c>
      <c r="D493" s="550" t="s">
        <v>290</v>
      </c>
      <c r="E493" s="588" t="n">
        <f aca="false">0.0331+0.0022+0.0097</f>
        <v>0.045</v>
      </c>
      <c r="F493" s="589" t="n">
        <v>0.0504</v>
      </c>
      <c r="G493" s="553" t="n">
        <f aca="false">+C493/(1-F493)+E493</f>
        <v>2.80932181971356</v>
      </c>
      <c r="H493" s="550" t="s">
        <v>255</v>
      </c>
      <c r="I493" s="555" t="n">
        <f aca="false">E491</f>
        <v>0.1043</v>
      </c>
      <c r="J493" s="556" t="n">
        <v>0.0228</v>
      </c>
      <c r="K493" s="553" t="n">
        <f aca="false">+G493/(1-J493)+I493</f>
        <v>2.97916882901511</v>
      </c>
      <c r="L493" s="550" t="s">
        <v>256</v>
      </c>
      <c r="M493" s="555" t="n">
        <v>0</v>
      </c>
      <c r="N493" s="556" t="n">
        <v>0.0025</v>
      </c>
      <c r="O493" s="553" t="n">
        <f aca="false">+K493/(1-N493)+M493</f>
        <v>2.98663541755901</v>
      </c>
      <c r="P493" s="557" t="n">
        <f aca="false">Weightings!$C$8</f>
        <v>273.774605247488</v>
      </c>
      <c r="Q493" s="553" t="n">
        <f aca="false">+P493/SUM($P$9:$P$19)*O493</f>
        <v>0.0102698796252329</v>
      </c>
      <c r="R493" s="553"/>
      <c r="S493" s="273"/>
    </row>
    <row r="494" customFormat="false" ht="12.75" hidden="false" customHeight="false" outlineLevel="0" collapsed="false">
      <c r="A494" s="266" t="s">
        <v>207</v>
      </c>
      <c r="B494" s="317" t="s">
        <v>144</v>
      </c>
      <c r="C494" s="587" t="n">
        <f aca="false">C499</f>
        <v>2.725</v>
      </c>
      <c r="D494" s="550" t="s">
        <v>291</v>
      </c>
      <c r="E494" s="588" t="n">
        <f aca="false">0.0305+0.0022+0.0097</f>
        <v>0.0424</v>
      </c>
      <c r="F494" s="589" t="n">
        <v>0.0462</v>
      </c>
      <c r="G494" s="553" t="n">
        <f aca="false">+C494/(1-F494)+E494</f>
        <v>2.89939308031034</v>
      </c>
      <c r="H494" s="550" t="s">
        <v>255</v>
      </c>
      <c r="I494" s="555" t="n">
        <f aca="false">E491</f>
        <v>0.1043</v>
      </c>
      <c r="J494" s="556" t="n">
        <v>0.0228</v>
      </c>
      <c r="K494" s="553" t="n">
        <f aca="false">+G494/(1-J494)+I494</f>
        <v>3.07134162946207</v>
      </c>
      <c r="L494" s="550" t="s">
        <v>256</v>
      </c>
      <c r="M494" s="555" t="n">
        <v>0</v>
      </c>
      <c r="N494" s="556" t="n">
        <v>0.0025</v>
      </c>
      <c r="O494" s="553" t="n">
        <f aca="false">+K494/(1-N494)+M494</f>
        <v>3.0790392275309</v>
      </c>
      <c r="P494" s="557" t="n">
        <f aca="false">Weightings!$C$9</f>
        <v>6.55445647922163</v>
      </c>
      <c r="Q494" s="553" t="n">
        <f aca="false">+P494/SUM($P$9:$P$19)*O494</f>
        <v>0.000253478942669353</v>
      </c>
      <c r="R494" s="553"/>
      <c r="S494" s="273"/>
    </row>
    <row r="495" customFormat="false" ht="12.75" hidden="false" customHeight="false" outlineLevel="0" collapsed="false">
      <c r="A495" s="266" t="s">
        <v>211</v>
      </c>
      <c r="B495" s="317" t="s">
        <v>292</v>
      </c>
      <c r="C495" s="586" t="n">
        <v>2.665</v>
      </c>
      <c r="D495" s="550" t="s">
        <v>269</v>
      </c>
      <c r="E495" s="555" t="n">
        <f aca="false">0.0366+0.0022</f>
        <v>0.0388</v>
      </c>
      <c r="F495" s="562" t="n">
        <v>0.00697</v>
      </c>
      <c r="G495" s="553" t="n">
        <f aca="false">+C495/(1-F495)+E495</f>
        <v>2.72250542682497</v>
      </c>
      <c r="H495" s="550" t="s">
        <v>270</v>
      </c>
      <c r="I495" s="588" t="n">
        <f aca="false">0.017+0.0022</f>
        <v>0.0192</v>
      </c>
      <c r="J495" s="589" t="n">
        <v>0.02902</v>
      </c>
      <c r="K495" s="553" t="n">
        <f aca="false">+G495/(1-J495)+I495</f>
        <v>2.82307384583099</v>
      </c>
      <c r="L495" s="561" t="s">
        <v>271</v>
      </c>
      <c r="M495" s="555" t="n">
        <f aca="false">E496</f>
        <v>0.0226</v>
      </c>
      <c r="N495" s="562" t="n">
        <f aca="false">F496</f>
        <v>0.02776</v>
      </c>
      <c r="O495" s="563" t="n">
        <f aca="false">+K495/(1-N495)+M495</f>
        <v>2.92628000270611</v>
      </c>
      <c r="P495" s="557" t="n">
        <f aca="false">Weightings!$C$13</f>
        <v>31370.607479626</v>
      </c>
      <c r="Q495" s="553" t="n">
        <f aca="false">+P495/SUM($P$9:$P$19)*O495</f>
        <v>1.15299862404975</v>
      </c>
      <c r="R495" s="563"/>
      <c r="S495" s="273"/>
    </row>
    <row r="496" customFormat="false" ht="12.75" hidden="false" customHeight="false" outlineLevel="0" collapsed="false">
      <c r="A496" s="266" t="s">
        <v>212</v>
      </c>
      <c r="B496" s="317" t="s">
        <v>293</v>
      </c>
      <c r="C496" s="586" t="n">
        <v>2.88</v>
      </c>
      <c r="D496" s="550" t="s">
        <v>272</v>
      </c>
      <c r="E496" s="555" t="n">
        <f aca="false">0.0134+0.0022+0.007</f>
        <v>0.0226</v>
      </c>
      <c r="F496" s="562" t="n">
        <v>0.02776</v>
      </c>
      <c r="G496" s="553" t="n">
        <f aca="false">+C496/(1-F496)+E496</f>
        <v>2.98483154776598</v>
      </c>
      <c r="H496" s="550"/>
      <c r="I496" s="555" t="n">
        <v>0</v>
      </c>
      <c r="J496" s="556" t="n">
        <v>0</v>
      </c>
      <c r="K496" s="553" t="n">
        <f aca="false">+G496/(1-J496)+I496</f>
        <v>2.98483154776598</v>
      </c>
      <c r="L496" s="561"/>
      <c r="M496" s="555" t="n">
        <v>0</v>
      </c>
      <c r="N496" s="556" t="n">
        <v>0</v>
      </c>
      <c r="O496" s="553" t="n">
        <f aca="false">+K496/(1-N496)+M496</f>
        <v>2.98483154776598</v>
      </c>
      <c r="P496" s="557" t="n">
        <f aca="false">Weightings!$C$14</f>
        <v>5614.32270168218</v>
      </c>
      <c r="Q496" s="553" t="n">
        <f aca="false">+P496/SUM($P$9:$P$19)*O496</f>
        <v>0.21047822790734</v>
      </c>
      <c r="R496" s="553"/>
      <c r="S496" s="564"/>
    </row>
    <row r="497" customFormat="false" ht="12.75" hidden="false" customHeight="false" outlineLevel="0" collapsed="false">
      <c r="A497" s="266" t="s">
        <v>213</v>
      </c>
      <c r="B497" s="317" t="s">
        <v>294</v>
      </c>
      <c r="C497" s="586" t="n">
        <v>2.61</v>
      </c>
      <c r="D497" s="550" t="s">
        <v>295</v>
      </c>
      <c r="E497" s="588" t="n">
        <f aca="false">0.0299+0.0022+0.0097</f>
        <v>0.0418</v>
      </c>
      <c r="F497" s="589" t="n">
        <v>0.0458</v>
      </c>
      <c r="G497" s="553" t="n">
        <f aca="false">+C497/(1-F497)+E497</f>
        <v>2.777075623559</v>
      </c>
      <c r="H497" s="550" t="s">
        <v>274</v>
      </c>
      <c r="I497" s="555" t="n">
        <v>0</v>
      </c>
      <c r="J497" s="556" t="n">
        <v>0.01</v>
      </c>
      <c r="K497" s="553" t="n">
        <f aca="false">+G497/(1-J497)+I497</f>
        <v>2.80512689248384</v>
      </c>
      <c r="L497" s="561"/>
      <c r="M497" s="555" t="n">
        <v>0</v>
      </c>
      <c r="N497" s="556" t="n">
        <v>0</v>
      </c>
      <c r="O497" s="553" t="n">
        <f aca="false">+K497/(1-N497)+M497</f>
        <v>2.80512689248384</v>
      </c>
      <c r="P497" s="557" t="n">
        <f aca="false">Weightings!$C$15</f>
        <v>3366</v>
      </c>
      <c r="Q497" s="553" t="n">
        <f aca="false">+P497/SUM($P$9:$P$19)*O497</f>
        <v>0.118592330658261</v>
      </c>
      <c r="R497" s="553"/>
      <c r="S497" s="273"/>
    </row>
    <row r="498" customFormat="false" ht="12.75" hidden="false" customHeight="false" outlineLevel="0" collapsed="false">
      <c r="A498" s="266" t="s">
        <v>214</v>
      </c>
      <c r="B498" s="317" t="s">
        <v>289</v>
      </c>
      <c r="C498" s="586" t="n">
        <v>2.625</v>
      </c>
      <c r="D498" s="550" t="s">
        <v>296</v>
      </c>
      <c r="E498" s="588" t="n">
        <f aca="false">0.0277+0.0022+0.0097</f>
        <v>0.0396</v>
      </c>
      <c r="F498" s="589" t="n">
        <v>0.0423</v>
      </c>
      <c r="G498" s="553" t="n">
        <f aca="false">+C498/(1-F498)+E498</f>
        <v>2.78054183982458</v>
      </c>
      <c r="H498" s="550" t="s">
        <v>274</v>
      </c>
      <c r="I498" s="555" t="n">
        <v>0</v>
      </c>
      <c r="J498" s="556" t="n">
        <v>0.01</v>
      </c>
      <c r="K498" s="553" t="n">
        <f aca="false">+G498/(1-J498)+I498</f>
        <v>2.80862812103493</v>
      </c>
      <c r="M498" s="555" t="n">
        <v>0</v>
      </c>
      <c r="N498" s="556" t="n">
        <v>0</v>
      </c>
      <c r="O498" s="553" t="n">
        <f aca="false">+K498/(1-N498)+M498</f>
        <v>2.80862812103493</v>
      </c>
      <c r="P498" s="557" t="n">
        <f aca="false">Weightings!$C$16</f>
        <v>4950</v>
      </c>
      <c r="Q498" s="553" t="n">
        <f aca="false">+P498/SUM($P$9:$P$19)*O498</f>
        <v>0.174618164814752</v>
      </c>
      <c r="R498" s="553"/>
      <c r="S498" s="273"/>
    </row>
    <row r="499" customFormat="false" ht="12.75" hidden="false" customHeight="false" outlineLevel="0" collapsed="false">
      <c r="A499" s="266" t="s">
        <v>215</v>
      </c>
      <c r="B499" s="317" t="s">
        <v>144</v>
      </c>
      <c r="C499" s="586" t="n">
        <v>2.725</v>
      </c>
      <c r="D499" s="550" t="s">
        <v>297</v>
      </c>
      <c r="E499" s="588" t="n">
        <f aca="false">0.0251+0.0022+0.0097</f>
        <v>0.037</v>
      </c>
      <c r="F499" s="589" t="n">
        <v>0.0381</v>
      </c>
      <c r="G499" s="553" t="n">
        <f aca="false">+C499/(1-F499)+E499</f>
        <v>2.86993481650899</v>
      </c>
      <c r="H499" s="550" t="s">
        <v>274</v>
      </c>
      <c r="I499" s="555" t="n">
        <v>0</v>
      </c>
      <c r="J499" s="556" t="n">
        <v>0.01</v>
      </c>
      <c r="K499" s="553" t="n">
        <f aca="false">+G499/(1-J499)+I499</f>
        <v>2.89892405707979</v>
      </c>
      <c r="M499" s="555" t="n">
        <v>0</v>
      </c>
      <c r="N499" s="556" t="n">
        <v>0</v>
      </c>
      <c r="O499" s="553" t="n">
        <f aca="false">+K499/(1-N499)+M499</f>
        <v>2.89892405707979</v>
      </c>
      <c r="P499" s="557" t="n">
        <f aca="false">Weightings!$C$17</f>
        <v>11172.1727158949</v>
      </c>
      <c r="Q499" s="553" t="n">
        <f aca="false">+P499/SUM($P$9:$P$19)*O499</f>
        <v>0.406784559803154</v>
      </c>
      <c r="R499" s="553"/>
      <c r="S499" s="273"/>
    </row>
    <row r="500" customFormat="false" ht="12.75" hidden="false" customHeight="false" outlineLevel="0" collapsed="false">
      <c r="O500" s="403"/>
      <c r="P500" s="385"/>
      <c r="Q500" s="403"/>
      <c r="R500" s="403"/>
      <c r="S500" s="565"/>
    </row>
    <row r="501" customFormat="false" ht="13.5" hidden="false" customHeight="false" outlineLevel="0" collapsed="false">
      <c r="O501" s="566"/>
      <c r="P501" s="567"/>
      <c r="Q501" s="566"/>
      <c r="R501" s="566"/>
    </row>
    <row r="502" customFormat="false" ht="13.5" hidden="false" customHeight="false" outlineLevel="0" collapsed="false">
      <c r="O502" s="568" t="s">
        <v>277</v>
      </c>
      <c r="P502" s="569"/>
      <c r="Q502" s="570" t="n">
        <f aca="false">SUM(Q489:Q499)</f>
        <v>2.96881401617452</v>
      </c>
      <c r="R502" s="590" t="n">
        <f aca="false">B487</f>
        <v>37189</v>
      </c>
    </row>
    <row r="503" customFormat="false" ht="12.75" hidden="false" customHeight="false" outlineLevel="0" collapsed="false">
      <c r="O503" s="403"/>
      <c r="P503" s="403"/>
      <c r="Q503" s="403"/>
      <c r="R503" s="403"/>
      <c r="S503" s="403"/>
    </row>
    <row r="504" customFormat="false" ht="12.75" hidden="false" customHeight="false" outlineLevel="0" collapsed="false">
      <c r="D504" s="550"/>
      <c r="H504" s="553"/>
      <c r="O504" s="566" t="s">
        <v>298</v>
      </c>
      <c r="P504" s="571" t="n">
        <f aca="false">Weightings!C503</f>
        <v>0</v>
      </c>
      <c r="Q504" s="403" t="s">
        <v>279</v>
      </c>
      <c r="R504" s="572" t="s">
        <v>280</v>
      </c>
      <c r="S504" s="403"/>
    </row>
    <row r="505" customFormat="false" ht="13.5" hidden="false" customHeight="false" outlineLevel="0" collapsed="false">
      <c r="A505" s="591"/>
      <c r="B505" s="592"/>
      <c r="C505" s="591"/>
      <c r="D505" s="593"/>
      <c r="E505" s="591"/>
      <c r="F505" s="591"/>
      <c r="G505" s="591"/>
      <c r="H505" s="594"/>
      <c r="I505" s="591"/>
      <c r="J505" s="591"/>
      <c r="K505" s="591"/>
      <c r="L505" s="591"/>
      <c r="M505" s="591"/>
      <c r="N505" s="591"/>
      <c r="O505" s="591"/>
      <c r="P505" s="595"/>
      <c r="Q505" s="591"/>
      <c r="R505" s="591"/>
      <c r="S505" s="591"/>
    </row>
    <row r="506" customFormat="false" ht="14.25" hidden="false" customHeight="false" outlineLevel="0" collapsed="false">
      <c r="A506" s="267"/>
      <c r="B506" s="544"/>
      <c r="D506" s="269" t="s">
        <v>241</v>
      </c>
      <c r="H506" s="269" t="s">
        <v>242</v>
      </c>
      <c r="L506" s="269" t="s">
        <v>243</v>
      </c>
    </row>
    <row r="507" customFormat="false" ht="14.25" hidden="false" customHeight="false" outlineLevel="0" collapsed="false">
      <c r="A507" s="582" t="s">
        <v>284</v>
      </c>
      <c r="B507" s="583" t="n">
        <f aca="false">B487+1</f>
        <v>37190</v>
      </c>
      <c r="C507" s="584" t="n">
        <f aca="false">Q522</f>
        <v>3.5017877668288</v>
      </c>
      <c r="E507" s="585"/>
    </row>
    <row r="508" customFormat="false" ht="54" hidden="false" customHeight="true" outlineLevel="0" collapsed="false">
      <c r="A508" s="267" t="s">
        <v>244</v>
      </c>
      <c r="B508" s="315" t="s">
        <v>132</v>
      </c>
      <c r="C508" s="545" t="s">
        <v>286</v>
      </c>
      <c r="D508" s="546" t="s">
        <v>247</v>
      </c>
      <c r="E508" s="547" t="s">
        <v>248</v>
      </c>
      <c r="F508" s="547" t="s">
        <v>249</v>
      </c>
      <c r="G508" s="547" t="s">
        <v>250</v>
      </c>
      <c r="H508" s="546" t="s">
        <v>247</v>
      </c>
      <c r="I508" s="547" t="s">
        <v>248</v>
      </c>
      <c r="J508" s="547" t="s">
        <v>249</v>
      </c>
      <c r="K508" s="547" t="s">
        <v>250</v>
      </c>
      <c r="L508" s="546" t="s">
        <v>247</v>
      </c>
      <c r="M508" s="547" t="s">
        <v>248</v>
      </c>
      <c r="N508" s="547" t="s">
        <v>249</v>
      </c>
      <c r="O508" s="547" t="s">
        <v>250</v>
      </c>
      <c r="P508" s="547" t="s">
        <v>251</v>
      </c>
      <c r="Q508" s="547" t="s">
        <v>252</v>
      </c>
      <c r="R508" s="547"/>
      <c r="S508" s="547"/>
    </row>
    <row r="509" customFormat="false" ht="12.75" hidden="false" customHeight="false" outlineLevel="0" collapsed="false">
      <c r="A509" s="266" t="s">
        <v>253</v>
      </c>
      <c r="B509" s="317" t="s">
        <v>142</v>
      </c>
      <c r="C509" s="586" t="n">
        <v>3.145</v>
      </c>
      <c r="D509" s="550" t="s">
        <v>254</v>
      </c>
      <c r="E509" s="555" t="n">
        <v>0.0522</v>
      </c>
      <c r="F509" s="562" t="n">
        <v>0.0506</v>
      </c>
      <c r="G509" s="553" t="n">
        <f aca="false">+C509/(1-F509)+E509</f>
        <v>3.36481849589214</v>
      </c>
      <c r="H509" s="550" t="s">
        <v>255</v>
      </c>
      <c r="I509" s="555" t="n">
        <f aca="false">E511</f>
        <v>0.1043</v>
      </c>
      <c r="J509" s="556" t="n">
        <v>0.0228</v>
      </c>
      <c r="K509" s="553" t="n">
        <f aca="false">+G509/(1-J509)+I509</f>
        <v>3.54762633636118</v>
      </c>
      <c r="L509" s="550" t="s">
        <v>256</v>
      </c>
      <c r="M509" s="555" t="n">
        <v>0</v>
      </c>
      <c r="N509" s="556" t="n">
        <v>0.0025</v>
      </c>
      <c r="O509" s="553" t="n">
        <f aca="false">+K509/(1-N509)+M509</f>
        <v>3.55651763043727</v>
      </c>
      <c r="P509" s="557" t="n">
        <f aca="false">Weightings!$C$4</f>
        <v>1071.40153987277</v>
      </c>
      <c r="Q509" s="553" t="n">
        <f aca="false">+P509/SUM($P$9:$P$19)*O509</f>
        <v>0.0478593959549226</v>
      </c>
      <c r="R509" s="553"/>
      <c r="S509" s="558"/>
    </row>
    <row r="510" customFormat="false" ht="12.75" hidden="false" customHeight="false" outlineLevel="0" collapsed="false">
      <c r="A510" s="266" t="s">
        <v>257</v>
      </c>
      <c r="B510" s="317" t="s">
        <v>143</v>
      </c>
      <c r="C510" s="586" t="n">
        <v>3.11</v>
      </c>
      <c r="D510" s="550" t="s">
        <v>258</v>
      </c>
      <c r="E510" s="555" t="n">
        <v>0.0522</v>
      </c>
      <c r="F510" s="562" t="n">
        <v>0.058</v>
      </c>
      <c r="G510" s="553" t="n">
        <f aca="false">+C510/(1-F510)+E510</f>
        <v>3.35368619957537</v>
      </c>
      <c r="H510" s="550" t="s">
        <v>255</v>
      </c>
      <c r="I510" s="555" t="n">
        <f aca="false">E511</f>
        <v>0.1043</v>
      </c>
      <c r="J510" s="556" t="n">
        <v>0.0228</v>
      </c>
      <c r="K510" s="553" t="n">
        <f aca="false">+G510/(1-J510)+I510</f>
        <v>3.53623430165306</v>
      </c>
      <c r="L510" s="550" t="s">
        <v>256</v>
      </c>
      <c r="M510" s="555" t="n">
        <v>0</v>
      </c>
      <c r="N510" s="556" t="n">
        <v>0.0025</v>
      </c>
      <c r="O510" s="553" t="n">
        <f aca="false">+K510/(1-N510)+M510</f>
        <v>3.54509704426372</v>
      </c>
      <c r="P510" s="557" t="n">
        <f aca="false">Weightings!$C$5</f>
        <v>1309.88291792445</v>
      </c>
      <c r="Q510" s="553" t="n">
        <f aca="false">+P510/SUM($P$9:$P$19)*O510</f>
        <v>0.0583244413329494</v>
      </c>
      <c r="R510" s="553"/>
      <c r="S510" s="273"/>
    </row>
    <row r="511" customFormat="false" ht="12.75" hidden="false" customHeight="false" outlineLevel="0" collapsed="false">
      <c r="A511" s="266" t="s">
        <v>259</v>
      </c>
      <c r="B511" s="317" t="s">
        <v>287</v>
      </c>
      <c r="C511" s="586" t="n">
        <v>3.51</v>
      </c>
      <c r="D511" s="550" t="s">
        <v>260</v>
      </c>
      <c r="E511" s="555" t="n">
        <f aca="false">0.0951+0.0022+0.007</f>
        <v>0.1043</v>
      </c>
      <c r="F511" s="562" t="n">
        <v>0.0228</v>
      </c>
      <c r="G511" s="553" t="n">
        <f aca="false">+C511/(1-F511)+E511</f>
        <v>3.69619521080639</v>
      </c>
      <c r="H511" s="550" t="s">
        <v>256</v>
      </c>
      <c r="I511" s="555" t="n">
        <v>0</v>
      </c>
      <c r="J511" s="556" t="n">
        <v>0.0025</v>
      </c>
      <c r="K511" s="553" t="n">
        <f aca="false">+G511/(1-J511)+I511</f>
        <v>3.70545885795126</v>
      </c>
      <c r="L511" s="550"/>
      <c r="M511" s="555" t="n">
        <v>0</v>
      </c>
      <c r="N511" s="556" t="n">
        <v>0</v>
      </c>
      <c r="O511" s="553" t="n">
        <f aca="false">+K511/(1-N511)+M511</f>
        <v>3.70545885795126</v>
      </c>
      <c r="P511" s="557" t="n">
        <f aca="false">Weightings!$C$6</f>
        <v>19813.4520237259</v>
      </c>
      <c r="Q511" s="553" t="n">
        <f aca="false">+P511/SUM($P$9:$P$19)*O511</f>
        <v>0.922129942147618</v>
      </c>
      <c r="R511" s="553"/>
      <c r="S511" s="273"/>
    </row>
    <row r="512" customFormat="false" ht="12.75" hidden="false" customHeight="false" outlineLevel="0" collapsed="false">
      <c r="A512" s="266" t="s">
        <v>261</v>
      </c>
      <c r="B512" s="317" t="s">
        <v>288</v>
      </c>
      <c r="C512" s="586" t="n">
        <v>3.58</v>
      </c>
      <c r="D512" s="550" t="s">
        <v>262</v>
      </c>
      <c r="E512" s="555" t="n">
        <f aca="false">0.0951+0.0022+0.007</f>
        <v>0.1043</v>
      </c>
      <c r="F512" s="562" t="n">
        <v>0.0228</v>
      </c>
      <c r="G512" s="553" t="n">
        <f aca="false">+C512/(1-F512)+E512</f>
        <v>3.76782844862874</v>
      </c>
      <c r="H512" s="550" t="s">
        <v>256</v>
      </c>
      <c r="I512" s="555" t="n">
        <v>0</v>
      </c>
      <c r="J512" s="556" t="n">
        <v>0.0025</v>
      </c>
      <c r="K512" s="553" t="n">
        <f aca="false">+G512/(1-J512)+I512</f>
        <v>3.77727162769798</v>
      </c>
      <c r="L512" s="550"/>
      <c r="M512" s="555" t="n">
        <v>0</v>
      </c>
      <c r="N512" s="556" t="n">
        <v>0</v>
      </c>
      <c r="O512" s="553" t="n">
        <f aca="false">+K512/(1-N512)+M512</f>
        <v>3.77727162769798</v>
      </c>
      <c r="P512" s="557" t="n">
        <f aca="false">Weightings!$C$7</f>
        <v>669.603363940486</v>
      </c>
      <c r="Q512" s="553" t="n">
        <f aca="false">+P512/SUM($P$9:$P$19)*O512</f>
        <v>0.031767703756361</v>
      </c>
      <c r="R512" s="553"/>
      <c r="S512" s="558"/>
    </row>
    <row r="513" customFormat="false" ht="12.75" hidden="false" customHeight="false" outlineLevel="0" collapsed="false">
      <c r="A513" s="266" t="s">
        <v>206</v>
      </c>
      <c r="B513" s="317" t="s">
        <v>289</v>
      </c>
      <c r="C513" s="587" t="n">
        <f aca="false">C518</f>
        <v>3.12</v>
      </c>
      <c r="D513" s="550" t="s">
        <v>290</v>
      </c>
      <c r="E513" s="588" t="n">
        <f aca="false">0.0331+0.0022+0.0097</f>
        <v>0.045</v>
      </c>
      <c r="F513" s="589" t="n">
        <v>0.0504</v>
      </c>
      <c r="G513" s="553" t="n">
        <f aca="false">+C513/(1-F513)+E513</f>
        <v>3.33059393428812</v>
      </c>
      <c r="H513" s="550" t="s">
        <v>255</v>
      </c>
      <c r="I513" s="555" t="n">
        <f aca="false">E511</f>
        <v>0.1043</v>
      </c>
      <c r="J513" s="556" t="n">
        <v>0.0228</v>
      </c>
      <c r="K513" s="553" t="n">
        <f aca="false">+G513/(1-J513)+I513</f>
        <v>3.51260324835051</v>
      </c>
      <c r="L513" s="550" t="s">
        <v>256</v>
      </c>
      <c r="M513" s="555" t="n">
        <v>0</v>
      </c>
      <c r="N513" s="556" t="n">
        <v>0.0025</v>
      </c>
      <c r="O513" s="553" t="n">
        <f aca="false">+K513/(1-N513)+M513</f>
        <v>3.52140676526367</v>
      </c>
      <c r="P513" s="557" t="n">
        <f aca="false">Weightings!$C$8</f>
        <v>273.774605247488</v>
      </c>
      <c r="Q513" s="553" t="n">
        <f aca="false">+P513/SUM($P$9:$P$19)*O513</f>
        <v>0.012108750662408</v>
      </c>
      <c r="R513" s="553"/>
      <c r="S513" s="273"/>
    </row>
    <row r="514" customFormat="false" ht="12.75" hidden="false" customHeight="false" outlineLevel="0" collapsed="false">
      <c r="A514" s="266" t="s">
        <v>207</v>
      </c>
      <c r="B514" s="317" t="s">
        <v>144</v>
      </c>
      <c r="C514" s="587" t="n">
        <f aca="false">C519</f>
        <v>3.21</v>
      </c>
      <c r="D514" s="550" t="s">
        <v>291</v>
      </c>
      <c r="E514" s="588" t="n">
        <f aca="false">0.0305+0.0022+0.0097</f>
        <v>0.0424</v>
      </c>
      <c r="F514" s="589" t="n">
        <v>0.0462</v>
      </c>
      <c r="G514" s="553" t="n">
        <f aca="false">+C514/(1-F514)+E514</f>
        <v>3.4078854267142</v>
      </c>
      <c r="H514" s="550" t="s">
        <v>255</v>
      </c>
      <c r="I514" s="555" t="n">
        <f aca="false">E511</f>
        <v>0.1043</v>
      </c>
      <c r="J514" s="556" t="n">
        <v>0.0228</v>
      </c>
      <c r="K514" s="553" t="n">
        <f aca="false">+G514/(1-J514)+I514</f>
        <v>3.59169810347339</v>
      </c>
      <c r="L514" s="550" t="s">
        <v>256</v>
      </c>
      <c r="M514" s="555" t="n">
        <v>0</v>
      </c>
      <c r="N514" s="556" t="n">
        <v>0.0025</v>
      </c>
      <c r="O514" s="553" t="n">
        <f aca="false">+K514/(1-N514)+M514</f>
        <v>3.60069985310615</v>
      </c>
      <c r="P514" s="557" t="n">
        <f aca="false">Weightings!$C$9</f>
        <v>6.55445647922163</v>
      </c>
      <c r="Q514" s="553" t="n">
        <f aca="false">+P514/SUM($P$9:$P$19)*O514</f>
        <v>0.000296424151882906</v>
      </c>
      <c r="R514" s="553"/>
      <c r="S514" s="273"/>
    </row>
    <row r="515" customFormat="false" ht="12.75" hidden="false" customHeight="false" outlineLevel="0" collapsed="false">
      <c r="A515" s="266" t="s">
        <v>211</v>
      </c>
      <c r="B515" s="317" t="s">
        <v>292</v>
      </c>
      <c r="C515" s="586" t="n">
        <v>3.135</v>
      </c>
      <c r="D515" s="550" t="s">
        <v>269</v>
      </c>
      <c r="E515" s="555" t="n">
        <f aca="false">0.0366+0.0022</f>
        <v>0.0388</v>
      </c>
      <c r="F515" s="562" t="n">
        <v>0.00697</v>
      </c>
      <c r="G515" s="553" t="n">
        <f aca="false">+C515/(1-F515)+E515</f>
        <v>3.19580432011117</v>
      </c>
      <c r="H515" s="550" t="s">
        <v>270</v>
      </c>
      <c r="I515" s="588" t="n">
        <f aca="false">0.017+0.0022</f>
        <v>0.0192</v>
      </c>
      <c r="J515" s="589" t="n">
        <v>0.02902</v>
      </c>
      <c r="K515" s="553" t="n">
        <f aca="false">+G515/(1-J515)+I515</f>
        <v>3.31051837948379</v>
      </c>
      <c r="L515" s="561" t="s">
        <v>271</v>
      </c>
      <c r="M515" s="555" t="n">
        <f aca="false">E516</f>
        <v>0.0226</v>
      </c>
      <c r="N515" s="562" t="n">
        <f aca="false">F516</f>
        <v>0.02776</v>
      </c>
      <c r="O515" s="563" t="n">
        <f aca="false">+K515/(1-N515)+M515</f>
        <v>3.42764235526598</v>
      </c>
      <c r="P515" s="557" t="n">
        <f aca="false">Weightings!$C$13</f>
        <v>31370.607479626</v>
      </c>
      <c r="Q515" s="553" t="n">
        <f aca="false">+P515/SUM($P$9:$P$19)*O515</f>
        <v>1.35054298143089</v>
      </c>
      <c r="R515" s="563"/>
      <c r="S515" s="273"/>
    </row>
    <row r="516" customFormat="false" ht="12.75" hidden="false" customHeight="false" outlineLevel="0" collapsed="false">
      <c r="A516" s="266" t="s">
        <v>212</v>
      </c>
      <c r="B516" s="317" t="s">
        <v>293</v>
      </c>
      <c r="C516" s="586" t="n">
        <v>3.465</v>
      </c>
      <c r="D516" s="550" t="s">
        <v>272</v>
      </c>
      <c r="E516" s="555" t="n">
        <f aca="false">0.0134+0.0022+0.007</f>
        <v>0.0226</v>
      </c>
      <c r="F516" s="562" t="n">
        <v>0.02776</v>
      </c>
      <c r="G516" s="553" t="n">
        <f aca="false">+C516/(1-F516)+E516</f>
        <v>3.58653483090595</v>
      </c>
      <c r="H516" s="550"/>
      <c r="I516" s="555" t="n">
        <v>0</v>
      </c>
      <c r="J516" s="556" t="n">
        <v>0</v>
      </c>
      <c r="K516" s="553" t="n">
        <f aca="false">+G516/(1-J516)+I516</f>
        <v>3.58653483090595</v>
      </c>
      <c r="L516" s="561"/>
      <c r="M516" s="555" t="n">
        <v>0</v>
      </c>
      <c r="N516" s="556" t="n">
        <v>0</v>
      </c>
      <c r="O516" s="553" t="n">
        <f aca="false">+K516/(1-N516)+M516</f>
        <v>3.58653483090595</v>
      </c>
      <c r="P516" s="557" t="n">
        <f aca="false">Weightings!$C$14</f>
        <v>5614.32270168218</v>
      </c>
      <c r="Q516" s="553" t="n">
        <f aca="false">+P516/SUM($P$9:$P$19)*O516</f>
        <v>0.252907905674622</v>
      </c>
      <c r="R516" s="553"/>
      <c r="S516" s="564"/>
    </row>
    <row r="517" customFormat="false" ht="12.75" hidden="false" customHeight="false" outlineLevel="0" collapsed="false">
      <c r="A517" s="266" t="s">
        <v>213</v>
      </c>
      <c r="B517" s="317" t="s">
        <v>294</v>
      </c>
      <c r="C517" s="586" t="n">
        <v>3.1</v>
      </c>
      <c r="D517" s="550" t="s">
        <v>295</v>
      </c>
      <c r="E517" s="588" t="n">
        <f aca="false">0.0299+0.0022+0.0097</f>
        <v>0.0418</v>
      </c>
      <c r="F517" s="589" t="n">
        <v>0.0458</v>
      </c>
      <c r="G517" s="553" t="n">
        <f aca="false">+C517/(1-F517)+E517</f>
        <v>3.29059480192832</v>
      </c>
      <c r="H517" s="550" t="s">
        <v>274</v>
      </c>
      <c r="I517" s="555" t="n">
        <v>0</v>
      </c>
      <c r="J517" s="556" t="n">
        <v>0.01</v>
      </c>
      <c r="K517" s="553" t="n">
        <f aca="false">+G517/(1-J517)+I517</f>
        <v>3.32383313326093</v>
      </c>
      <c r="L517" s="561"/>
      <c r="M517" s="555" t="n">
        <v>0</v>
      </c>
      <c r="N517" s="556" t="n">
        <v>0</v>
      </c>
      <c r="O517" s="553" t="n">
        <f aca="false">+K517/(1-N517)+M517</f>
        <v>3.32383313326093</v>
      </c>
      <c r="P517" s="557" t="n">
        <f aca="false">Weightings!$C$15</f>
        <v>3366</v>
      </c>
      <c r="Q517" s="553" t="n">
        <f aca="false">+P517/SUM($P$9:$P$19)*O517</f>
        <v>0.140521670890806</v>
      </c>
      <c r="R517" s="553"/>
      <c r="S517" s="273"/>
    </row>
    <row r="518" customFormat="false" ht="12.75" hidden="false" customHeight="false" outlineLevel="0" collapsed="false">
      <c r="A518" s="266" t="s">
        <v>214</v>
      </c>
      <c r="B518" s="317" t="s">
        <v>289</v>
      </c>
      <c r="C518" s="586" t="n">
        <v>3.12</v>
      </c>
      <c r="D518" s="550" t="s">
        <v>296</v>
      </c>
      <c r="E518" s="588" t="n">
        <f aca="false">0.0277+0.0022+0.0097</f>
        <v>0.0396</v>
      </c>
      <c r="F518" s="589" t="n">
        <v>0.0423</v>
      </c>
      <c r="G518" s="553" t="n">
        <f aca="false">+C518/(1-F518)+E518</f>
        <v>3.2974051581915</v>
      </c>
      <c r="H518" s="550" t="s">
        <v>274</v>
      </c>
      <c r="I518" s="555" t="n">
        <v>0</v>
      </c>
      <c r="J518" s="556" t="n">
        <v>0.01</v>
      </c>
      <c r="K518" s="553" t="n">
        <f aca="false">+G518/(1-J518)+I518</f>
        <v>3.33071228100152</v>
      </c>
      <c r="M518" s="555" t="n">
        <v>0</v>
      </c>
      <c r="N518" s="556" t="n">
        <v>0</v>
      </c>
      <c r="O518" s="553" t="n">
        <f aca="false">+K518/(1-N518)+M518</f>
        <v>3.33071228100152</v>
      </c>
      <c r="P518" s="557" t="n">
        <f aca="false">Weightings!$C$16</f>
        <v>4950</v>
      </c>
      <c r="Q518" s="553" t="n">
        <f aca="false">+P518/SUM($P$9:$P$19)*O518</f>
        <v>0.207077206725443</v>
      </c>
      <c r="R518" s="553"/>
      <c r="S518" s="273"/>
    </row>
    <row r="519" customFormat="false" ht="12.75" hidden="false" customHeight="false" outlineLevel="0" collapsed="false">
      <c r="A519" s="266" t="s">
        <v>215</v>
      </c>
      <c r="B519" s="317" t="s">
        <v>144</v>
      </c>
      <c r="C519" s="586" t="n">
        <v>3.21</v>
      </c>
      <c r="D519" s="550" t="s">
        <v>297</v>
      </c>
      <c r="E519" s="588" t="n">
        <f aca="false">0.0251+0.0022+0.0097</f>
        <v>0.037</v>
      </c>
      <c r="F519" s="589" t="n">
        <v>0.0381</v>
      </c>
      <c r="G519" s="553" t="n">
        <f aca="false">+C519/(1-F519)+E519</f>
        <v>3.37414523339224</v>
      </c>
      <c r="H519" s="550" t="s">
        <v>274</v>
      </c>
      <c r="I519" s="555" t="n">
        <v>0</v>
      </c>
      <c r="J519" s="556" t="n">
        <v>0.01</v>
      </c>
      <c r="K519" s="553" t="n">
        <f aca="false">+G519/(1-J519)+I519</f>
        <v>3.40822750847702</v>
      </c>
      <c r="M519" s="555" t="n">
        <v>0</v>
      </c>
      <c r="N519" s="556" t="n">
        <v>0</v>
      </c>
      <c r="O519" s="553" t="n">
        <f aca="false">+K519/(1-N519)+M519</f>
        <v>3.40822750847702</v>
      </c>
      <c r="P519" s="557" t="n">
        <f aca="false">Weightings!$C$17</f>
        <v>11172.1727158949</v>
      </c>
      <c r="Q519" s="553" t="n">
        <f aca="false">+P519/SUM($P$9:$P$19)*O519</f>
        <v>0.478251344100892</v>
      </c>
      <c r="R519" s="553"/>
      <c r="S519" s="273"/>
    </row>
    <row r="520" customFormat="false" ht="12.75" hidden="false" customHeight="false" outlineLevel="0" collapsed="false">
      <c r="O520" s="403"/>
      <c r="P520" s="385"/>
      <c r="Q520" s="403"/>
      <c r="R520" s="403"/>
      <c r="S520" s="565"/>
    </row>
    <row r="521" customFormat="false" ht="13.5" hidden="false" customHeight="false" outlineLevel="0" collapsed="false">
      <c r="O521" s="566"/>
      <c r="P521" s="567"/>
      <c r="Q521" s="566"/>
      <c r="R521" s="566"/>
    </row>
    <row r="522" customFormat="false" ht="13.5" hidden="false" customHeight="false" outlineLevel="0" collapsed="false">
      <c r="O522" s="568" t="s">
        <v>277</v>
      </c>
      <c r="P522" s="569"/>
      <c r="Q522" s="570" t="n">
        <f aca="false">SUM(Q509:Q519)</f>
        <v>3.5017877668288</v>
      </c>
      <c r="R522" s="590" t="n">
        <f aca="false">B507</f>
        <v>37190</v>
      </c>
    </row>
    <row r="523" customFormat="false" ht="12.75" hidden="false" customHeight="false" outlineLevel="0" collapsed="false">
      <c r="O523" s="403"/>
      <c r="P523" s="403"/>
      <c r="Q523" s="403"/>
      <c r="R523" s="403"/>
      <c r="S523" s="403"/>
    </row>
    <row r="524" customFormat="false" ht="12.75" hidden="false" customHeight="false" outlineLevel="0" collapsed="false">
      <c r="D524" s="550"/>
      <c r="H524" s="553"/>
      <c r="O524" s="566" t="s">
        <v>298</v>
      </c>
      <c r="P524" s="571" t="n">
        <f aca="false">Weightings!C523</f>
        <v>0</v>
      </c>
      <c r="Q524" s="403" t="s">
        <v>279</v>
      </c>
      <c r="R524" s="572" t="s">
        <v>280</v>
      </c>
      <c r="S524" s="403"/>
    </row>
    <row r="525" customFormat="false" ht="13.5" hidden="false" customHeight="false" outlineLevel="0" collapsed="false">
      <c r="A525" s="591"/>
      <c r="B525" s="592"/>
      <c r="C525" s="591"/>
      <c r="D525" s="593"/>
      <c r="E525" s="591"/>
      <c r="F525" s="591"/>
      <c r="G525" s="591"/>
      <c r="H525" s="594"/>
      <c r="I525" s="591"/>
      <c r="J525" s="591"/>
      <c r="K525" s="591"/>
      <c r="L525" s="591"/>
      <c r="M525" s="591"/>
      <c r="N525" s="591"/>
      <c r="O525" s="591"/>
      <c r="P525" s="595"/>
      <c r="Q525" s="591"/>
      <c r="R525" s="591"/>
      <c r="S525" s="591"/>
    </row>
    <row r="526" customFormat="false" ht="14.25" hidden="false" customHeight="false" outlineLevel="0" collapsed="false">
      <c r="A526" s="267"/>
      <c r="B526" s="544"/>
      <c r="D526" s="269" t="s">
        <v>241</v>
      </c>
      <c r="H526" s="269" t="s">
        <v>242</v>
      </c>
      <c r="L526" s="269" t="s">
        <v>243</v>
      </c>
    </row>
    <row r="527" customFormat="false" ht="14.25" hidden="false" customHeight="false" outlineLevel="0" collapsed="false">
      <c r="A527" s="582" t="s">
        <v>284</v>
      </c>
      <c r="B527" s="583" t="n">
        <f aca="false">B507+1</f>
        <v>37191</v>
      </c>
      <c r="C527" s="584" t="n">
        <f aca="false">Q542</f>
        <v>3.39615139605485</v>
      </c>
      <c r="E527" s="585"/>
    </row>
    <row r="528" customFormat="false" ht="54" hidden="false" customHeight="true" outlineLevel="0" collapsed="false">
      <c r="A528" s="267" t="s">
        <v>244</v>
      </c>
      <c r="B528" s="315" t="s">
        <v>132</v>
      </c>
      <c r="C528" s="545" t="s">
        <v>286</v>
      </c>
      <c r="D528" s="546" t="s">
        <v>247</v>
      </c>
      <c r="E528" s="547" t="s">
        <v>248</v>
      </c>
      <c r="F528" s="547" t="s">
        <v>249</v>
      </c>
      <c r="G528" s="547" t="s">
        <v>250</v>
      </c>
      <c r="H528" s="546" t="s">
        <v>247</v>
      </c>
      <c r="I528" s="547" t="s">
        <v>248</v>
      </c>
      <c r="J528" s="547" t="s">
        <v>249</v>
      </c>
      <c r="K528" s="547" t="s">
        <v>250</v>
      </c>
      <c r="L528" s="546" t="s">
        <v>247</v>
      </c>
      <c r="M528" s="547" t="s">
        <v>248</v>
      </c>
      <c r="N528" s="547" t="s">
        <v>249</v>
      </c>
      <c r="O528" s="547" t="s">
        <v>250</v>
      </c>
      <c r="P528" s="547" t="s">
        <v>251</v>
      </c>
      <c r="Q528" s="547" t="s">
        <v>252</v>
      </c>
      <c r="R528" s="547"/>
      <c r="S528" s="547"/>
    </row>
    <row r="529" customFormat="false" ht="12.75" hidden="false" customHeight="false" outlineLevel="0" collapsed="false">
      <c r="A529" s="266" t="s">
        <v>253</v>
      </c>
      <c r="B529" s="317" t="s">
        <v>142</v>
      </c>
      <c r="C529" s="586" t="n">
        <v>3.04</v>
      </c>
      <c r="D529" s="550" t="s">
        <v>254</v>
      </c>
      <c r="E529" s="555" t="n">
        <v>0.0522</v>
      </c>
      <c r="F529" s="562" t="n">
        <v>0.0506</v>
      </c>
      <c r="G529" s="553" t="n">
        <f aca="false">+C529/(1-F529)+E529</f>
        <v>3.25422232989256</v>
      </c>
      <c r="H529" s="550" t="s">
        <v>255</v>
      </c>
      <c r="I529" s="555" t="n">
        <f aca="false">E531</f>
        <v>0.1043</v>
      </c>
      <c r="J529" s="556" t="n">
        <v>0.0228</v>
      </c>
      <c r="K529" s="553" t="n">
        <f aca="false">+G529/(1-J529)+I529</f>
        <v>3.43444974405707</v>
      </c>
      <c r="L529" s="550" t="s">
        <v>256</v>
      </c>
      <c r="M529" s="555" t="n">
        <v>0</v>
      </c>
      <c r="N529" s="556" t="n">
        <v>0.0025</v>
      </c>
      <c r="O529" s="553" t="n">
        <f aca="false">+K529/(1-N529)+M529</f>
        <v>3.44305738752588</v>
      </c>
      <c r="P529" s="557" t="n">
        <f aca="false">Weightings!$C$4</f>
        <v>1071.40153987277</v>
      </c>
      <c r="Q529" s="553" t="n">
        <f aca="false">+P529/SUM($P$9:$P$19)*O529</f>
        <v>0.0463325825787802</v>
      </c>
      <c r="R529" s="553"/>
      <c r="S529" s="558"/>
    </row>
    <row r="530" customFormat="false" ht="12.75" hidden="false" customHeight="false" outlineLevel="0" collapsed="false">
      <c r="A530" s="266" t="s">
        <v>257</v>
      </c>
      <c r="B530" s="317" t="s">
        <v>143</v>
      </c>
      <c r="C530" s="586" t="n">
        <v>2.99</v>
      </c>
      <c r="D530" s="550" t="s">
        <v>258</v>
      </c>
      <c r="E530" s="555" t="n">
        <v>0.0522</v>
      </c>
      <c r="F530" s="562" t="n">
        <v>0.058</v>
      </c>
      <c r="G530" s="553" t="n">
        <f aca="false">+C530/(1-F530)+E530</f>
        <v>3.22629766454353</v>
      </c>
      <c r="H530" s="550" t="s">
        <v>255</v>
      </c>
      <c r="I530" s="555" t="n">
        <f aca="false">E531</f>
        <v>0.1043</v>
      </c>
      <c r="J530" s="556" t="n">
        <v>0.0228</v>
      </c>
      <c r="K530" s="553" t="n">
        <f aca="false">+G530/(1-J530)+I530</f>
        <v>3.40587354128482</v>
      </c>
      <c r="L530" s="550" t="s">
        <v>256</v>
      </c>
      <c r="M530" s="555" t="n">
        <v>0</v>
      </c>
      <c r="N530" s="556" t="n">
        <v>0.0025</v>
      </c>
      <c r="O530" s="553" t="n">
        <f aca="false">+K530/(1-N530)+M530</f>
        <v>3.41440956519781</v>
      </c>
      <c r="P530" s="557" t="n">
        <f aca="false">Weightings!$C$5</f>
        <v>1309.88291792445</v>
      </c>
      <c r="Q530" s="553" t="n">
        <f aca="false">+P530/SUM($P$9:$P$19)*O530</f>
        <v>0.0561743523197123</v>
      </c>
      <c r="R530" s="553"/>
      <c r="S530" s="273"/>
    </row>
    <row r="531" customFormat="false" ht="12.75" hidden="false" customHeight="false" outlineLevel="0" collapsed="false">
      <c r="A531" s="266" t="s">
        <v>259</v>
      </c>
      <c r="B531" s="317" t="s">
        <v>287</v>
      </c>
      <c r="C531" s="586" t="n">
        <v>3.415</v>
      </c>
      <c r="D531" s="550" t="s">
        <v>260</v>
      </c>
      <c r="E531" s="555" t="n">
        <f aca="false">0.0951+0.0022+0.007</f>
        <v>0.1043</v>
      </c>
      <c r="F531" s="562" t="n">
        <v>0.0228</v>
      </c>
      <c r="G531" s="553" t="n">
        <f aca="false">+C531/(1-F531)+E531</f>
        <v>3.59897867376177</v>
      </c>
      <c r="H531" s="550" t="s">
        <v>256</v>
      </c>
      <c r="I531" s="555" t="n">
        <v>0</v>
      </c>
      <c r="J531" s="556" t="n">
        <v>0.0025</v>
      </c>
      <c r="K531" s="553" t="n">
        <f aca="false">+G531/(1-J531)+I531</f>
        <v>3.60799867043786</v>
      </c>
      <c r="L531" s="550"/>
      <c r="M531" s="555" t="n">
        <v>0</v>
      </c>
      <c r="N531" s="556" t="n">
        <v>0</v>
      </c>
      <c r="O531" s="553" t="n">
        <f aca="false">+K531/(1-N531)+M531</f>
        <v>3.60799867043786</v>
      </c>
      <c r="P531" s="557" t="n">
        <f aca="false">Weightings!$C$6</f>
        <v>19813.4520237259</v>
      </c>
      <c r="Q531" s="553" t="n">
        <f aca="false">+P531/SUM($P$9:$P$19)*O531</f>
        <v>0.897876277346947</v>
      </c>
      <c r="R531" s="553"/>
      <c r="S531" s="273"/>
    </row>
    <row r="532" customFormat="false" ht="12.75" hidden="false" customHeight="false" outlineLevel="0" collapsed="false">
      <c r="A532" s="266" t="s">
        <v>261</v>
      </c>
      <c r="B532" s="317" t="s">
        <v>288</v>
      </c>
      <c r="C532" s="586" t="n">
        <v>3.43</v>
      </c>
      <c r="D532" s="550" t="s">
        <v>262</v>
      </c>
      <c r="E532" s="555" t="n">
        <f aca="false">0.0951+0.0022+0.007</f>
        <v>0.1043</v>
      </c>
      <c r="F532" s="562" t="n">
        <v>0.0228</v>
      </c>
      <c r="G532" s="553" t="n">
        <f aca="false">+C532/(1-F532)+E532</f>
        <v>3.61432865329513</v>
      </c>
      <c r="H532" s="550" t="s">
        <v>256</v>
      </c>
      <c r="I532" s="555" t="n">
        <v>0</v>
      </c>
      <c r="J532" s="556" t="n">
        <v>0.0025</v>
      </c>
      <c r="K532" s="553" t="n">
        <f aca="false">+G532/(1-J532)+I532</f>
        <v>3.62338712109787</v>
      </c>
      <c r="L532" s="550"/>
      <c r="M532" s="555" t="n">
        <v>0</v>
      </c>
      <c r="N532" s="556" t="n">
        <v>0</v>
      </c>
      <c r="O532" s="553" t="n">
        <f aca="false">+K532/(1-N532)+M532</f>
        <v>3.62338712109787</v>
      </c>
      <c r="P532" s="557" t="n">
        <f aca="false">Weightings!$C$7</f>
        <v>669.603363940486</v>
      </c>
      <c r="Q532" s="553" t="n">
        <f aca="false">+P532/SUM($P$9:$P$19)*O532</f>
        <v>0.0304735004529715</v>
      </c>
      <c r="R532" s="553"/>
      <c r="S532" s="558"/>
    </row>
    <row r="533" customFormat="false" ht="12.75" hidden="false" customHeight="false" outlineLevel="0" collapsed="false">
      <c r="A533" s="266" t="s">
        <v>206</v>
      </c>
      <c r="B533" s="317" t="s">
        <v>289</v>
      </c>
      <c r="C533" s="587" t="n">
        <f aca="false">C538</f>
        <v>2.98</v>
      </c>
      <c r="D533" s="550" t="s">
        <v>290</v>
      </c>
      <c r="E533" s="588" t="n">
        <f aca="false">0.0331+0.0022+0.0097</f>
        <v>0.045</v>
      </c>
      <c r="F533" s="589" t="n">
        <v>0.0504</v>
      </c>
      <c r="G533" s="553" t="n">
        <f aca="false">+C533/(1-F533)+E533</f>
        <v>3.18316343723673</v>
      </c>
      <c r="H533" s="550" t="s">
        <v>255</v>
      </c>
      <c r="I533" s="555" t="n">
        <f aca="false">E531</f>
        <v>0.1043</v>
      </c>
      <c r="J533" s="556" t="n">
        <v>0.0228</v>
      </c>
      <c r="K533" s="553" t="n">
        <f aca="false">+G533/(1-J533)+I533</f>
        <v>3.36173290752838</v>
      </c>
      <c r="L533" s="550" t="s">
        <v>256</v>
      </c>
      <c r="M533" s="555" t="n">
        <v>0</v>
      </c>
      <c r="N533" s="556" t="n">
        <v>0.0025</v>
      </c>
      <c r="O533" s="553" t="n">
        <f aca="false">+K533/(1-N533)+M533</f>
        <v>3.37015830328659</v>
      </c>
      <c r="P533" s="557" t="n">
        <f aca="false">Weightings!$C$8</f>
        <v>273.774605247488</v>
      </c>
      <c r="Q533" s="553" t="n">
        <f aca="false">+P533/SUM($P$9:$P$19)*O533</f>
        <v>0.0115886659246211</v>
      </c>
      <c r="R533" s="553"/>
      <c r="S533" s="273"/>
    </row>
    <row r="534" customFormat="false" ht="12.75" hidden="false" customHeight="false" outlineLevel="0" collapsed="false">
      <c r="A534" s="266" t="s">
        <v>207</v>
      </c>
      <c r="B534" s="317" t="s">
        <v>144</v>
      </c>
      <c r="C534" s="587" t="n">
        <f aca="false">C539</f>
        <v>3.1</v>
      </c>
      <c r="D534" s="550" t="s">
        <v>291</v>
      </c>
      <c r="E534" s="588" t="n">
        <f aca="false">0.0305+0.0022+0.0097</f>
        <v>0.0424</v>
      </c>
      <c r="F534" s="589" t="n">
        <v>0.0462</v>
      </c>
      <c r="G534" s="553" t="n">
        <f aca="false">+C534/(1-F534)+E534</f>
        <v>3.29255726567415</v>
      </c>
      <c r="H534" s="550" t="s">
        <v>255</v>
      </c>
      <c r="I534" s="555" t="n">
        <f aca="false">E531</f>
        <v>0.1043</v>
      </c>
      <c r="J534" s="556" t="n">
        <v>0.0228</v>
      </c>
      <c r="K534" s="553" t="n">
        <f aca="false">+G534/(1-J534)+I534</f>
        <v>3.47367910936773</v>
      </c>
      <c r="L534" s="550" t="s">
        <v>256</v>
      </c>
      <c r="M534" s="555" t="n">
        <v>0</v>
      </c>
      <c r="N534" s="556" t="n">
        <v>0.0025</v>
      </c>
      <c r="O534" s="553" t="n">
        <f aca="false">+K534/(1-N534)+M534</f>
        <v>3.48238507204785</v>
      </c>
      <c r="P534" s="557" t="n">
        <f aca="false">Weightings!$C$9</f>
        <v>6.55445647922163</v>
      </c>
      <c r="Q534" s="553" t="n">
        <f aca="false">+P534/SUM($P$9:$P$19)*O534</f>
        <v>0.000286684001339626</v>
      </c>
      <c r="R534" s="553"/>
      <c r="S534" s="273"/>
    </row>
    <row r="535" customFormat="false" ht="12.75" hidden="false" customHeight="false" outlineLevel="0" collapsed="false">
      <c r="A535" s="266" t="s">
        <v>211</v>
      </c>
      <c r="B535" s="317" t="s">
        <v>292</v>
      </c>
      <c r="C535" s="586" t="n">
        <v>3.04</v>
      </c>
      <c r="D535" s="550" t="s">
        <v>269</v>
      </c>
      <c r="E535" s="555" t="n">
        <f aca="false">0.0366+0.0022</f>
        <v>0.0388</v>
      </c>
      <c r="F535" s="562" t="n">
        <v>0.00697</v>
      </c>
      <c r="G535" s="553" t="n">
        <f aca="false">+C535/(1-F535)+E535</f>
        <v>3.10013752253205</v>
      </c>
      <c r="H535" s="550" t="s">
        <v>270</v>
      </c>
      <c r="I535" s="588" t="n">
        <f aca="false">0.017+0.0022</f>
        <v>0.0192</v>
      </c>
      <c r="J535" s="589" t="n">
        <v>0.02902</v>
      </c>
      <c r="K535" s="553" t="n">
        <f aca="false">+G535/(1-J535)+I535</f>
        <v>3.21199235672419</v>
      </c>
      <c r="L535" s="561" t="s">
        <v>271</v>
      </c>
      <c r="M535" s="555" t="n">
        <f aca="false">E536</f>
        <v>0.0226</v>
      </c>
      <c r="N535" s="562" t="n">
        <f aca="false">F536</f>
        <v>0.02776</v>
      </c>
      <c r="O535" s="563" t="n">
        <f aca="false">+K535/(1-N535)+M535</f>
        <v>3.3263031563443</v>
      </c>
      <c r="P535" s="557" t="n">
        <f aca="false">Weightings!$C$13</f>
        <v>31370.607479626</v>
      </c>
      <c r="Q535" s="553" t="n">
        <f aca="false">+P535/SUM($P$9:$P$19)*O535</f>
        <v>1.3106138028113</v>
      </c>
      <c r="R535" s="563"/>
      <c r="S535" s="273"/>
    </row>
    <row r="536" customFormat="false" ht="12.75" hidden="false" customHeight="false" outlineLevel="0" collapsed="false">
      <c r="A536" s="266" t="s">
        <v>212</v>
      </c>
      <c r="B536" s="317" t="s">
        <v>293</v>
      </c>
      <c r="C536" s="586" t="n">
        <v>3.415</v>
      </c>
      <c r="D536" s="550" t="s">
        <v>272</v>
      </c>
      <c r="E536" s="555" t="n">
        <f aca="false">0.0134+0.0022+0.007</f>
        <v>0.0226</v>
      </c>
      <c r="F536" s="562" t="n">
        <v>0.02776</v>
      </c>
      <c r="G536" s="553" t="n">
        <f aca="false">+C536/(1-F536)+E536</f>
        <v>3.53510719986835</v>
      </c>
      <c r="H536" s="550"/>
      <c r="I536" s="555" t="n">
        <v>0</v>
      </c>
      <c r="J536" s="556" t="n">
        <v>0</v>
      </c>
      <c r="K536" s="553" t="n">
        <f aca="false">+G536/(1-J536)+I536</f>
        <v>3.53510719986835</v>
      </c>
      <c r="L536" s="561"/>
      <c r="M536" s="555" t="n">
        <v>0</v>
      </c>
      <c r="N536" s="556" t="n">
        <v>0</v>
      </c>
      <c r="O536" s="553" t="n">
        <f aca="false">+K536/(1-N536)+M536</f>
        <v>3.53510719986835</v>
      </c>
      <c r="P536" s="557" t="n">
        <f aca="false">Weightings!$C$14</f>
        <v>5614.32270168218</v>
      </c>
      <c r="Q536" s="553" t="n">
        <f aca="false">+P536/SUM($P$9:$P$19)*O536</f>
        <v>0.249281437489384</v>
      </c>
      <c r="R536" s="553"/>
      <c r="S536" s="564"/>
    </row>
    <row r="537" customFormat="false" ht="12.75" hidden="false" customHeight="false" outlineLevel="0" collapsed="false">
      <c r="A537" s="266" t="s">
        <v>213</v>
      </c>
      <c r="B537" s="317" t="s">
        <v>294</v>
      </c>
      <c r="C537" s="586" t="n">
        <v>2.945</v>
      </c>
      <c r="D537" s="550" t="s">
        <v>295</v>
      </c>
      <c r="E537" s="588" t="n">
        <f aca="false">0.0299+0.0022+0.0097</f>
        <v>0.0418</v>
      </c>
      <c r="F537" s="589" t="n">
        <v>0.0458</v>
      </c>
      <c r="G537" s="553" t="n">
        <f aca="false">+C537/(1-F537)+E537</f>
        <v>3.1281550618319</v>
      </c>
      <c r="H537" s="550" t="s">
        <v>274</v>
      </c>
      <c r="I537" s="555" t="n">
        <v>0</v>
      </c>
      <c r="J537" s="556" t="n">
        <v>0.01</v>
      </c>
      <c r="K537" s="553" t="n">
        <f aca="false">+G537/(1-J537)+I537</f>
        <v>3.15975258770899</v>
      </c>
      <c r="L537" s="561"/>
      <c r="M537" s="555" t="n">
        <v>0</v>
      </c>
      <c r="N537" s="556" t="n">
        <v>0</v>
      </c>
      <c r="O537" s="553" t="n">
        <f aca="false">+K537/(1-N537)+M537</f>
        <v>3.15975258770899</v>
      </c>
      <c r="P537" s="557" t="n">
        <f aca="false">Weightings!$C$15</f>
        <v>3366</v>
      </c>
      <c r="Q537" s="553" t="n">
        <f aca="false">+P537/SUM($P$9:$P$19)*O537</f>
        <v>0.13358483877643</v>
      </c>
      <c r="R537" s="553"/>
      <c r="S537" s="273"/>
    </row>
    <row r="538" customFormat="false" ht="12.75" hidden="false" customHeight="false" outlineLevel="0" collapsed="false">
      <c r="A538" s="266" t="s">
        <v>214</v>
      </c>
      <c r="B538" s="317" t="s">
        <v>289</v>
      </c>
      <c r="C538" s="586" t="n">
        <v>2.98</v>
      </c>
      <c r="D538" s="550" t="s">
        <v>296</v>
      </c>
      <c r="E538" s="588" t="n">
        <f aca="false">0.0277+0.0022+0.0097</f>
        <v>0.0396</v>
      </c>
      <c r="F538" s="589" t="n">
        <v>0.0423</v>
      </c>
      <c r="G538" s="553" t="n">
        <f aca="false">+C538/(1-F538)+E538</f>
        <v>3.15122159340086</v>
      </c>
      <c r="H538" s="550" t="s">
        <v>274</v>
      </c>
      <c r="I538" s="555" t="n">
        <v>0</v>
      </c>
      <c r="J538" s="556" t="n">
        <v>0.01</v>
      </c>
      <c r="K538" s="553" t="n">
        <f aca="false">+G538/(1-J538)+I538</f>
        <v>3.18305211454632</v>
      </c>
      <c r="M538" s="555" t="n">
        <v>0</v>
      </c>
      <c r="N538" s="556" t="n">
        <v>0</v>
      </c>
      <c r="O538" s="553" t="n">
        <f aca="false">+K538/(1-N538)+M538</f>
        <v>3.18305211454632</v>
      </c>
      <c r="P538" s="557" t="n">
        <f aca="false">Weightings!$C$16</f>
        <v>4950</v>
      </c>
      <c r="Q538" s="553" t="n">
        <f aca="false">+P538/SUM($P$9:$P$19)*O538</f>
        <v>0.197896871639591</v>
      </c>
      <c r="R538" s="553"/>
      <c r="S538" s="273"/>
    </row>
    <row r="539" customFormat="false" ht="12.75" hidden="false" customHeight="false" outlineLevel="0" collapsed="false">
      <c r="A539" s="266" t="s">
        <v>215</v>
      </c>
      <c r="B539" s="317" t="s">
        <v>144</v>
      </c>
      <c r="C539" s="586" t="n">
        <v>3.1</v>
      </c>
      <c r="D539" s="550" t="s">
        <v>297</v>
      </c>
      <c r="E539" s="588" t="n">
        <f aca="false">0.0251+0.0022+0.0097</f>
        <v>0.037</v>
      </c>
      <c r="F539" s="589" t="n">
        <v>0.0381</v>
      </c>
      <c r="G539" s="553" t="n">
        <f aca="false">+C539/(1-F539)+E539</f>
        <v>3.25978823162491</v>
      </c>
      <c r="H539" s="550" t="s">
        <v>274</v>
      </c>
      <c r="I539" s="555" t="n">
        <v>0</v>
      </c>
      <c r="J539" s="556" t="n">
        <v>0.01</v>
      </c>
      <c r="K539" s="553" t="n">
        <f aca="false">+G539/(1-J539)+I539</f>
        <v>3.29271538547971</v>
      </c>
      <c r="M539" s="555" t="n">
        <v>0</v>
      </c>
      <c r="N539" s="556" t="n">
        <v>0</v>
      </c>
      <c r="O539" s="553" t="n">
        <f aca="false">+K539/(1-N539)+M539</f>
        <v>3.29271538547971</v>
      </c>
      <c r="P539" s="557" t="n">
        <f aca="false">Weightings!$C$17</f>
        <v>11172.1727158949</v>
      </c>
      <c r="Q539" s="553" t="n">
        <f aca="false">+P539/SUM($P$9:$P$19)*O539</f>
        <v>0.462042382713776</v>
      </c>
      <c r="R539" s="553"/>
      <c r="S539" s="273"/>
    </row>
    <row r="540" customFormat="false" ht="12.75" hidden="false" customHeight="false" outlineLevel="0" collapsed="false">
      <c r="O540" s="403"/>
      <c r="P540" s="385"/>
      <c r="Q540" s="403"/>
      <c r="R540" s="403"/>
      <c r="S540" s="565"/>
    </row>
    <row r="541" customFormat="false" ht="13.5" hidden="false" customHeight="false" outlineLevel="0" collapsed="false">
      <c r="O541" s="566"/>
      <c r="P541" s="567"/>
      <c r="Q541" s="566"/>
      <c r="R541" s="566"/>
    </row>
    <row r="542" customFormat="false" ht="13.5" hidden="false" customHeight="false" outlineLevel="0" collapsed="false">
      <c r="O542" s="568" t="s">
        <v>277</v>
      </c>
      <c r="P542" s="569"/>
      <c r="Q542" s="570" t="n">
        <f aca="false">SUM(Q529:Q539)</f>
        <v>3.39615139605485</v>
      </c>
      <c r="R542" s="590" t="n">
        <f aca="false">B527</f>
        <v>37191</v>
      </c>
    </row>
    <row r="543" customFormat="false" ht="12.75" hidden="false" customHeight="false" outlineLevel="0" collapsed="false">
      <c r="O543" s="403"/>
      <c r="P543" s="403"/>
      <c r="Q543" s="403"/>
      <c r="R543" s="403"/>
      <c r="S543" s="403"/>
    </row>
    <row r="544" customFormat="false" ht="12.75" hidden="false" customHeight="false" outlineLevel="0" collapsed="false">
      <c r="D544" s="550"/>
      <c r="H544" s="553"/>
      <c r="O544" s="566" t="s">
        <v>298</v>
      </c>
      <c r="P544" s="571" t="n">
        <f aca="false">Weightings!C543</f>
        <v>0</v>
      </c>
      <c r="Q544" s="403" t="s">
        <v>279</v>
      </c>
      <c r="R544" s="572" t="s">
        <v>280</v>
      </c>
      <c r="S544" s="403"/>
    </row>
    <row r="545" customFormat="false" ht="13.5" hidden="false" customHeight="false" outlineLevel="0" collapsed="false">
      <c r="A545" s="591"/>
      <c r="B545" s="592"/>
      <c r="C545" s="591"/>
      <c r="D545" s="593"/>
      <c r="E545" s="591"/>
      <c r="F545" s="591"/>
      <c r="G545" s="591"/>
      <c r="H545" s="594"/>
      <c r="I545" s="591"/>
      <c r="J545" s="591"/>
      <c r="K545" s="591"/>
      <c r="L545" s="591"/>
      <c r="M545" s="591"/>
      <c r="N545" s="591"/>
      <c r="O545" s="591"/>
      <c r="P545" s="595"/>
      <c r="Q545" s="591"/>
      <c r="R545" s="591"/>
      <c r="S545" s="591"/>
    </row>
    <row r="546" customFormat="false" ht="14.25" hidden="false" customHeight="false" outlineLevel="0" collapsed="false">
      <c r="A546" s="267"/>
      <c r="B546" s="544"/>
      <c r="D546" s="269" t="s">
        <v>241</v>
      </c>
      <c r="H546" s="269" t="s">
        <v>242</v>
      </c>
      <c r="L546" s="269" t="s">
        <v>243</v>
      </c>
    </row>
    <row r="547" customFormat="false" ht="14.25" hidden="false" customHeight="false" outlineLevel="0" collapsed="false">
      <c r="A547" s="582" t="s">
        <v>284</v>
      </c>
      <c r="B547" s="583" t="n">
        <f aca="false">B527+1</f>
        <v>37192</v>
      </c>
      <c r="C547" s="584" t="n">
        <f aca="false">Q562</f>
        <v>3.39615139605485</v>
      </c>
      <c r="E547" s="585"/>
    </row>
    <row r="548" customFormat="false" ht="54" hidden="false" customHeight="true" outlineLevel="0" collapsed="false">
      <c r="A548" s="267" t="s">
        <v>244</v>
      </c>
      <c r="B548" s="315" t="s">
        <v>132</v>
      </c>
      <c r="C548" s="545" t="s">
        <v>286</v>
      </c>
      <c r="D548" s="546" t="s">
        <v>247</v>
      </c>
      <c r="E548" s="547" t="s">
        <v>248</v>
      </c>
      <c r="F548" s="547" t="s">
        <v>249</v>
      </c>
      <c r="G548" s="547" t="s">
        <v>250</v>
      </c>
      <c r="H548" s="546" t="s">
        <v>247</v>
      </c>
      <c r="I548" s="547" t="s">
        <v>248</v>
      </c>
      <c r="J548" s="547" t="s">
        <v>249</v>
      </c>
      <c r="K548" s="547" t="s">
        <v>250</v>
      </c>
      <c r="L548" s="546" t="s">
        <v>247</v>
      </c>
      <c r="M548" s="547" t="s">
        <v>248</v>
      </c>
      <c r="N548" s="547" t="s">
        <v>249</v>
      </c>
      <c r="O548" s="547" t="s">
        <v>250</v>
      </c>
      <c r="P548" s="547" t="s">
        <v>251</v>
      </c>
      <c r="Q548" s="547" t="s">
        <v>252</v>
      </c>
      <c r="R548" s="547"/>
      <c r="S548" s="547"/>
    </row>
    <row r="549" customFormat="false" ht="12.75" hidden="false" customHeight="false" outlineLevel="0" collapsed="false">
      <c r="A549" s="266" t="s">
        <v>253</v>
      </c>
      <c r="B549" s="317" t="s">
        <v>142</v>
      </c>
      <c r="C549" s="586" t="n">
        <v>3.04</v>
      </c>
      <c r="D549" s="550" t="s">
        <v>254</v>
      </c>
      <c r="E549" s="555" t="n">
        <v>0.0522</v>
      </c>
      <c r="F549" s="562" t="n">
        <v>0.0506</v>
      </c>
      <c r="G549" s="553" t="n">
        <f aca="false">+C549/(1-F549)+E549</f>
        <v>3.25422232989256</v>
      </c>
      <c r="H549" s="550" t="s">
        <v>255</v>
      </c>
      <c r="I549" s="555" t="n">
        <f aca="false">E551</f>
        <v>0.1043</v>
      </c>
      <c r="J549" s="556" t="n">
        <v>0.0228</v>
      </c>
      <c r="K549" s="553" t="n">
        <f aca="false">+G549/(1-J549)+I549</f>
        <v>3.43444974405707</v>
      </c>
      <c r="L549" s="550" t="s">
        <v>256</v>
      </c>
      <c r="M549" s="555" t="n">
        <v>0</v>
      </c>
      <c r="N549" s="556" t="n">
        <v>0.0025</v>
      </c>
      <c r="O549" s="553" t="n">
        <f aca="false">+K549/(1-N549)+M549</f>
        <v>3.44305738752588</v>
      </c>
      <c r="P549" s="557" t="n">
        <f aca="false">Weightings!$C$4</f>
        <v>1071.40153987277</v>
      </c>
      <c r="Q549" s="553" t="n">
        <f aca="false">+P549/SUM($P$9:$P$19)*O549</f>
        <v>0.0463325825787802</v>
      </c>
      <c r="R549" s="553"/>
      <c r="S549" s="558"/>
    </row>
    <row r="550" customFormat="false" ht="12.75" hidden="false" customHeight="false" outlineLevel="0" collapsed="false">
      <c r="A550" s="266" t="s">
        <v>257</v>
      </c>
      <c r="B550" s="317" t="s">
        <v>143</v>
      </c>
      <c r="C550" s="586" t="n">
        <v>2.99</v>
      </c>
      <c r="D550" s="550" t="s">
        <v>258</v>
      </c>
      <c r="E550" s="555" t="n">
        <v>0.0522</v>
      </c>
      <c r="F550" s="562" t="n">
        <v>0.058</v>
      </c>
      <c r="G550" s="553" t="n">
        <f aca="false">+C550/(1-F550)+E550</f>
        <v>3.22629766454353</v>
      </c>
      <c r="H550" s="550" t="s">
        <v>255</v>
      </c>
      <c r="I550" s="555" t="n">
        <f aca="false">E551</f>
        <v>0.1043</v>
      </c>
      <c r="J550" s="556" t="n">
        <v>0.0228</v>
      </c>
      <c r="K550" s="553" t="n">
        <f aca="false">+G550/(1-J550)+I550</f>
        <v>3.40587354128482</v>
      </c>
      <c r="L550" s="550" t="s">
        <v>256</v>
      </c>
      <c r="M550" s="555" t="n">
        <v>0</v>
      </c>
      <c r="N550" s="556" t="n">
        <v>0.0025</v>
      </c>
      <c r="O550" s="553" t="n">
        <f aca="false">+K550/(1-N550)+M550</f>
        <v>3.41440956519781</v>
      </c>
      <c r="P550" s="557" t="n">
        <f aca="false">Weightings!$C$5</f>
        <v>1309.88291792445</v>
      </c>
      <c r="Q550" s="553" t="n">
        <f aca="false">+P550/SUM($P$9:$P$19)*O550</f>
        <v>0.0561743523197123</v>
      </c>
      <c r="R550" s="553"/>
      <c r="S550" s="273"/>
    </row>
    <row r="551" customFormat="false" ht="12.75" hidden="false" customHeight="false" outlineLevel="0" collapsed="false">
      <c r="A551" s="266" t="s">
        <v>259</v>
      </c>
      <c r="B551" s="317" t="s">
        <v>287</v>
      </c>
      <c r="C551" s="586" t="n">
        <v>3.415</v>
      </c>
      <c r="D551" s="550" t="s">
        <v>260</v>
      </c>
      <c r="E551" s="555" t="n">
        <f aca="false">0.0951+0.0022+0.007</f>
        <v>0.1043</v>
      </c>
      <c r="F551" s="562" t="n">
        <v>0.0228</v>
      </c>
      <c r="G551" s="553" t="n">
        <f aca="false">+C551/(1-F551)+E551</f>
        <v>3.59897867376177</v>
      </c>
      <c r="H551" s="550" t="s">
        <v>256</v>
      </c>
      <c r="I551" s="555" t="n">
        <v>0</v>
      </c>
      <c r="J551" s="556" t="n">
        <v>0.0025</v>
      </c>
      <c r="K551" s="553" t="n">
        <f aca="false">+G551/(1-J551)+I551</f>
        <v>3.60799867043786</v>
      </c>
      <c r="L551" s="550"/>
      <c r="M551" s="555" t="n">
        <v>0</v>
      </c>
      <c r="N551" s="556" t="n">
        <v>0</v>
      </c>
      <c r="O551" s="553" t="n">
        <f aca="false">+K551/(1-N551)+M551</f>
        <v>3.60799867043786</v>
      </c>
      <c r="P551" s="557" t="n">
        <f aca="false">Weightings!$C$6</f>
        <v>19813.4520237259</v>
      </c>
      <c r="Q551" s="553" t="n">
        <f aca="false">+P551/SUM($P$9:$P$19)*O551</f>
        <v>0.897876277346947</v>
      </c>
      <c r="R551" s="553"/>
      <c r="S551" s="273"/>
    </row>
    <row r="552" customFormat="false" ht="12.75" hidden="false" customHeight="false" outlineLevel="0" collapsed="false">
      <c r="A552" s="266" t="s">
        <v>261</v>
      </c>
      <c r="B552" s="317" t="s">
        <v>288</v>
      </c>
      <c r="C552" s="586" t="n">
        <v>3.43</v>
      </c>
      <c r="D552" s="550" t="s">
        <v>262</v>
      </c>
      <c r="E552" s="555" t="n">
        <f aca="false">0.0951+0.0022+0.007</f>
        <v>0.1043</v>
      </c>
      <c r="F552" s="562" t="n">
        <v>0.0228</v>
      </c>
      <c r="G552" s="553" t="n">
        <f aca="false">+C552/(1-F552)+E552</f>
        <v>3.61432865329513</v>
      </c>
      <c r="H552" s="550" t="s">
        <v>256</v>
      </c>
      <c r="I552" s="555" t="n">
        <v>0</v>
      </c>
      <c r="J552" s="556" t="n">
        <v>0.0025</v>
      </c>
      <c r="K552" s="553" t="n">
        <f aca="false">+G552/(1-J552)+I552</f>
        <v>3.62338712109787</v>
      </c>
      <c r="L552" s="550"/>
      <c r="M552" s="555" t="n">
        <v>0</v>
      </c>
      <c r="N552" s="556" t="n">
        <v>0</v>
      </c>
      <c r="O552" s="553" t="n">
        <f aca="false">+K552/(1-N552)+M552</f>
        <v>3.62338712109787</v>
      </c>
      <c r="P552" s="557" t="n">
        <f aca="false">Weightings!$C$7</f>
        <v>669.603363940486</v>
      </c>
      <c r="Q552" s="553" t="n">
        <f aca="false">+P552/SUM($P$9:$P$19)*O552</f>
        <v>0.0304735004529715</v>
      </c>
      <c r="R552" s="553"/>
      <c r="S552" s="558"/>
    </row>
    <row r="553" customFormat="false" ht="12.75" hidden="false" customHeight="false" outlineLevel="0" collapsed="false">
      <c r="A553" s="266" t="s">
        <v>206</v>
      </c>
      <c r="B553" s="317" t="s">
        <v>289</v>
      </c>
      <c r="C553" s="587" t="n">
        <f aca="false">C558</f>
        <v>2.98</v>
      </c>
      <c r="D553" s="550" t="s">
        <v>290</v>
      </c>
      <c r="E553" s="588" t="n">
        <f aca="false">0.0331+0.0022+0.0097</f>
        <v>0.045</v>
      </c>
      <c r="F553" s="589" t="n">
        <v>0.0504</v>
      </c>
      <c r="G553" s="553" t="n">
        <f aca="false">+C553/(1-F553)+E553</f>
        <v>3.18316343723673</v>
      </c>
      <c r="H553" s="550" t="s">
        <v>255</v>
      </c>
      <c r="I553" s="555" t="n">
        <f aca="false">E551</f>
        <v>0.1043</v>
      </c>
      <c r="J553" s="556" t="n">
        <v>0.0228</v>
      </c>
      <c r="K553" s="553" t="n">
        <f aca="false">+G553/(1-J553)+I553</f>
        <v>3.36173290752838</v>
      </c>
      <c r="L553" s="550" t="s">
        <v>256</v>
      </c>
      <c r="M553" s="555" t="n">
        <v>0</v>
      </c>
      <c r="N553" s="556" t="n">
        <v>0.0025</v>
      </c>
      <c r="O553" s="553" t="n">
        <f aca="false">+K553/(1-N553)+M553</f>
        <v>3.37015830328659</v>
      </c>
      <c r="P553" s="557" t="n">
        <f aca="false">Weightings!$C$8</f>
        <v>273.774605247488</v>
      </c>
      <c r="Q553" s="553" t="n">
        <f aca="false">+P553/SUM($P$9:$P$19)*O553</f>
        <v>0.0115886659246211</v>
      </c>
      <c r="R553" s="553"/>
      <c r="S553" s="273"/>
    </row>
    <row r="554" customFormat="false" ht="12.75" hidden="false" customHeight="false" outlineLevel="0" collapsed="false">
      <c r="A554" s="266" t="s">
        <v>207</v>
      </c>
      <c r="B554" s="317" t="s">
        <v>144</v>
      </c>
      <c r="C554" s="587" t="n">
        <f aca="false">C559</f>
        <v>3.1</v>
      </c>
      <c r="D554" s="550" t="s">
        <v>291</v>
      </c>
      <c r="E554" s="588" t="n">
        <f aca="false">0.0305+0.0022+0.0097</f>
        <v>0.0424</v>
      </c>
      <c r="F554" s="589" t="n">
        <v>0.0462</v>
      </c>
      <c r="G554" s="553" t="n">
        <f aca="false">+C554/(1-F554)+E554</f>
        <v>3.29255726567415</v>
      </c>
      <c r="H554" s="550" t="s">
        <v>255</v>
      </c>
      <c r="I554" s="555" t="n">
        <f aca="false">E551</f>
        <v>0.1043</v>
      </c>
      <c r="J554" s="556" t="n">
        <v>0.0228</v>
      </c>
      <c r="K554" s="553" t="n">
        <f aca="false">+G554/(1-J554)+I554</f>
        <v>3.47367910936773</v>
      </c>
      <c r="L554" s="550" t="s">
        <v>256</v>
      </c>
      <c r="M554" s="555" t="n">
        <v>0</v>
      </c>
      <c r="N554" s="556" t="n">
        <v>0.0025</v>
      </c>
      <c r="O554" s="553" t="n">
        <f aca="false">+K554/(1-N554)+M554</f>
        <v>3.48238507204785</v>
      </c>
      <c r="P554" s="557" t="n">
        <f aca="false">Weightings!$C$9</f>
        <v>6.55445647922163</v>
      </c>
      <c r="Q554" s="553" t="n">
        <f aca="false">+P554/SUM($P$9:$P$19)*O554</f>
        <v>0.000286684001339626</v>
      </c>
      <c r="R554" s="553"/>
      <c r="S554" s="273"/>
    </row>
    <row r="555" customFormat="false" ht="12.75" hidden="false" customHeight="false" outlineLevel="0" collapsed="false">
      <c r="A555" s="266" t="s">
        <v>211</v>
      </c>
      <c r="B555" s="317" t="s">
        <v>292</v>
      </c>
      <c r="C555" s="586" t="n">
        <v>3.04</v>
      </c>
      <c r="D555" s="550" t="s">
        <v>269</v>
      </c>
      <c r="E555" s="555" t="n">
        <f aca="false">0.0366+0.0022</f>
        <v>0.0388</v>
      </c>
      <c r="F555" s="562" t="n">
        <v>0.00697</v>
      </c>
      <c r="G555" s="553" t="n">
        <f aca="false">+C555/(1-F555)+E555</f>
        <v>3.10013752253205</v>
      </c>
      <c r="H555" s="550" t="s">
        <v>270</v>
      </c>
      <c r="I555" s="588" t="n">
        <f aca="false">0.017+0.0022</f>
        <v>0.0192</v>
      </c>
      <c r="J555" s="589" t="n">
        <v>0.02902</v>
      </c>
      <c r="K555" s="553" t="n">
        <f aca="false">+G555/(1-J555)+I555</f>
        <v>3.21199235672419</v>
      </c>
      <c r="L555" s="561" t="s">
        <v>271</v>
      </c>
      <c r="M555" s="555" t="n">
        <f aca="false">E556</f>
        <v>0.0226</v>
      </c>
      <c r="N555" s="562" t="n">
        <f aca="false">F556</f>
        <v>0.02776</v>
      </c>
      <c r="O555" s="563" t="n">
        <f aca="false">+K555/(1-N555)+M555</f>
        <v>3.3263031563443</v>
      </c>
      <c r="P555" s="557" t="n">
        <f aca="false">Weightings!$C$13</f>
        <v>31370.607479626</v>
      </c>
      <c r="Q555" s="553" t="n">
        <f aca="false">+P555/SUM($P$9:$P$19)*O555</f>
        <v>1.3106138028113</v>
      </c>
      <c r="R555" s="563"/>
      <c r="S555" s="273"/>
    </row>
    <row r="556" customFormat="false" ht="12.75" hidden="false" customHeight="false" outlineLevel="0" collapsed="false">
      <c r="A556" s="266" t="s">
        <v>212</v>
      </c>
      <c r="B556" s="317" t="s">
        <v>293</v>
      </c>
      <c r="C556" s="586" t="n">
        <v>3.415</v>
      </c>
      <c r="D556" s="550" t="s">
        <v>272</v>
      </c>
      <c r="E556" s="555" t="n">
        <f aca="false">0.0134+0.0022+0.007</f>
        <v>0.0226</v>
      </c>
      <c r="F556" s="562" t="n">
        <v>0.02776</v>
      </c>
      <c r="G556" s="553" t="n">
        <f aca="false">+C556/(1-F556)+E556</f>
        <v>3.53510719986835</v>
      </c>
      <c r="H556" s="550"/>
      <c r="I556" s="555" t="n">
        <v>0</v>
      </c>
      <c r="J556" s="556" t="n">
        <v>0</v>
      </c>
      <c r="K556" s="553" t="n">
        <f aca="false">+G556/(1-J556)+I556</f>
        <v>3.53510719986835</v>
      </c>
      <c r="L556" s="561"/>
      <c r="M556" s="555" t="n">
        <v>0</v>
      </c>
      <c r="N556" s="556" t="n">
        <v>0</v>
      </c>
      <c r="O556" s="553" t="n">
        <f aca="false">+K556/(1-N556)+M556</f>
        <v>3.53510719986835</v>
      </c>
      <c r="P556" s="557" t="n">
        <f aca="false">Weightings!$C$14</f>
        <v>5614.32270168218</v>
      </c>
      <c r="Q556" s="553" t="n">
        <f aca="false">+P556/SUM($P$9:$P$19)*O556</f>
        <v>0.249281437489384</v>
      </c>
      <c r="R556" s="553"/>
      <c r="S556" s="564"/>
    </row>
    <row r="557" customFormat="false" ht="12.75" hidden="false" customHeight="false" outlineLevel="0" collapsed="false">
      <c r="A557" s="266" t="s">
        <v>213</v>
      </c>
      <c r="B557" s="317" t="s">
        <v>294</v>
      </c>
      <c r="C557" s="586" t="n">
        <v>2.945</v>
      </c>
      <c r="D557" s="550" t="s">
        <v>295</v>
      </c>
      <c r="E557" s="588" t="n">
        <f aca="false">0.0299+0.0022+0.0097</f>
        <v>0.0418</v>
      </c>
      <c r="F557" s="589" t="n">
        <v>0.0458</v>
      </c>
      <c r="G557" s="553" t="n">
        <f aca="false">+C557/(1-F557)+E557</f>
        <v>3.1281550618319</v>
      </c>
      <c r="H557" s="550" t="s">
        <v>274</v>
      </c>
      <c r="I557" s="555" t="n">
        <v>0</v>
      </c>
      <c r="J557" s="556" t="n">
        <v>0.01</v>
      </c>
      <c r="K557" s="553" t="n">
        <f aca="false">+G557/(1-J557)+I557</f>
        <v>3.15975258770899</v>
      </c>
      <c r="L557" s="561"/>
      <c r="M557" s="555" t="n">
        <v>0</v>
      </c>
      <c r="N557" s="556" t="n">
        <v>0</v>
      </c>
      <c r="O557" s="553" t="n">
        <f aca="false">+K557/(1-N557)+M557</f>
        <v>3.15975258770899</v>
      </c>
      <c r="P557" s="557" t="n">
        <f aca="false">Weightings!$C$15</f>
        <v>3366</v>
      </c>
      <c r="Q557" s="553" t="n">
        <f aca="false">+P557/SUM($P$9:$P$19)*O557</f>
        <v>0.13358483877643</v>
      </c>
      <c r="R557" s="553"/>
      <c r="S557" s="273"/>
    </row>
    <row r="558" customFormat="false" ht="12.75" hidden="false" customHeight="false" outlineLevel="0" collapsed="false">
      <c r="A558" s="266" t="s">
        <v>214</v>
      </c>
      <c r="B558" s="317" t="s">
        <v>289</v>
      </c>
      <c r="C558" s="586" t="n">
        <v>2.98</v>
      </c>
      <c r="D558" s="550" t="s">
        <v>296</v>
      </c>
      <c r="E558" s="588" t="n">
        <f aca="false">0.0277+0.0022+0.0097</f>
        <v>0.0396</v>
      </c>
      <c r="F558" s="589" t="n">
        <v>0.0423</v>
      </c>
      <c r="G558" s="553" t="n">
        <f aca="false">+C558/(1-F558)+E558</f>
        <v>3.15122159340086</v>
      </c>
      <c r="H558" s="550" t="s">
        <v>274</v>
      </c>
      <c r="I558" s="555" t="n">
        <v>0</v>
      </c>
      <c r="J558" s="556" t="n">
        <v>0.01</v>
      </c>
      <c r="K558" s="553" t="n">
        <f aca="false">+G558/(1-J558)+I558</f>
        <v>3.18305211454632</v>
      </c>
      <c r="M558" s="555" t="n">
        <v>0</v>
      </c>
      <c r="N558" s="556" t="n">
        <v>0</v>
      </c>
      <c r="O558" s="553" t="n">
        <f aca="false">+K558/(1-N558)+M558</f>
        <v>3.18305211454632</v>
      </c>
      <c r="P558" s="557" t="n">
        <f aca="false">Weightings!$C$16</f>
        <v>4950</v>
      </c>
      <c r="Q558" s="553" t="n">
        <f aca="false">+P558/SUM($P$9:$P$19)*O558</f>
        <v>0.197896871639591</v>
      </c>
      <c r="R558" s="553"/>
      <c r="S558" s="273"/>
    </row>
    <row r="559" customFormat="false" ht="12.75" hidden="false" customHeight="false" outlineLevel="0" collapsed="false">
      <c r="A559" s="266" t="s">
        <v>215</v>
      </c>
      <c r="B559" s="317" t="s">
        <v>144</v>
      </c>
      <c r="C559" s="586" t="n">
        <v>3.1</v>
      </c>
      <c r="D559" s="550" t="s">
        <v>297</v>
      </c>
      <c r="E559" s="588" t="n">
        <f aca="false">0.0251+0.0022+0.0097</f>
        <v>0.037</v>
      </c>
      <c r="F559" s="589" t="n">
        <v>0.0381</v>
      </c>
      <c r="G559" s="553" t="n">
        <f aca="false">+C559/(1-F559)+E559</f>
        <v>3.25978823162491</v>
      </c>
      <c r="H559" s="550" t="s">
        <v>274</v>
      </c>
      <c r="I559" s="555" t="n">
        <v>0</v>
      </c>
      <c r="J559" s="556" t="n">
        <v>0.01</v>
      </c>
      <c r="K559" s="553" t="n">
        <f aca="false">+G559/(1-J559)+I559</f>
        <v>3.29271538547971</v>
      </c>
      <c r="M559" s="555" t="n">
        <v>0</v>
      </c>
      <c r="N559" s="556" t="n">
        <v>0</v>
      </c>
      <c r="O559" s="553" t="n">
        <f aca="false">+K559/(1-N559)+M559</f>
        <v>3.29271538547971</v>
      </c>
      <c r="P559" s="557" t="n">
        <f aca="false">Weightings!$C$17</f>
        <v>11172.1727158949</v>
      </c>
      <c r="Q559" s="553" t="n">
        <f aca="false">+P559/SUM($P$9:$P$19)*O559</f>
        <v>0.462042382713776</v>
      </c>
      <c r="R559" s="553"/>
      <c r="S559" s="273"/>
    </row>
    <row r="560" customFormat="false" ht="12.75" hidden="false" customHeight="false" outlineLevel="0" collapsed="false">
      <c r="O560" s="403"/>
      <c r="P560" s="385"/>
      <c r="Q560" s="403"/>
      <c r="R560" s="403"/>
      <c r="S560" s="565"/>
    </row>
    <row r="561" customFormat="false" ht="13.5" hidden="false" customHeight="false" outlineLevel="0" collapsed="false">
      <c r="O561" s="566"/>
      <c r="P561" s="567"/>
      <c r="Q561" s="566"/>
      <c r="R561" s="566"/>
    </row>
    <row r="562" customFormat="false" ht="13.5" hidden="false" customHeight="false" outlineLevel="0" collapsed="false">
      <c r="O562" s="568" t="s">
        <v>277</v>
      </c>
      <c r="P562" s="569"/>
      <c r="Q562" s="570" t="n">
        <f aca="false">SUM(Q549:Q559)</f>
        <v>3.39615139605485</v>
      </c>
      <c r="R562" s="590" t="n">
        <f aca="false">B547</f>
        <v>37192</v>
      </c>
    </row>
    <row r="563" customFormat="false" ht="12.75" hidden="false" customHeight="false" outlineLevel="0" collapsed="false">
      <c r="O563" s="403"/>
      <c r="P563" s="403"/>
      <c r="Q563" s="403"/>
      <c r="R563" s="403"/>
      <c r="S563" s="403"/>
    </row>
    <row r="564" customFormat="false" ht="12.75" hidden="false" customHeight="false" outlineLevel="0" collapsed="false">
      <c r="D564" s="550"/>
      <c r="H564" s="553"/>
      <c r="O564" s="566" t="s">
        <v>298</v>
      </c>
      <c r="P564" s="571" t="n">
        <f aca="false">Weightings!C563</f>
        <v>0</v>
      </c>
      <c r="Q564" s="403" t="s">
        <v>279</v>
      </c>
      <c r="R564" s="572" t="s">
        <v>280</v>
      </c>
      <c r="S564" s="403"/>
    </row>
    <row r="565" customFormat="false" ht="13.5" hidden="false" customHeight="false" outlineLevel="0" collapsed="false">
      <c r="A565" s="591"/>
      <c r="B565" s="592"/>
      <c r="C565" s="591"/>
      <c r="D565" s="593"/>
      <c r="E565" s="591"/>
      <c r="F565" s="591"/>
      <c r="G565" s="591"/>
      <c r="H565" s="594"/>
      <c r="I565" s="591"/>
      <c r="J565" s="591"/>
      <c r="K565" s="591"/>
      <c r="L565" s="591"/>
      <c r="M565" s="591"/>
      <c r="N565" s="591"/>
      <c r="O565" s="591"/>
      <c r="P565" s="595"/>
      <c r="Q565" s="591"/>
      <c r="R565" s="591"/>
      <c r="S565" s="591"/>
    </row>
    <row r="566" customFormat="false" ht="14.25" hidden="false" customHeight="false" outlineLevel="0" collapsed="false">
      <c r="A566" s="267"/>
      <c r="B566" s="544"/>
      <c r="D566" s="269" t="s">
        <v>241</v>
      </c>
      <c r="H566" s="269" t="s">
        <v>242</v>
      </c>
      <c r="L566" s="269" t="s">
        <v>243</v>
      </c>
    </row>
    <row r="567" customFormat="false" ht="14.25" hidden="false" customHeight="false" outlineLevel="0" collapsed="false">
      <c r="A567" s="582" t="s">
        <v>284</v>
      </c>
      <c r="B567" s="583" t="n">
        <f aca="false">B547+1</f>
        <v>37193</v>
      </c>
      <c r="C567" s="584" t="n">
        <f aca="false">Q582</f>
        <v>3.39615139605485</v>
      </c>
      <c r="E567" s="585"/>
    </row>
    <row r="568" customFormat="false" ht="54" hidden="false" customHeight="true" outlineLevel="0" collapsed="false">
      <c r="A568" s="267" t="s">
        <v>244</v>
      </c>
      <c r="B568" s="315" t="s">
        <v>132</v>
      </c>
      <c r="C568" s="545" t="s">
        <v>286</v>
      </c>
      <c r="D568" s="546" t="s">
        <v>247</v>
      </c>
      <c r="E568" s="547" t="s">
        <v>248</v>
      </c>
      <c r="F568" s="547" t="s">
        <v>249</v>
      </c>
      <c r="G568" s="547" t="s">
        <v>250</v>
      </c>
      <c r="H568" s="546" t="s">
        <v>247</v>
      </c>
      <c r="I568" s="547" t="s">
        <v>248</v>
      </c>
      <c r="J568" s="547" t="s">
        <v>249</v>
      </c>
      <c r="K568" s="547" t="s">
        <v>250</v>
      </c>
      <c r="L568" s="546" t="s">
        <v>247</v>
      </c>
      <c r="M568" s="547" t="s">
        <v>248</v>
      </c>
      <c r="N568" s="547" t="s">
        <v>249</v>
      </c>
      <c r="O568" s="547" t="s">
        <v>250</v>
      </c>
      <c r="P568" s="547" t="s">
        <v>251</v>
      </c>
      <c r="Q568" s="547" t="s">
        <v>252</v>
      </c>
      <c r="R568" s="547"/>
      <c r="S568" s="547"/>
    </row>
    <row r="569" customFormat="false" ht="12.75" hidden="false" customHeight="false" outlineLevel="0" collapsed="false">
      <c r="A569" s="266" t="s">
        <v>253</v>
      </c>
      <c r="B569" s="317" t="s">
        <v>142</v>
      </c>
      <c r="C569" s="586" t="n">
        <v>3.04</v>
      </c>
      <c r="D569" s="550" t="s">
        <v>254</v>
      </c>
      <c r="E569" s="555" t="n">
        <v>0.0522</v>
      </c>
      <c r="F569" s="562" t="n">
        <v>0.0506</v>
      </c>
      <c r="G569" s="553" t="n">
        <f aca="false">+C569/(1-F569)+E569</f>
        <v>3.25422232989256</v>
      </c>
      <c r="H569" s="550" t="s">
        <v>255</v>
      </c>
      <c r="I569" s="555" t="n">
        <f aca="false">E571</f>
        <v>0.1043</v>
      </c>
      <c r="J569" s="556" t="n">
        <v>0.0228</v>
      </c>
      <c r="K569" s="553" t="n">
        <f aca="false">+G569/(1-J569)+I569</f>
        <v>3.43444974405707</v>
      </c>
      <c r="L569" s="550" t="s">
        <v>256</v>
      </c>
      <c r="M569" s="555" t="n">
        <v>0</v>
      </c>
      <c r="N569" s="556" t="n">
        <v>0.0025</v>
      </c>
      <c r="O569" s="553" t="n">
        <f aca="false">+K569/(1-N569)+M569</f>
        <v>3.44305738752588</v>
      </c>
      <c r="P569" s="557" t="n">
        <f aca="false">Weightings!$C$4</f>
        <v>1071.40153987277</v>
      </c>
      <c r="Q569" s="553" t="n">
        <f aca="false">+P569/SUM($P$9:$P$19)*O569</f>
        <v>0.0463325825787802</v>
      </c>
      <c r="R569" s="553"/>
      <c r="S569" s="558"/>
    </row>
    <row r="570" customFormat="false" ht="12.75" hidden="false" customHeight="false" outlineLevel="0" collapsed="false">
      <c r="A570" s="266" t="s">
        <v>257</v>
      </c>
      <c r="B570" s="317" t="s">
        <v>143</v>
      </c>
      <c r="C570" s="586" t="n">
        <v>2.99</v>
      </c>
      <c r="D570" s="550" t="s">
        <v>258</v>
      </c>
      <c r="E570" s="555" t="n">
        <v>0.0522</v>
      </c>
      <c r="F570" s="562" t="n">
        <v>0.058</v>
      </c>
      <c r="G570" s="553" t="n">
        <f aca="false">+C570/(1-F570)+E570</f>
        <v>3.22629766454353</v>
      </c>
      <c r="H570" s="550" t="s">
        <v>255</v>
      </c>
      <c r="I570" s="555" t="n">
        <f aca="false">E571</f>
        <v>0.1043</v>
      </c>
      <c r="J570" s="556" t="n">
        <v>0.0228</v>
      </c>
      <c r="K570" s="553" t="n">
        <f aca="false">+G570/(1-J570)+I570</f>
        <v>3.40587354128482</v>
      </c>
      <c r="L570" s="550" t="s">
        <v>256</v>
      </c>
      <c r="M570" s="555" t="n">
        <v>0</v>
      </c>
      <c r="N570" s="556" t="n">
        <v>0.0025</v>
      </c>
      <c r="O570" s="553" t="n">
        <f aca="false">+K570/(1-N570)+M570</f>
        <v>3.41440956519781</v>
      </c>
      <c r="P570" s="557" t="n">
        <f aca="false">Weightings!$C$5</f>
        <v>1309.88291792445</v>
      </c>
      <c r="Q570" s="553" t="n">
        <f aca="false">+P570/SUM($P$9:$P$19)*O570</f>
        <v>0.0561743523197123</v>
      </c>
      <c r="R570" s="553"/>
      <c r="S570" s="273"/>
    </row>
    <row r="571" customFormat="false" ht="12.75" hidden="false" customHeight="false" outlineLevel="0" collapsed="false">
      <c r="A571" s="266" t="s">
        <v>259</v>
      </c>
      <c r="B571" s="317" t="s">
        <v>287</v>
      </c>
      <c r="C571" s="586" t="n">
        <v>3.415</v>
      </c>
      <c r="D571" s="550" t="s">
        <v>260</v>
      </c>
      <c r="E571" s="555" t="n">
        <f aca="false">0.0951+0.0022+0.007</f>
        <v>0.1043</v>
      </c>
      <c r="F571" s="562" t="n">
        <v>0.0228</v>
      </c>
      <c r="G571" s="553" t="n">
        <f aca="false">+C571/(1-F571)+E571</f>
        <v>3.59897867376177</v>
      </c>
      <c r="H571" s="550" t="s">
        <v>256</v>
      </c>
      <c r="I571" s="555" t="n">
        <v>0</v>
      </c>
      <c r="J571" s="556" t="n">
        <v>0.0025</v>
      </c>
      <c r="K571" s="553" t="n">
        <f aca="false">+G571/(1-J571)+I571</f>
        <v>3.60799867043786</v>
      </c>
      <c r="L571" s="550"/>
      <c r="M571" s="555" t="n">
        <v>0</v>
      </c>
      <c r="N571" s="556" t="n">
        <v>0</v>
      </c>
      <c r="O571" s="553" t="n">
        <f aca="false">+K571/(1-N571)+M571</f>
        <v>3.60799867043786</v>
      </c>
      <c r="P571" s="557" t="n">
        <f aca="false">Weightings!$C$6</f>
        <v>19813.4520237259</v>
      </c>
      <c r="Q571" s="553" t="n">
        <f aca="false">+P571/SUM($P$9:$P$19)*O571</f>
        <v>0.897876277346947</v>
      </c>
      <c r="R571" s="553"/>
      <c r="S571" s="273"/>
    </row>
    <row r="572" customFormat="false" ht="12.75" hidden="false" customHeight="false" outlineLevel="0" collapsed="false">
      <c r="A572" s="266" t="s">
        <v>261</v>
      </c>
      <c r="B572" s="317" t="s">
        <v>288</v>
      </c>
      <c r="C572" s="586" t="n">
        <v>3.43</v>
      </c>
      <c r="D572" s="550" t="s">
        <v>262</v>
      </c>
      <c r="E572" s="555" t="n">
        <f aca="false">0.0951+0.0022+0.007</f>
        <v>0.1043</v>
      </c>
      <c r="F572" s="562" t="n">
        <v>0.0228</v>
      </c>
      <c r="G572" s="553" t="n">
        <f aca="false">+C572/(1-F572)+E572</f>
        <v>3.61432865329513</v>
      </c>
      <c r="H572" s="550" t="s">
        <v>256</v>
      </c>
      <c r="I572" s="555" t="n">
        <v>0</v>
      </c>
      <c r="J572" s="556" t="n">
        <v>0.0025</v>
      </c>
      <c r="K572" s="553" t="n">
        <f aca="false">+G572/(1-J572)+I572</f>
        <v>3.62338712109787</v>
      </c>
      <c r="L572" s="550"/>
      <c r="M572" s="555" t="n">
        <v>0</v>
      </c>
      <c r="N572" s="556" t="n">
        <v>0</v>
      </c>
      <c r="O572" s="553" t="n">
        <f aca="false">+K572/(1-N572)+M572</f>
        <v>3.62338712109787</v>
      </c>
      <c r="P572" s="557" t="n">
        <f aca="false">Weightings!$C$7</f>
        <v>669.603363940486</v>
      </c>
      <c r="Q572" s="553" t="n">
        <f aca="false">+P572/SUM($P$9:$P$19)*O572</f>
        <v>0.0304735004529715</v>
      </c>
      <c r="R572" s="553"/>
      <c r="S572" s="558"/>
    </row>
    <row r="573" customFormat="false" ht="12.75" hidden="false" customHeight="false" outlineLevel="0" collapsed="false">
      <c r="A573" s="266" t="s">
        <v>206</v>
      </c>
      <c r="B573" s="317" t="s">
        <v>289</v>
      </c>
      <c r="C573" s="587" t="n">
        <f aca="false">C578</f>
        <v>2.98</v>
      </c>
      <c r="D573" s="550" t="s">
        <v>290</v>
      </c>
      <c r="E573" s="588" t="n">
        <f aca="false">0.0331+0.0022+0.0097</f>
        <v>0.045</v>
      </c>
      <c r="F573" s="589" t="n">
        <v>0.0504</v>
      </c>
      <c r="G573" s="553" t="n">
        <f aca="false">+C573/(1-F573)+E573</f>
        <v>3.18316343723673</v>
      </c>
      <c r="H573" s="550" t="s">
        <v>255</v>
      </c>
      <c r="I573" s="555" t="n">
        <f aca="false">E571</f>
        <v>0.1043</v>
      </c>
      <c r="J573" s="556" t="n">
        <v>0.0228</v>
      </c>
      <c r="K573" s="553" t="n">
        <f aca="false">+G573/(1-J573)+I573</f>
        <v>3.36173290752838</v>
      </c>
      <c r="L573" s="550" t="s">
        <v>256</v>
      </c>
      <c r="M573" s="555" t="n">
        <v>0</v>
      </c>
      <c r="N573" s="556" t="n">
        <v>0.0025</v>
      </c>
      <c r="O573" s="553" t="n">
        <f aca="false">+K573/(1-N573)+M573</f>
        <v>3.37015830328659</v>
      </c>
      <c r="P573" s="557" t="n">
        <f aca="false">Weightings!$C$8</f>
        <v>273.774605247488</v>
      </c>
      <c r="Q573" s="553" t="n">
        <f aca="false">+P573/SUM($P$9:$P$19)*O573</f>
        <v>0.0115886659246211</v>
      </c>
      <c r="R573" s="553"/>
      <c r="S573" s="273"/>
    </row>
    <row r="574" customFormat="false" ht="12.75" hidden="false" customHeight="false" outlineLevel="0" collapsed="false">
      <c r="A574" s="266" t="s">
        <v>207</v>
      </c>
      <c r="B574" s="317" t="s">
        <v>144</v>
      </c>
      <c r="C574" s="587" t="n">
        <f aca="false">C579</f>
        <v>3.1</v>
      </c>
      <c r="D574" s="550" t="s">
        <v>291</v>
      </c>
      <c r="E574" s="588" t="n">
        <f aca="false">0.0305+0.0022+0.0097</f>
        <v>0.0424</v>
      </c>
      <c r="F574" s="589" t="n">
        <v>0.0462</v>
      </c>
      <c r="G574" s="553" t="n">
        <f aca="false">+C574/(1-F574)+E574</f>
        <v>3.29255726567415</v>
      </c>
      <c r="H574" s="550" t="s">
        <v>255</v>
      </c>
      <c r="I574" s="555" t="n">
        <f aca="false">E571</f>
        <v>0.1043</v>
      </c>
      <c r="J574" s="556" t="n">
        <v>0.0228</v>
      </c>
      <c r="K574" s="553" t="n">
        <f aca="false">+G574/(1-J574)+I574</f>
        <v>3.47367910936773</v>
      </c>
      <c r="L574" s="550" t="s">
        <v>256</v>
      </c>
      <c r="M574" s="555" t="n">
        <v>0</v>
      </c>
      <c r="N574" s="556" t="n">
        <v>0.0025</v>
      </c>
      <c r="O574" s="553" t="n">
        <f aca="false">+K574/(1-N574)+M574</f>
        <v>3.48238507204785</v>
      </c>
      <c r="P574" s="557" t="n">
        <f aca="false">Weightings!$C$9</f>
        <v>6.55445647922163</v>
      </c>
      <c r="Q574" s="553" t="n">
        <f aca="false">+P574/SUM($P$9:$P$19)*O574</f>
        <v>0.000286684001339626</v>
      </c>
      <c r="R574" s="553"/>
      <c r="S574" s="273"/>
    </row>
    <row r="575" customFormat="false" ht="12.75" hidden="false" customHeight="false" outlineLevel="0" collapsed="false">
      <c r="A575" s="266" t="s">
        <v>211</v>
      </c>
      <c r="B575" s="317" t="s">
        <v>292</v>
      </c>
      <c r="C575" s="586" t="n">
        <v>3.04</v>
      </c>
      <c r="D575" s="550" t="s">
        <v>269</v>
      </c>
      <c r="E575" s="555" t="n">
        <f aca="false">0.0366+0.0022</f>
        <v>0.0388</v>
      </c>
      <c r="F575" s="562" t="n">
        <v>0.00697</v>
      </c>
      <c r="G575" s="553" t="n">
        <f aca="false">+C575/(1-F575)+E575</f>
        <v>3.10013752253205</v>
      </c>
      <c r="H575" s="550" t="s">
        <v>270</v>
      </c>
      <c r="I575" s="588" t="n">
        <f aca="false">0.017+0.0022</f>
        <v>0.0192</v>
      </c>
      <c r="J575" s="589" t="n">
        <v>0.02902</v>
      </c>
      <c r="K575" s="553" t="n">
        <f aca="false">+G575/(1-J575)+I575</f>
        <v>3.21199235672419</v>
      </c>
      <c r="L575" s="561" t="s">
        <v>271</v>
      </c>
      <c r="M575" s="555" t="n">
        <f aca="false">E576</f>
        <v>0.0226</v>
      </c>
      <c r="N575" s="562" t="n">
        <f aca="false">F576</f>
        <v>0.02776</v>
      </c>
      <c r="O575" s="563" t="n">
        <f aca="false">+K575/(1-N575)+M575</f>
        <v>3.3263031563443</v>
      </c>
      <c r="P575" s="557" t="n">
        <f aca="false">Weightings!$C$13</f>
        <v>31370.607479626</v>
      </c>
      <c r="Q575" s="553" t="n">
        <f aca="false">+P575/SUM($P$9:$P$19)*O575</f>
        <v>1.3106138028113</v>
      </c>
      <c r="R575" s="563"/>
      <c r="S575" s="273"/>
    </row>
    <row r="576" customFormat="false" ht="12.75" hidden="false" customHeight="false" outlineLevel="0" collapsed="false">
      <c r="A576" s="266" t="s">
        <v>212</v>
      </c>
      <c r="B576" s="317" t="s">
        <v>293</v>
      </c>
      <c r="C576" s="586" t="n">
        <v>3.415</v>
      </c>
      <c r="D576" s="550" t="s">
        <v>272</v>
      </c>
      <c r="E576" s="555" t="n">
        <f aca="false">0.0134+0.0022+0.007</f>
        <v>0.0226</v>
      </c>
      <c r="F576" s="562" t="n">
        <v>0.02776</v>
      </c>
      <c r="G576" s="553" t="n">
        <f aca="false">+C576/(1-F576)+E576</f>
        <v>3.53510719986835</v>
      </c>
      <c r="H576" s="550"/>
      <c r="I576" s="555" t="n">
        <v>0</v>
      </c>
      <c r="J576" s="556" t="n">
        <v>0</v>
      </c>
      <c r="K576" s="553" t="n">
        <f aca="false">+G576/(1-J576)+I576</f>
        <v>3.53510719986835</v>
      </c>
      <c r="L576" s="561"/>
      <c r="M576" s="555" t="n">
        <v>0</v>
      </c>
      <c r="N576" s="556" t="n">
        <v>0</v>
      </c>
      <c r="O576" s="553" t="n">
        <f aca="false">+K576/(1-N576)+M576</f>
        <v>3.53510719986835</v>
      </c>
      <c r="P576" s="557" t="n">
        <f aca="false">Weightings!$C$14</f>
        <v>5614.32270168218</v>
      </c>
      <c r="Q576" s="553" t="n">
        <f aca="false">+P576/SUM($P$9:$P$19)*O576</f>
        <v>0.249281437489384</v>
      </c>
      <c r="R576" s="553"/>
      <c r="S576" s="564"/>
    </row>
    <row r="577" customFormat="false" ht="12.75" hidden="false" customHeight="false" outlineLevel="0" collapsed="false">
      <c r="A577" s="266" t="s">
        <v>213</v>
      </c>
      <c r="B577" s="317" t="s">
        <v>294</v>
      </c>
      <c r="C577" s="586" t="n">
        <v>2.945</v>
      </c>
      <c r="D577" s="550" t="s">
        <v>295</v>
      </c>
      <c r="E577" s="588" t="n">
        <f aca="false">0.0299+0.0022+0.0097</f>
        <v>0.0418</v>
      </c>
      <c r="F577" s="589" t="n">
        <v>0.0458</v>
      </c>
      <c r="G577" s="553" t="n">
        <f aca="false">+C577/(1-F577)+E577</f>
        <v>3.1281550618319</v>
      </c>
      <c r="H577" s="550" t="s">
        <v>274</v>
      </c>
      <c r="I577" s="555" t="n">
        <v>0</v>
      </c>
      <c r="J577" s="556" t="n">
        <v>0.01</v>
      </c>
      <c r="K577" s="553" t="n">
        <f aca="false">+G577/(1-J577)+I577</f>
        <v>3.15975258770899</v>
      </c>
      <c r="L577" s="561"/>
      <c r="M577" s="555" t="n">
        <v>0</v>
      </c>
      <c r="N577" s="556" t="n">
        <v>0</v>
      </c>
      <c r="O577" s="553" t="n">
        <f aca="false">+K577/(1-N577)+M577</f>
        <v>3.15975258770899</v>
      </c>
      <c r="P577" s="557" t="n">
        <f aca="false">Weightings!$C$15</f>
        <v>3366</v>
      </c>
      <c r="Q577" s="553" t="n">
        <f aca="false">+P577/SUM($P$9:$P$19)*O577</f>
        <v>0.13358483877643</v>
      </c>
      <c r="R577" s="553"/>
      <c r="S577" s="273"/>
    </row>
    <row r="578" customFormat="false" ht="12.75" hidden="false" customHeight="false" outlineLevel="0" collapsed="false">
      <c r="A578" s="266" t="s">
        <v>214</v>
      </c>
      <c r="B578" s="317" t="s">
        <v>289</v>
      </c>
      <c r="C578" s="586" t="n">
        <v>2.98</v>
      </c>
      <c r="D578" s="550" t="s">
        <v>296</v>
      </c>
      <c r="E578" s="588" t="n">
        <f aca="false">0.0277+0.0022+0.0097</f>
        <v>0.0396</v>
      </c>
      <c r="F578" s="589" t="n">
        <v>0.0423</v>
      </c>
      <c r="G578" s="553" t="n">
        <f aca="false">+C578/(1-F578)+E578</f>
        <v>3.15122159340086</v>
      </c>
      <c r="H578" s="550" t="s">
        <v>274</v>
      </c>
      <c r="I578" s="555" t="n">
        <v>0</v>
      </c>
      <c r="J578" s="556" t="n">
        <v>0.01</v>
      </c>
      <c r="K578" s="553" t="n">
        <f aca="false">+G578/(1-J578)+I578</f>
        <v>3.18305211454632</v>
      </c>
      <c r="M578" s="555" t="n">
        <v>0</v>
      </c>
      <c r="N578" s="556" t="n">
        <v>0</v>
      </c>
      <c r="O578" s="553" t="n">
        <f aca="false">+K578/(1-N578)+M578</f>
        <v>3.18305211454632</v>
      </c>
      <c r="P578" s="557" t="n">
        <f aca="false">Weightings!$C$16</f>
        <v>4950</v>
      </c>
      <c r="Q578" s="553" t="n">
        <f aca="false">+P578/SUM($P$9:$P$19)*O578</f>
        <v>0.197896871639591</v>
      </c>
      <c r="R578" s="553"/>
      <c r="S578" s="273"/>
    </row>
    <row r="579" customFormat="false" ht="12.75" hidden="false" customHeight="false" outlineLevel="0" collapsed="false">
      <c r="A579" s="266" t="s">
        <v>215</v>
      </c>
      <c r="B579" s="317" t="s">
        <v>144</v>
      </c>
      <c r="C579" s="586" t="n">
        <v>3.1</v>
      </c>
      <c r="D579" s="550" t="s">
        <v>297</v>
      </c>
      <c r="E579" s="588" t="n">
        <f aca="false">0.0251+0.0022+0.0097</f>
        <v>0.037</v>
      </c>
      <c r="F579" s="589" t="n">
        <v>0.0381</v>
      </c>
      <c r="G579" s="553" t="n">
        <f aca="false">+C579/(1-F579)+E579</f>
        <v>3.25978823162491</v>
      </c>
      <c r="H579" s="550" t="s">
        <v>274</v>
      </c>
      <c r="I579" s="555" t="n">
        <v>0</v>
      </c>
      <c r="J579" s="556" t="n">
        <v>0.01</v>
      </c>
      <c r="K579" s="553" t="n">
        <f aca="false">+G579/(1-J579)+I579</f>
        <v>3.29271538547971</v>
      </c>
      <c r="M579" s="555" t="n">
        <v>0</v>
      </c>
      <c r="N579" s="556" t="n">
        <v>0</v>
      </c>
      <c r="O579" s="553" t="n">
        <f aca="false">+K579/(1-N579)+M579</f>
        <v>3.29271538547971</v>
      </c>
      <c r="P579" s="557" t="n">
        <f aca="false">Weightings!$C$17</f>
        <v>11172.1727158949</v>
      </c>
      <c r="Q579" s="553" t="n">
        <f aca="false">+P579/SUM($P$9:$P$19)*O579</f>
        <v>0.462042382713776</v>
      </c>
      <c r="R579" s="553"/>
      <c r="S579" s="273"/>
    </row>
    <row r="580" customFormat="false" ht="12.75" hidden="false" customHeight="false" outlineLevel="0" collapsed="false">
      <c r="O580" s="403"/>
      <c r="P580" s="385"/>
      <c r="Q580" s="403"/>
      <c r="R580" s="403"/>
      <c r="S580" s="565"/>
    </row>
    <row r="581" customFormat="false" ht="13.5" hidden="false" customHeight="false" outlineLevel="0" collapsed="false">
      <c r="O581" s="566"/>
      <c r="P581" s="567"/>
      <c r="Q581" s="566"/>
      <c r="R581" s="566"/>
    </row>
    <row r="582" customFormat="false" ht="13.5" hidden="false" customHeight="false" outlineLevel="0" collapsed="false">
      <c r="O582" s="568" t="s">
        <v>277</v>
      </c>
      <c r="P582" s="569"/>
      <c r="Q582" s="570" t="n">
        <f aca="false">SUM(Q569:Q579)</f>
        <v>3.39615139605485</v>
      </c>
      <c r="R582" s="590" t="n">
        <f aca="false">B567</f>
        <v>37193</v>
      </c>
    </row>
    <row r="583" customFormat="false" ht="12.75" hidden="false" customHeight="false" outlineLevel="0" collapsed="false">
      <c r="O583" s="403"/>
      <c r="P583" s="403"/>
      <c r="Q583" s="403"/>
      <c r="R583" s="403"/>
      <c r="S583" s="403"/>
    </row>
    <row r="584" customFormat="false" ht="12.75" hidden="false" customHeight="false" outlineLevel="0" collapsed="false">
      <c r="D584" s="550"/>
      <c r="H584" s="553"/>
      <c r="O584" s="566" t="s">
        <v>298</v>
      </c>
      <c r="P584" s="571" t="n">
        <f aca="false">Weightings!C583</f>
        <v>0</v>
      </c>
      <c r="Q584" s="403" t="s">
        <v>279</v>
      </c>
      <c r="R584" s="572" t="s">
        <v>280</v>
      </c>
      <c r="S584" s="403"/>
    </row>
    <row r="585" customFormat="false" ht="13.5" hidden="false" customHeight="false" outlineLevel="0" collapsed="false">
      <c r="A585" s="591"/>
      <c r="B585" s="592"/>
      <c r="C585" s="591"/>
      <c r="D585" s="593"/>
      <c r="E585" s="591"/>
      <c r="F585" s="591"/>
      <c r="G585" s="591"/>
      <c r="H585" s="594"/>
      <c r="I585" s="591"/>
      <c r="J585" s="591"/>
      <c r="K585" s="591"/>
      <c r="L585" s="591"/>
      <c r="M585" s="591"/>
      <c r="N585" s="591"/>
      <c r="O585" s="591"/>
      <c r="P585" s="595"/>
      <c r="Q585" s="591"/>
      <c r="R585" s="591"/>
      <c r="S585" s="591"/>
    </row>
    <row r="586" customFormat="false" ht="14.25" hidden="false" customHeight="false" outlineLevel="0" collapsed="false">
      <c r="A586" s="267"/>
      <c r="B586" s="544"/>
      <c r="D586" s="269" t="s">
        <v>241</v>
      </c>
      <c r="H586" s="269" t="s">
        <v>242</v>
      </c>
      <c r="L586" s="269" t="s">
        <v>243</v>
      </c>
    </row>
    <row r="587" customFormat="false" ht="14.25" hidden="false" customHeight="false" outlineLevel="0" collapsed="false">
      <c r="A587" s="582" t="s">
        <v>284</v>
      </c>
      <c r="B587" s="583" t="n">
        <f aca="false">B567+1</f>
        <v>37194</v>
      </c>
      <c r="C587" s="584" t="n">
        <f aca="false">Q602</f>
        <v>3.56232322254361</v>
      </c>
      <c r="E587" s="585"/>
    </row>
    <row r="588" customFormat="false" ht="54" hidden="false" customHeight="true" outlineLevel="0" collapsed="false">
      <c r="A588" s="267" t="s">
        <v>244</v>
      </c>
      <c r="B588" s="315" t="s">
        <v>132</v>
      </c>
      <c r="C588" s="545" t="s">
        <v>286</v>
      </c>
      <c r="D588" s="546" t="s">
        <v>247</v>
      </c>
      <c r="E588" s="547" t="s">
        <v>248</v>
      </c>
      <c r="F588" s="547" t="s">
        <v>249</v>
      </c>
      <c r="G588" s="547" t="s">
        <v>250</v>
      </c>
      <c r="H588" s="546" t="s">
        <v>247</v>
      </c>
      <c r="I588" s="547" t="s">
        <v>248</v>
      </c>
      <c r="J588" s="547" t="s">
        <v>249</v>
      </c>
      <c r="K588" s="547" t="s">
        <v>250</v>
      </c>
      <c r="L588" s="546" t="s">
        <v>247</v>
      </c>
      <c r="M588" s="547" t="s">
        <v>248</v>
      </c>
      <c r="N588" s="547" t="s">
        <v>249</v>
      </c>
      <c r="O588" s="547" t="s">
        <v>250</v>
      </c>
      <c r="P588" s="547" t="s">
        <v>251</v>
      </c>
      <c r="Q588" s="547" t="s">
        <v>252</v>
      </c>
      <c r="R588" s="547"/>
      <c r="S588" s="547"/>
    </row>
    <row r="589" customFormat="false" ht="12.75" hidden="false" customHeight="false" outlineLevel="0" collapsed="false">
      <c r="A589" s="266" t="s">
        <v>253</v>
      </c>
      <c r="B589" s="317" t="s">
        <v>142</v>
      </c>
      <c r="C589" s="586" t="n">
        <v>3.195</v>
      </c>
      <c r="D589" s="550" t="s">
        <v>254</v>
      </c>
      <c r="E589" s="555" t="n">
        <v>0.0522</v>
      </c>
      <c r="F589" s="562" t="n">
        <v>0.0506</v>
      </c>
      <c r="G589" s="553" t="n">
        <f aca="false">+C589/(1-F589)+E589</f>
        <v>3.41748333684432</v>
      </c>
      <c r="H589" s="550" t="s">
        <v>255</v>
      </c>
      <c r="I589" s="555" t="n">
        <f aca="false">E591</f>
        <v>0.1043</v>
      </c>
      <c r="J589" s="556" t="n">
        <v>0.0228</v>
      </c>
      <c r="K589" s="553" t="n">
        <f aca="false">+G589/(1-J589)+I589</f>
        <v>3.60151995174409</v>
      </c>
      <c r="L589" s="550" t="s">
        <v>256</v>
      </c>
      <c r="M589" s="555" t="n">
        <v>0</v>
      </c>
      <c r="N589" s="556" t="n">
        <v>0.0025</v>
      </c>
      <c r="O589" s="553" t="n">
        <f aca="false">+K589/(1-N589)+M589</f>
        <v>3.61054631753793</v>
      </c>
      <c r="P589" s="557" t="n">
        <f aca="false">Weightings!$C$4</f>
        <v>1071.40153987277</v>
      </c>
      <c r="Q589" s="553" t="n">
        <f aca="false">+P589/SUM($P$9:$P$19)*O589</f>
        <v>0.0485864499435618</v>
      </c>
      <c r="R589" s="553"/>
      <c r="S589" s="558"/>
    </row>
    <row r="590" customFormat="false" ht="12.75" hidden="false" customHeight="false" outlineLevel="0" collapsed="false">
      <c r="A590" s="266" t="s">
        <v>257</v>
      </c>
      <c r="B590" s="317" t="s">
        <v>143</v>
      </c>
      <c r="C590" s="586" t="n">
        <v>3.18</v>
      </c>
      <c r="D590" s="550" t="s">
        <v>258</v>
      </c>
      <c r="E590" s="555" t="n">
        <v>0.0522</v>
      </c>
      <c r="F590" s="562" t="n">
        <v>0.058</v>
      </c>
      <c r="G590" s="553" t="n">
        <f aca="false">+C590/(1-F590)+E590</f>
        <v>3.42799617834395</v>
      </c>
      <c r="H590" s="550" t="s">
        <v>255</v>
      </c>
      <c r="I590" s="555" t="n">
        <f aca="false">E591</f>
        <v>0.1043</v>
      </c>
      <c r="J590" s="556" t="n">
        <v>0.0228</v>
      </c>
      <c r="K590" s="553" t="n">
        <f aca="false">+G590/(1-J590)+I590</f>
        <v>3.61227807853454</v>
      </c>
      <c r="L590" s="550" t="s">
        <v>256</v>
      </c>
      <c r="M590" s="555" t="n">
        <v>0</v>
      </c>
      <c r="N590" s="556" t="n">
        <v>0.0025</v>
      </c>
      <c r="O590" s="553" t="n">
        <f aca="false">+K590/(1-N590)+M590</f>
        <v>3.62133140705217</v>
      </c>
      <c r="P590" s="557" t="n">
        <f aca="false">Weightings!$C$5</f>
        <v>1309.88291792445</v>
      </c>
      <c r="Q590" s="553" t="n">
        <f aca="false">+P590/SUM($P$9:$P$19)*O590</f>
        <v>0.0595786599240043</v>
      </c>
      <c r="R590" s="553"/>
      <c r="S590" s="273"/>
    </row>
    <row r="591" customFormat="false" ht="12.75" hidden="false" customHeight="false" outlineLevel="0" collapsed="false">
      <c r="A591" s="266" t="s">
        <v>259</v>
      </c>
      <c r="B591" s="317" t="s">
        <v>287</v>
      </c>
      <c r="C591" s="586" t="n">
        <v>3.575</v>
      </c>
      <c r="D591" s="550" t="s">
        <v>260</v>
      </c>
      <c r="E591" s="555" t="n">
        <f aca="false">0.0951+0.0022+0.007</f>
        <v>0.1043</v>
      </c>
      <c r="F591" s="562" t="n">
        <v>0.0228</v>
      </c>
      <c r="G591" s="553" t="n">
        <f aca="false">+C591/(1-F591)+E591</f>
        <v>3.76271178878428</v>
      </c>
      <c r="H591" s="550" t="s">
        <v>256</v>
      </c>
      <c r="I591" s="555" t="n">
        <v>0</v>
      </c>
      <c r="J591" s="556" t="n">
        <v>0.0025</v>
      </c>
      <c r="K591" s="553" t="n">
        <f aca="false">+G591/(1-J591)+I591</f>
        <v>3.77214214414464</v>
      </c>
      <c r="L591" s="550"/>
      <c r="M591" s="555" t="n">
        <v>0</v>
      </c>
      <c r="N591" s="556" t="n">
        <v>0</v>
      </c>
      <c r="O591" s="553" t="n">
        <f aca="false">+K591/(1-N591)+M591</f>
        <v>3.77214214414464</v>
      </c>
      <c r="P591" s="557" t="n">
        <f aca="false">Weightings!$C$6</f>
        <v>19813.4520237259</v>
      </c>
      <c r="Q591" s="553" t="n">
        <f aca="false">+P591/SUM($P$9:$P$19)*O591</f>
        <v>0.938724554905972</v>
      </c>
      <c r="R591" s="553"/>
      <c r="S591" s="273"/>
    </row>
    <row r="592" customFormat="false" ht="12.75" hidden="false" customHeight="false" outlineLevel="0" collapsed="false">
      <c r="A592" s="266" t="s">
        <v>261</v>
      </c>
      <c r="B592" s="317" t="s">
        <v>288</v>
      </c>
      <c r="C592" s="586" t="n">
        <v>3.61</v>
      </c>
      <c r="D592" s="550" t="s">
        <v>262</v>
      </c>
      <c r="E592" s="555" t="n">
        <f aca="false">0.0951+0.0022+0.007</f>
        <v>0.1043</v>
      </c>
      <c r="F592" s="562" t="n">
        <v>0.0228</v>
      </c>
      <c r="G592" s="553" t="n">
        <f aca="false">+C592/(1-F592)+E592</f>
        <v>3.79852840769546</v>
      </c>
      <c r="H592" s="550" t="s">
        <v>256</v>
      </c>
      <c r="I592" s="555" t="n">
        <v>0</v>
      </c>
      <c r="J592" s="556" t="n">
        <v>0.0025</v>
      </c>
      <c r="K592" s="553" t="n">
        <f aca="false">+G592/(1-J592)+I592</f>
        <v>3.808048529018</v>
      </c>
      <c r="L592" s="550"/>
      <c r="M592" s="555" t="n">
        <v>0</v>
      </c>
      <c r="N592" s="556" t="n">
        <v>0</v>
      </c>
      <c r="O592" s="553" t="n">
        <f aca="false">+K592/(1-N592)+M592</f>
        <v>3.808048529018</v>
      </c>
      <c r="P592" s="557" t="n">
        <f aca="false">Weightings!$C$7</f>
        <v>669.603363940486</v>
      </c>
      <c r="Q592" s="553" t="n">
        <f aca="false">+P592/SUM($P$9:$P$19)*O592</f>
        <v>0.0320265444170389</v>
      </c>
      <c r="R592" s="553"/>
      <c r="S592" s="558"/>
    </row>
    <row r="593" customFormat="false" ht="12.75" hidden="false" customHeight="false" outlineLevel="0" collapsed="false">
      <c r="A593" s="266" t="s">
        <v>206</v>
      </c>
      <c r="B593" s="317" t="s">
        <v>289</v>
      </c>
      <c r="C593" s="587" t="n">
        <f aca="false">C598</f>
        <v>3.14</v>
      </c>
      <c r="D593" s="550" t="s">
        <v>290</v>
      </c>
      <c r="E593" s="588" t="n">
        <f aca="false">0.0331+0.0022+0.0097</f>
        <v>0.045</v>
      </c>
      <c r="F593" s="589" t="n">
        <v>0.0504</v>
      </c>
      <c r="G593" s="553" t="n">
        <f aca="false">+C593/(1-F593)+E593</f>
        <v>3.35165543386689</v>
      </c>
      <c r="H593" s="550" t="s">
        <v>255</v>
      </c>
      <c r="I593" s="555" t="n">
        <f aca="false">E591</f>
        <v>0.1043</v>
      </c>
      <c r="J593" s="556" t="n">
        <v>0.0228</v>
      </c>
      <c r="K593" s="553" t="n">
        <f aca="false">+G593/(1-J593)+I593</f>
        <v>3.53415615418225</v>
      </c>
      <c r="L593" s="550" t="s">
        <v>256</v>
      </c>
      <c r="M593" s="555" t="n">
        <v>0</v>
      </c>
      <c r="N593" s="556" t="n">
        <v>0.0025</v>
      </c>
      <c r="O593" s="553" t="n">
        <f aca="false">+K593/(1-N593)+M593</f>
        <v>3.54301368840325</v>
      </c>
      <c r="P593" s="557" t="n">
        <f aca="false">Weightings!$C$8</f>
        <v>273.774605247488</v>
      </c>
      <c r="Q593" s="553" t="n">
        <f aca="false">+P593/SUM($P$9:$P$19)*O593</f>
        <v>0.0121830484820918</v>
      </c>
      <c r="R593" s="553"/>
      <c r="S593" s="273"/>
    </row>
    <row r="594" customFormat="false" ht="12.75" hidden="false" customHeight="false" outlineLevel="0" collapsed="false">
      <c r="A594" s="266" t="s">
        <v>207</v>
      </c>
      <c r="B594" s="317" t="s">
        <v>144</v>
      </c>
      <c r="C594" s="587" t="n">
        <f aca="false">C599</f>
        <v>3.23</v>
      </c>
      <c r="D594" s="550" t="s">
        <v>291</v>
      </c>
      <c r="E594" s="588" t="n">
        <f aca="false">0.0305+0.0022+0.0097</f>
        <v>0.0424</v>
      </c>
      <c r="F594" s="589" t="n">
        <v>0.0462</v>
      </c>
      <c r="G594" s="553" t="n">
        <f aca="false">+C594/(1-F594)+E594</f>
        <v>3.42885418326693</v>
      </c>
      <c r="H594" s="550" t="s">
        <v>255</v>
      </c>
      <c r="I594" s="555" t="n">
        <f aca="false">E591</f>
        <v>0.1043</v>
      </c>
      <c r="J594" s="556" t="n">
        <v>0.0228</v>
      </c>
      <c r="K594" s="553" t="n">
        <f aca="false">+G594/(1-J594)+I594</f>
        <v>3.61315610240169</v>
      </c>
      <c r="L594" s="550" t="s">
        <v>256</v>
      </c>
      <c r="M594" s="555" t="n">
        <v>0</v>
      </c>
      <c r="N594" s="556" t="n">
        <v>0.0025</v>
      </c>
      <c r="O594" s="553" t="n">
        <f aca="false">+K594/(1-N594)+M594</f>
        <v>3.62221163148039</v>
      </c>
      <c r="P594" s="557" t="n">
        <f aca="false">Weightings!$C$9</f>
        <v>6.55445647922163</v>
      </c>
      <c r="Q594" s="553" t="n">
        <f aca="false">+P594/SUM($P$9:$P$19)*O594</f>
        <v>0.00029819508834532</v>
      </c>
      <c r="R594" s="553"/>
      <c r="S594" s="273"/>
    </row>
    <row r="595" customFormat="false" ht="12.75" hidden="false" customHeight="false" outlineLevel="0" collapsed="false">
      <c r="A595" s="266" t="s">
        <v>211</v>
      </c>
      <c r="B595" s="317" t="s">
        <v>292</v>
      </c>
      <c r="C595" s="586" t="n">
        <v>3.2</v>
      </c>
      <c r="D595" s="550" t="s">
        <v>269</v>
      </c>
      <c r="E595" s="555" t="n">
        <f aca="false">0.0366+0.0022</f>
        <v>0.0388</v>
      </c>
      <c r="F595" s="562" t="n">
        <v>0.00697</v>
      </c>
      <c r="G595" s="553" t="n">
        <f aca="false">+C595/(1-F595)+E595</f>
        <v>3.26126055003374</v>
      </c>
      <c r="H595" s="550" t="s">
        <v>270</v>
      </c>
      <c r="I595" s="588" t="n">
        <f aca="false">0.017+0.0022</f>
        <v>0.0192</v>
      </c>
      <c r="J595" s="589" t="n">
        <v>0.02902</v>
      </c>
      <c r="K595" s="553" t="n">
        <f aca="false">+G595/(1-J595)+I595</f>
        <v>3.37793092137195</v>
      </c>
      <c r="L595" s="561" t="s">
        <v>271</v>
      </c>
      <c r="M595" s="555" t="n">
        <f aca="false">E596</f>
        <v>0.0226</v>
      </c>
      <c r="N595" s="562" t="n">
        <f aca="false">F596</f>
        <v>0.02776</v>
      </c>
      <c r="O595" s="563" t="n">
        <f aca="false">+K595/(1-N595)+M595</f>
        <v>3.4969797018966</v>
      </c>
      <c r="P595" s="557" t="n">
        <f aca="false">Weightings!$C$13</f>
        <v>31370.607479626</v>
      </c>
      <c r="Q595" s="553" t="n">
        <f aca="false">+P595/SUM($P$9:$P$19)*O595</f>
        <v>1.37786294574956</v>
      </c>
      <c r="R595" s="563"/>
      <c r="S595" s="273"/>
    </row>
    <row r="596" customFormat="false" ht="12.75" hidden="false" customHeight="false" outlineLevel="0" collapsed="false">
      <c r="A596" s="266" t="s">
        <v>212</v>
      </c>
      <c r="B596" s="317" t="s">
        <v>293</v>
      </c>
      <c r="C596" s="586" t="n">
        <v>3.585</v>
      </c>
      <c r="D596" s="550" t="s">
        <v>272</v>
      </c>
      <c r="E596" s="555" t="n">
        <f aca="false">0.0134+0.0022+0.007</f>
        <v>0.0226</v>
      </c>
      <c r="F596" s="562" t="n">
        <v>0.02776</v>
      </c>
      <c r="G596" s="553" t="n">
        <f aca="false">+C596/(1-F596)+E596</f>
        <v>3.7099611453962</v>
      </c>
      <c r="H596" s="550"/>
      <c r="I596" s="555" t="n">
        <v>0</v>
      </c>
      <c r="J596" s="556" t="n">
        <v>0</v>
      </c>
      <c r="K596" s="553" t="n">
        <f aca="false">+G596/(1-J596)+I596</f>
        <v>3.7099611453962</v>
      </c>
      <c r="L596" s="561"/>
      <c r="M596" s="555" t="n">
        <v>0</v>
      </c>
      <c r="N596" s="556" t="n">
        <v>0</v>
      </c>
      <c r="O596" s="553" t="n">
        <f aca="false">+K596/(1-N596)+M596</f>
        <v>3.7099611453962</v>
      </c>
      <c r="P596" s="557" t="n">
        <f aca="false">Weightings!$C$14</f>
        <v>5614.32270168218</v>
      </c>
      <c r="Q596" s="553" t="n">
        <f aca="false">+P596/SUM($P$9:$P$19)*O596</f>
        <v>0.261611429319193</v>
      </c>
      <c r="R596" s="553"/>
      <c r="S596" s="564"/>
    </row>
    <row r="597" customFormat="false" ht="12.75" hidden="false" customHeight="false" outlineLevel="0" collapsed="false">
      <c r="A597" s="266" t="s">
        <v>213</v>
      </c>
      <c r="B597" s="317" t="s">
        <v>294</v>
      </c>
      <c r="C597" s="586" t="n">
        <v>3.13</v>
      </c>
      <c r="D597" s="550" t="s">
        <v>295</v>
      </c>
      <c r="E597" s="588" t="n">
        <f aca="false">0.0299+0.0022+0.0097</f>
        <v>0.0418</v>
      </c>
      <c r="F597" s="589" t="n">
        <v>0.0458</v>
      </c>
      <c r="G597" s="553" t="n">
        <f aca="false">+C597/(1-F597)+E597</f>
        <v>3.3220347516244</v>
      </c>
      <c r="H597" s="550" t="s">
        <v>274</v>
      </c>
      <c r="I597" s="555" t="n">
        <v>0</v>
      </c>
      <c r="J597" s="556" t="n">
        <v>0.01</v>
      </c>
      <c r="K597" s="553" t="n">
        <f aca="false">+G597/(1-J597)+I597</f>
        <v>3.35559065820646</v>
      </c>
      <c r="L597" s="561"/>
      <c r="M597" s="555" t="n">
        <v>0</v>
      </c>
      <c r="N597" s="556" t="n">
        <v>0</v>
      </c>
      <c r="O597" s="553" t="n">
        <f aca="false">+K597/(1-N597)+M597</f>
        <v>3.35559065820646</v>
      </c>
      <c r="P597" s="557" t="n">
        <f aca="false">Weightings!$C$15</f>
        <v>3366</v>
      </c>
      <c r="Q597" s="553" t="n">
        <f aca="false">+P597/SUM($P$9:$P$19)*O597</f>
        <v>0.141864283558105</v>
      </c>
      <c r="R597" s="553"/>
      <c r="S597" s="273"/>
    </row>
    <row r="598" customFormat="false" ht="12.75" hidden="false" customHeight="false" outlineLevel="0" collapsed="false">
      <c r="A598" s="266" t="s">
        <v>214</v>
      </c>
      <c r="B598" s="317" t="s">
        <v>289</v>
      </c>
      <c r="C598" s="586" t="n">
        <v>3.14</v>
      </c>
      <c r="D598" s="550" t="s">
        <v>296</v>
      </c>
      <c r="E598" s="588" t="n">
        <f aca="false">0.0277+0.0022+0.0097</f>
        <v>0.0396</v>
      </c>
      <c r="F598" s="589" t="n">
        <v>0.0423</v>
      </c>
      <c r="G598" s="553" t="n">
        <f aca="false">+C598/(1-F598)+E598</f>
        <v>3.31828852459016</v>
      </c>
      <c r="H598" s="550" t="s">
        <v>274</v>
      </c>
      <c r="I598" s="555" t="n">
        <v>0</v>
      </c>
      <c r="J598" s="556" t="n">
        <v>0.01</v>
      </c>
      <c r="K598" s="553" t="n">
        <f aca="false">+G598/(1-J598)+I598</f>
        <v>3.35180659049512</v>
      </c>
      <c r="M598" s="555" t="n">
        <v>0</v>
      </c>
      <c r="N598" s="556" t="n">
        <v>0</v>
      </c>
      <c r="O598" s="553" t="n">
        <f aca="false">+K598/(1-N598)+M598</f>
        <v>3.35180659049512</v>
      </c>
      <c r="P598" s="557" t="n">
        <f aca="false">Weightings!$C$16</f>
        <v>4950</v>
      </c>
      <c r="Q598" s="553" t="n">
        <f aca="false">+P598/SUM($P$9:$P$19)*O598</f>
        <v>0.208388683166279</v>
      </c>
      <c r="R598" s="553"/>
      <c r="S598" s="273"/>
    </row>
    <row r="599" customFormat="false" ht="12.75" hidden="false" customHeight="false" outlineLevel="0" collapsed="false">
      <c r="A599" s="266" t="s">
        <v>215</v>
      </c>
      <c r="B599" s="317" t="s">
        <v>144</v>
      </c>
      <c r="C599" s="586" t="n">
        <v>3.23</v>
      </c>
      <c r="D599" s="550" t="s">
        <v>297</v>
      </c>
      <c r="E599" s="588" t="n">
        <f aca="false">0.0251+0.0022+0.0097</f>
        <v>0.037</v>
      </c>
      <c r="F599" s="589" t="n">
        <v>0.0381</v>
      </c>
      <c r="G599" s="553" t="n">
        <f aca="false">+C599/(1-F599)+E599</f>
        <v>3.39493741553176</v>
      </c>
      <c r="H599" s="550" t="s">
        <v>274</v>
      </c>
      <c r="I599" s="555" t="n">
        <v>0</v>
      </c>
      <c r="J599" s="556" t="n">
        <v>0.01</v>
      </c>
      <c r="K599" s="553" t="n">
        <f aca="false">+G599/(1-J599)+I599</f>
        <v>3.42922971265834</v>
      </c>
      <c r="M599" s="555" t="n">
        <v>0</v>
      </c>
      <c r="N599" s="556" t="n">
        <v>0</v>
      </c>
      <c r="O599" s="553" t="n">
        <f aca="false">+K599/(1-N599)+M599</f>
        <v>3.42922971265834</v>
      </c>
      <c r="P599" s="557" t="n">
        <f aca="false">Weightings!$C$17</f>
        <v>11172.1727158949</v>
      </c>
      <c r="Q599" s="553" t="n">
        <f aca="false">+P599/SUM($P$9:$P$19)*O599</f>
        <v>0.481198427989459</v>
      </c>
      <c r="R599" s="553"/>
      <c r="S599" s="273"/>
    </row>
    <row r="600" customFormat="false" ht="12.75" hidden="false" customHeight="false" outlineLevel="0" collapsed="false">
      <c r="O600" s="403"/>
      <c r="P600" s="385"/>
      <c r="Q600" s="403"/>
      <c r="R600" s="403"/>
      <c r="S600" s="565"/>
    </row>
    <row r="601" customFormat="false" ht="13.5" hidden="false" customHeight="false" outlineLevel="0" collapsed="false">
      <c r="O601" s="566"/>
      <c r="P601" s="567"/>
      <c r="Q601" s="566"/>
      <c r="R601" s="566"/>
    </row>
    <row r="602" customFormat="false" ht="13.5" hidden="false" customHeight="false" outlineLevel="0" collapsed="false">
      <c r="O602" s="568" t="s">
        <v>277</v>
      </c>
      <c r="P602" s="569"/>
      <c r="Q602" s="570" t="n">
        <f aca="false">SUM(Q589:Q599)</f>
        <v>3.56232322254361</v>
      </c>
      <c r="R602" s="590" t="n">
        <f aca="false">B587</f>
        <v>37194</v>
      </c>
    </row>
    <row r="603" customFormat="false" ht="12.75" hidden="false" customHeight="false" outlineLevel="0" collapsed="false">
      <c r="O603" s="403"/>
      <c r="P603" s="403"/>
      <c r="Q603" s="403"/>
      <c r="R603" s="403"/>
      <c r="S603" s="403"/>
    </row>
    <row r="604" customFormat="false" ht="12.75" hidden="false" customHeight="false" outlineLevel="0" collapsed="false">
      <c r="D604" s="550"/>
      <c r="H604" s="553"/>
      <c r="O604" s="566" t="s">
        <v>298</v>
      </c>
      <c r="P604" s="571" t="n">
        <f aca="false">Weightings!C603</f>
        <v>0</v>
      </c>
      <c r="Q604" s="403" t="s">
        <v>279</v>
      </c>
      <c r="R604" s="572" t="s">
        <v>280</v>
      </c>
      <c r="S604" s="403"/>
    </row>
    <row r="605" customFormat="false" ht="13.5" hidden="false" customHeight="false" outlineLevel="0" collapsed="false">
      <c r="A605" s="591"/>
      <c r="B605" s="592"/>
      <c r="C605" s="591"/>
      <c r="D605" s="593"/>
      <c r="E605" s="591"/>
      <c r="F605" s="591"/>
      <c r="G605" s="591"/>
      <c r="H605" s="594"/>
      <c r="I605" s="591"/>
      <c r="J605" s="591"/>
      <c r="K605" s="591"/>
      <c r="L605" s="591"/>
      <c r="M605" s="591"/>
      <c r="N605" s="591"/>
      <c r="O605" s="591"/>
      <c r="P605" s="595"/>
      <c r="Q605" s="591"/>
      <c r="R605" s="591"/>
      <c r="S605" s="591"/>
    </row>
    <row r="606" customFormat="false" ht="14.25" hidden="false" customHeight="false" outlineLevel="0" collapsed="false">
      <c r="A606" s="267"/>
      <c r="B606" s="544"/>
      <c r="D606" s="269" t="s">
        <v>241</v>
      </c>
      <c r="H606" s="269" t="s">
        <v>242</v>
      </c>
      <c r="L606" s="269" t="s">
        <v>243</v>
      </c>
    </row>
    <row r="607" customFormat="false" ht="14.25" hidden="false" customHeight="false" outlineLevel="0" collapsed="false">
      <c r="A607" s="582" t="s">
        <v>284</v>
      </c>
      <c r="B607" s="583" t="n">
        <f aca="false">B587+1</f>
        <v>37195</v>
      </c>
      <c r="C607" s="584" t="n">
        <f aca="false">Q622</f>
        <v>3.40226587262764</v>
      </c>
      <c r="E607" s="585"/>
    </row>
    <row r="608" customFormat="false" ht="54" hidden="false" customHeight="true" outlineLevel="0" collapsed="false">
      <c r="A608" s="267" t="s">
        <v>244</v>
      </c>
      <c r="B608" s="315" t="s">
        <v>132</v>
      </c>
      <c r="C608" s="545" t="s">
        <v>286</v>
      </c>
      <c r="D608" s="546" t="s">
        <v>247</v>
      </c>
      <c r="E608" s="547" t="s">
        <v>248</v>
      </c>
      <c r="F608" s="547" t="s">
        <v>249</v>
      </c>
      <c r="G608" s="547" t="s">
        <v>250</v>
      </c>
      <c r="H608" s="546" t="s">
        <v>247</v>
      </c>
      <c r="I608" s="547" t="s">
        <v>248</v>
      </c>
      <c r="J608" s="547" t="s">
        <v>249</v>
      </c>
      <c r="K608" s="547" t="s">
        <v>250</v>
      </c>
      <c r="L608" s="546" t="s">
        <v>247</v>
      </c>
      <c r="M608" s="547" t="s">
        <v>248</v>
      </c>
      <c r="N608" s="547" t="s">
        <v>249</v>
      </c>
      <c r="O608" s="547" t="s">
        <v>250</v>
      </c>
      <c r="P608" s="547" t="s">
        <v>251</v>
      </c>
      <c r="Q608" s="547" t="s">
        <v>252</v>
      </c>
      <c r="R608" s="547"/>
      <c r="S608" s="547"/>
    </row>
    <row r="609" customFormat="false" ht="12.75" hidden="false" customHeight="false" outlineLevel="0" collapsed="false">
      <c r="A609" s="266" t="s">
        <v>253</v>
      </c>
      <c r="B609" s="317" t="s">
        <v>142</v>
      </c>
      <c r="C609" s="586" t="n">
        <v>3.07</v>
      </c>
      <c r="D609" s="550" t="s">
        <v>254</v>
      </c>
      <c r="E609" s="555" t="n">
        <v>0.0522</v>
      </c>
      <c r="F609" s="562" t="n">
        <v>0.0506</v>
      </c>
      <c r="G609" s="553" t="n">
        <f aca="false">+C609/(1-F609)+E609</f>
        <v>3.28582123446387</v>
      </c>
      <c r="H609" s="550" t="s">
        <v>255</v>
      </c>
      <c r="I609" s="555" t="n">
        <f aca="false">E611</f>
        <v>0.1043</v>
      </c>
      <c r="J609" s="556" t="n">
        <v>0.0228</v>
      </c>
      <c r="K609" s="553" t="n">
        <f aca="false">+G609/(1-J609)+I609</f>
        <v>3.46678591328681</v>
      </c>
      <c r="L609" s="550" t="s">
        <v>256</v>
      </c>
      <c r="M609" s="555" t="n">
        <v>0</v>
      </c>
      <c r="N609" s="556" t="n">
        <v>0.0025</v>
      </c>
      <c r="O609" s="553" t="n">
        <f aca="false">+K609/(1-N609)+M609</f>
        <v>3.47547459978628</v>
      </c>
      <c r="P609" s="557" t="n">
        <f aca="false">Weightings!$C$4</f>
        <v>1071.40153987277</v>
      </c>
      <c r="Q609" s="553" t="n">
        <f aca="false">+P609/SUM($P$9:$P$19)*O609</f>
        <v>0.0467688149719637</v>
      </c>
      <c r="R609" s="553"/>
      <c r="S609" s="558"/>
    </row>
    <row r="610" customFormat="false" ht="12.75" hidden="false" customHeight="false" outlineLevel="0" collapsed="false">
      <c r="A610" s="266" t="s">
        <v>257</v>
      </c>
      <c r="B610" s="317" t="s">
        <v>143</v>
      </c>
      <c r="C610" s="586" t="n">
        <v>3.05</v>
      </c>
      <c r="D610" s="550" t="s">
        <v>258</v>
      </c>
      <c r="E610" s="555" t="n">
        <v>0.0522</v>
      </c>
      <c r="F610" s="562" t="n">
        <v>0.058</v>
      </c>
      <c r="G610" s="553" t="n">
        <f aca="false">+C610/(1-F610)+E610</f>
        <v>3.28999193205945</v>
      </c>
      <c r="H610" s="550" t="s">
        <v>255</v>
      </c>
      <c r="I610" s="555" t="n">
        <f aca="false">E611</f>
        <v>0.1043</v>
      </c>
      <c r="J610" s="556" t="n">
        <v>0.0228</v>
      </c>
      <c r="K610" s="553" t="n">
        <f aca="false">+G610/(1-J610)+I610</f>
        <v>3.47105392146894</v>
      </c>
      <c r="L610" s="550" t="s">
        <v>256</v>
      </c>
      <c r="M610" s="555" t="n">
        <v>0</v>
      </c>
      <c r="N610" s="556" t="n">
        <v>0.0025</v>
      </c>
      <c r="O610" s="553" t="n">
        <f aca="false">+K610/(1-N610)+M610</f>
        <v>3.47975330473077</v>
      </c>
      <c r="P610" s="557" t="n">
        <f aca="false">Weightings!$C$5</f>
        <v>1309.88291792445</v>
      </c>
      <c r="Q610" s="553" t="n">
        <f aca="false">+P610/SUM($P$9:$P$19)*O610</f>
        <v>0.0572493968263308</v>
      </c>
      <c r="R610" s="553"/>
      <c r="S610" s="273"/>
    </row>
    <row r="611" customFormat="false" ht="12.75" hidden="false" customHeight="false" outlineLevel="0" collapsed="false">
      <c r="A611" s="266" t="s">
        <v>259</v>
      </c>
      <c r="B611" s="317" t="s">
        <v>287</v>
      </c>
      <c r="C611" s="586" t="n">
        <v>3.345</v>
      </c>
      <c r="D611" s="550" t="s">
        <v>260</v>
      </c>
      <c r="E611" s="555" t="n">
        <f aca="false">0.0951+0.0022+0.007</f>
        <v>0.1043</v>
      </c>
      <c r="F611" s="562" t="n">
        <v>0.0228</v>
      </c>
      <c r="G611" s="553" t="n">
        <f aca="false">+C611/(1-F611)+E611</f>
        <v>3.52734543593942</v>
      </c>
      <c r="H611" s="550" t="s">
        <v>256</v>
      </c>
      <c r="I611" s="555" t="n">
        <v>0</v>
      </c>
      <c r="J611" s="556" t="n">
        <v>0.0025</v>
      </c>
      <c r="K611" s="553" t="n">
        <f aca="false">+G611/(1-J611)+I611</f>
        <v>3.53618590069115</v>
      </c>
      <c r="L611" s="550"/>
      <c r="M611" s="555" t="n">
        <v>0</v>
      </c>
      <c r="N611" s="556" t="n">
        <v>0</v>
      </c>
      <c r="O611" s="553" t="n">
        <f aca="false">+K611/(1-N611)+M611</f>
        <v>3.53618590069115</v>
      </c>
      <c r="P611" s="557" t="n">
        <f aca="false">Weightings!$C$6</f>
        <v>19813.4520237259</v>
      </c>
      <c r="Q611" s="553" t="n">
        <f aca="false">+P611/SUM($P$9:$P$19)*O611</f>
        <v>0.880005155914873</v>
      </c>
      <c r="R611" s="553"/>
      <c r="S611" s="273"/>
    </row>
    <row r="612" customFormat="false" ht="12.75" hidden="false" customHeight="false" outlineLevel="0" collapsed="false">
      <c r="A612" s="266" t="s">
        <v>261</v>
      </c>
      <c r="B612" s="317" t="s">
        <v>288</v>
      </c>
      <c r="C612" s="586" t="n">
        <v>3.43</v>
      </c>
      <c r="D612" s="550" t="s">
        <v>262</v>
      </c>
      <c r="E612" s="555" t="n">
        <f aca="false">0.0951+0.0022+0.007</f>
        <v>0.1043</v>
      </c>
      <c r="F612" s="562" t="n">
        <v>0.0228</v>
      </c>
      <c r="G612" s="553" t="n">
        <f aca="false">+C612/(1-F612)+E612</f>
        <v>3.61432865329513</v>
      </c>
      <c r="H612" s="550" t="s">
        <v>256</v>
      </c>
      <c r="I612" s="555" t="n">
        <v>0</v>
      </c>
      <c r="J612" s="556" t="n">
        <v>0.0025</v>
      </c>
      <c r="K612" s="553" t="n">
        <f aca="false">+G612/(1-J612)+I612</f>
        <v>3.62338712109787</v>
      </c>
      <c r="L612" s="550"/>
      <c r="M612" s="555" t="n">
        <v>0</v>
      </c>
      <c r="N612" s="556" t="n">
        <v>0</v>
      </c>
      <c r="O612" s="553" t="n">
        <f aca="false">+K612/(1-N612)+M612</f>
        <v>3.62338712109787</v>
      </c>
      <c r="P612" s="557" t="n">
        <f aca="false">Weightings!$C$7</f>
        <v>669.603363940486</v>
      </c>
      <c r="Q612" s="553" t="n">
        <f aca="false">+P612/SUM($P$9:$P$19)*O612</f>
        <v>0.0304735004529715</v>
      </c>
      <c r="R612" s="553"/>
      <c r="S612" s="558"/>
    </row>
    <row r="613" customFormat="false" ht="12.75" hidden="false" customHeight="false" outlineLevel="0" collapsed="false">
      <c r="A613" s="266" t="s">
        <v>206</v>
      </c>
      <c r="B613" s="317" t="s">
        <v>289</v>
      </c>
      <c r="C613" s="587" t="n">
        <f aca="false">C618</f>
        <v>3.04</v>
      </c>
      <c r="D613" s="550" t="s">
        <v>290</v>
      </c>
      <c r="E613" s="588" t="n">
        <f aca="false">0.0331+0.0022+0.0097</f>
        <v>0.045</v>
      </c>
      <c r="F613" s="589" t="n">
        <v>0.0504</v>
      </c>
      <c r="G613" s="553" t="n">
        <f aca="false">+C613/(1-F613)+E613</f>
        <v>3.24634793597304</v>
      </c>
      <c r="H613" s="550" t="s">
        <v>255</v>
      </c>
      <c r="I613" s="555" t="n">
        <f aca="false">E611</f>
        <v>0.1043</v>
      </c>
      <c r="J613" s="556" t="n">
        <v>0.0228</v>
      </c>
      <c r="K613" s="553" t="n">
        <f aca="false">+G613/(1-J613)+I613</f>
        <v>3.42639162502358</v>
      </c>
      <c r="L613" s="550" t="s">
        <v>256</v>
      </c>
      <c r="M613" s="555" t="n">
        <v>0</v>
      </c>
      <c r="N613" s="556" t="n">
        <v>0.0025</v>
      </c>
      <c r="O613" s="553" t="n">
        <f aca="false">+K613/(1-N613)+M613</f>
        <v>3.43497907270534</v>
      </c>
      <c r="P613" s="557" t="n">
        <f aca="false">Weightings!$C$8</f>
        <v>273.774605247488</v>
      </c>
      <c r="Q613" s="553" t="n">
        <f aca="false">+P613/SUM($P$9:$P$19)*O613</f>
        <v>0.0118115593836726</v>
      </c>
      <c r="R613" s="553"/>
      <c r="S613" s="273"/>
    </row>
    <row r="614" customFormat="false" ht="12.75" hidden="false" customHeight="false" outlineLevel="0" collapsed="false">
      <c r="A614" s="266" t="s">
        <v>207</v>
      </c>
      <c r="B614" s="317" t="s">
        <v>144</v>
      </c>
      <c r="C614" s="587" t="n">
        <f aca="false">C619</f>
        <v>3.115</v>
      </c>
      <c r="D614" s="550" t="s">
        <v>291</v>
      </c>
      <c r="E614" s="588" t="n">
        <f aca="false">0.0305+0.0022+0.0097</f>
        <v>0.0424</v>
      </c>
      <c r="F614" s="589" t="n">
        <v>0.0462</v>
      </c>
      <c r="G614" s="553" t="n">
        <f aca="false">+C614/(1-F614)+E614</f>
        <v>3.3082838330887</v>
      </c>
      <c r="H614" s="550" t="s">
        <v>255</v>
      </c>
      <c r="I614" s="555" t="n">
        <f aca="false">E611</f>
        <v>0.1043</v>
      </c>
      <c r="J614" s="556" t="n">
        <v>0.0228</v>
      </c>
      <c r="K614" s="553" t="n">
        <f aca="false">+G614/(1-J614)+I614</f>
        <v>3.48977260856396</v>
      </c>
      <c r="L614" s="550" t="s">
        <v>256</v>
      </c>
      <c r="M614" s="555" t="n">
        <v>0</v>
      </c>
      <c r="N614" s="556" t="n">
        <v>0.0025</v>
      </c>
      <c r="O614" s="553" t="n">
        <f aca="false">+K614/(1-N614)+M614</f>
        <v>3.49851890582853</v>
      </c>
      <c r="P614" s="557" t="n">
        <f aca="false">Weightings!$C$9</f>
        <v>6.55445647922163</v>
      </c>
      <c r="Q614" s="553" t="n">
        <f aca="false">+P614/SUM($P$9:$P$19)*O614</f>
        <v>0.000288012203686437</v>
      </c>
      <c r="R614" s="553"/>
      <c r="S614" s="273"/>
    </row>
    <row r="615" customFormat="false" ht="12.75" hidden="false" customHeight="false" outlineLevel="0" collapsed="false">
      <c r="A615" s="266" t="s">
        <v>211</v>
      </c>
      <c r="B615" s="317" t="s">
        <v>292</v>
      </c>
      <c r="C615" s="586" t="n">
        <v>3.085</v>
      </c>
      <c r="D615" s="550" t="s">
        <v>269</v>
      </c>
      <c r="E615" s="555" t="n">
        <f aca="false">0.0366+0.0022</f>
        <v>0.0388</v>
      </c>
      <c r="F615" s="562" t="n">
        <v>0.00697</v>
      </c>
      <c r="G615" s="553" t="n">
        <f aca="false">+C615/(1-F615)+E615</f>
        <v>3.1454533740169</v>
      </c>
      <c r="H615" s="550" t="s">
        <v>270</v>
      </c>
      <c r="I615" s="588" t="n">
        <f aca="false">0.017+0.0022</f>
        <v>0.0192</v>
      </c>
      <c r="J615" s="589" t="n">
        <v>0.02902</v>
      </c>
      <c r="K615" s="553" t="n">
        <f aca="false">+G615/(1-J615)+I615</f>
        <v>3.25866257803137</v>
      </c>
      <c r="L615" s="561" t="s">
        <v>271</v>
      </c>
      <c r="M615" s="555" t="n">
        <f aca="false">E616</f>
        <v>0.0226</v>
      </c>
      <c r="N615" s="562" t="n">
        <f aca="false">F616</f>
        <v>0.02776</v>
      </c>
      <c r="O615" s="563" t="n">
        <f aca="false">+K615/(1-N615)+M615</f>
        <v>3.37430593478089</v>
      </c>
      <c r="P615" s="557" t="n">
        <f aca="false">Weightings!$C$13</f>
        <v>31370.607479626</v>
      </c>
      <c r="Q615" s="553" t="n">
        <f aca="false">+P615/SUM($P$9:$P$19)*O615</f>
        <v>1.32952762426269</v>
      </c>
      <c r="R615" s="563"/>
      <c r="S615" s="273"/>
    </row>
    <row r="616" customFormat="false" ht="12.75" hidden="false" customHeight="false" outlineLevel="0" collapsed="false">
      <c r="A616" s="266" t="s">
        <v>212</v>
      </c>
      <c r="B616" s="317" t="s">
        <v>293</v>
      </c>
      <c r="C616" s="586" t="n">
        <v>3.33</v>
      </c>
      <c r="D616" s="550" t="s">
        <v>272</v>
      </c>
      <c r="E616" s="555" t="n">
        <f aca="false">0.0134+0.0022+0.007</f>
        <v>0.0226</v>
      </c>
      <c r="F616" s="562" t="n">
        <v>0.02776</v>
      </c>
      <c r="G616" s="553" t="n">
        <f aca="false">+C616/(1-F616)+E616</f>
        <v>3.44768022710442</v>
      </c>
      <c r="H616" s="550"/>
      <c r="I616" s="555" t="n">
        <v>0</v>
      </c>
      <c r="J616" s="556" t="n">
        <v>0</v>
      </c>
      <c r="K616" s="553" t="n">
        <f aca="false">+G616/(1-J616)+I616</f>
        <v>3.44768022710442</v>
      </c>
      <c r="L616" s="561"/>
      <c r="M616" s="555" t="n">
        <v>0</v>
      </c>
      <c r="N616" s="556" t="n">
        <v>0</v>
      </c>
      <c r="O616" s="553" t="n">
        <f aca="false">+K616/(1-N616)+M616</f>
        <v>3.44768022710442</v>
      </c>
      <c r="P616" s="557" t="n">
        <f aca="false">Weightings!$C$14</f>
        <v>5614.32270168218</v>
      </c>
      <c r="Q616" s="553" t="n">
        <f aca="false">+P616/SUM($P$9:$P$19)*O616</f>
        <v>0.24311644157448</v>
      </c>
      <c r="R616" s="553"/>
      <c r="S616" s="564"/>
    </row>
    <row r="617" customFormat="false" ht="12.75" hidden="false" customHeight="false" outlineLevel="0" collapsed="false">
      <c r="A617" s="266" t="s">
        <v>213</v>
      </c>
      <c r="B617" s="317" t="s">
        <v>294</v>
      </c>
      <c r="C617" s="586" t="n">
        <v>3.02</v>
      </c>
      <c r="D617" s="550" t="s">
        <v>295</v>
      </c>
      <c r="E617" s="588" t="n">
        <f aca="false">0.0299+0.0022+0.0097</f>
        <v>0.0418</v>
      </c>
      <c r="F617" s="589" t="n">
        <v>0.0458</v>
      </c>
      <c r="G617" s="553" t="n">
        <f aca="false">+C617/(1-F617)+E617</f>
        <v>3.2067549360721</v>
      </c>
      <c r="H617" s="550" t="s">
        <v>274</v>
      </c>
      <c r="I617" s="555" t="n">
        <v>0</v>
      </c>
      <c r="J617" s="556" t="n">
        <v>0.01</v>
      </c>
      <c r="K617" s="553" t="n">
        <f aca="false">+G617/(1-J617)+I617</f>
        <v>3.23914640007283</v>
      </c>
      <c r="L617" s="561"/>
      <c r="M617" s="555" t="n">
        <v>0</v>
      </c>
      <c r="N617" s="556" t="n">
        <v>0</v>
      </c>
      <c r="O617" s="553" t="n">
        <f aca="false">+K617/(1-N617)+M617</f>
        <v>3.23914640007283</v>
      </c>
      <c r="P617" s="557" t="n">
        <f aca="false">Weightings!$C$15</f>
        <v>3366</v>
      </c>
      <c r="Q617" s="553" t="n">
        <f aca="false">+P617/SUM($P$9:$P$19)*O617</f>
        <v>0.136941370444676</v>
      </c>
      <c r="R617" s="553"/>
      <c r="S617" s="273"/>
    </row>
    <row r="618" customFormat="false" ht="12.75" hidden="false" customHeight="false" outlineLevel="0" collapsed="false">
      <c r="A618" s="266" t="s">
        <v>214</v>
      </c>
      <c r="B618" s="317" t="s">
        <v>289</v>
      </c>
      <c r="C618" s="586" t="n">
        <v>3.04</v>
      </c>
      <c r="D618" s="550" t="s">
        <v>296</v>
      </c>
      <c r="E618" s="588" t="n">
        <f aca="false">0.0277+0.0022+0.0097</f>
        <v>0.0396</v>
      </c>
      <c r="F618" s="589" t="n">
        <v>0.0423</v>
      </c>
      <c r="G618" s="553" t="n">
        <f aca="false">+C618/(1-F618)+E618</f>
        <v>3.21387169259685</v>
      </c>
      <c r="H618" s="550" t="s">
        <v>274</v>
      </c>
      <c r="I618" s="555" t="n">
        <v>0</v>
      </c>
      <c r="J618" s="556" t="n">
        <v>0.01</v>
      </c>
      <c r="K618" s="553" t="n">
        <f aca="false">+G618/(1-J618)+I618</f>
        <v>3.24633504302712</v>
      </c>
      <c r="M618" s="555" t="n">
        <v>0</v>
      </c>
      <c r="N618" s="556" t="n">
        <v>0</v>
      </c>
      <c r="O618" s="553" t="n">
        <f aca="false">+K618/(1-N618)+M618</f>
        <v>3.24633504302712</v>
      </c>
      <c r="P618" s="557" t="n">
        <f aca="false">Weightings!$C$16</f>
        <v>4950</v>
      </c>
      <c r="Q618" s="553" t="n">
        <f aca="false">+P618/SUM($P$9:$P$19)*O618</f>
        <v>0.201831300962099</v>
      </c>
      <c r="R618" s="553"/>
      <c r="S618" s="273"/>
    </row>
    <row r="619" customFormat="false" ht="12.75" hidden="false" customHeight="false" outlineLevel="0" collapsed="false">
      <c r="A619" s="266" t="s">
        <v>215</v>
      </c>
      <c r="B619" s="317" t="s">
        <v>144</v>
      </c>
      <c r="C619" s="586" t="n">
        <v>3.115</v>
      </c>
      <c r="D619" s="550" t="s">
        <v>297</v>
      </c>
      <c r="E619" s="588" t="n">
        <f aca="false">0.0251+0.0022+0.0097</f>
        <v>0.037</v>
      </c>
      <c r="F619" s="589" t="n">
        <v>0.0381</v>
      </c>
      <c r="G619" s="553" t="n">
        <f aca="false">+C619/(1-F619)+E619</f>
        <v>3.27538236822955</v>
      </c>
      <c r="H619" s="550" t="s">
        <v>274</v>
      </c>
      <c r="I619" s="555" t="n">
        <v>0</v>
      </c>
      <c r="J619" s="556" t="n">
        <v>0.01</v>
      </c>
      <c r="K619" s="553" t="n">
        <f aca="false">+G619/(1-J619)+I619</f>
        <v>3.3084670386157</v>
      </c>
      <c r="M619" s="555" t="n">
        <v>0</v>
      </c>
      <c r="N619" s="556" t="n">
        <v>0</v>
      </c>
      <c r="O619" s="553" t="n">
        <f aca="false">+K619/(1-N619)+M619</f>
        <v>3.3084670386157</v>
      </c>
      <c r="P619" s="557" t="n">
        <f aca="false">Weightings!$C$17</f>
        <v>11172.1727158949</v>
      </c>
      <c r="Q619" s="553" t="n">
        <f aca="false">+P619/SUM($P$9:$P$19)*O619</f>
        <v>0.464252695630201</v>
      </c>
      <c r="R619" s="553"/>
      <c r="S619" s="273"/>
    </row>
    <row r="620" customFormat="false" ht="12.75" hidden="false" customHeight="false" outlineLevel="0" collapsed="false">
      <c r="O620" s="403"/>
      <c r="P620" s="385"/>
      <c r="Q620" s="403"/>
      <c r="R620" s="403"/>
      <c r="S620" s="565"/>
    </row>
    <row r="621" customFormat="false" ht="13.5" hidden="false" customHeight="false" outlineLevel="0" collapsed="false">
      <c r="O621" s="566"/>
      <c r="P621" s="567"/>
      <c r="Q621" s="566"/>
      <c r="R621" s="566"/>
    </row>
    <row r="622" customFormat="false" ht="13.5" hidden="false" customHeight="false" outlineLevel="0" collapsed="false">
      <c r="O622" s="568" t="s">
        <v>277</v>
      </c>
      <c r="P622" s="569"/>
      <c r="Q622" s="570" t="n">
        <f aca="false">SUM(Q609:Q619)</f>
        <v>3.40226587262764</v>
      </c>
      <c r="R622" s="590" t="n">
        <f aca="false">B607</f>
        <v>37195</v>
      </c>
    </row>
    <row r="623" customFormat="false" ht="12.75" hidden="false" customHeight="false" outlineLevel="0" collapsed="false">
      <c r="O623" s="403"/>
      <c r="P623" s="403"/>
      <c r="Q623" s="403"/>
      <c r="R623" s="403"/>
      <c r="S623" s="403"/>
    </row>
    <row r="624" customFormat="false" ht="12.75" hidden="false" customHeight="false" outlineLevel="0" collapsed="false">
      <c r="D624" s="550"/>
      <c r="H624" s="553"/>
      <c r="O624" s="566" t="s">
        <v>298</v>
      </c>
      <c r="P624" s="571" t="n">
        <f aca="false">Weightings!C623</f>
        <v>0</v>
      </c>
      <c r="Q624" s="403" t="s">
        <v>279</v>
      </c>
      <c r="R624" s="572" t="s">
        <v>280</v>
      </c>
      <c r="S624" s="403"/>
    </row>
    <row r="625" customFormat="false" ht="13.5" hidden="false" customHeight="false" outlineLevel="0" collapsed="false">
      <c r="A625" s="591"/>
      <c r="B625" s="592"/>
      <c r="C625" s="591"/>
      <c r="D625" s="593"/>
      <c r="E625" s="591"/>
      <c r="F625" s="591"/>
      <c r="G625" s="591"/>
      <c r="H625" s="594"/>
      <c r="I625" s="591"/>
      <c r="J625" s="591"/>
      <c r="K625" s="591"/>
      <c r="L625" s="591"/>
      <c r="M625" s="591"/>
      <c r="N625" s="591"/>
      <c r="O625" s="591"/>
      <c r="P625" s="595"/>
      <c r="Q625" s="591"/>
      <c r="R625" s="591"/>
      <c r="S625" s="591"/>
    </row>
    <row r="62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21.42"/>
    <col collapsed="false" customWidth="true" hidden="false" outlineLevel="0" max="3" min="3" style="0" width="10.71"/>
    <col collapsed="false" customWidth="true" hidden="false" outlineLevel="0" max="4" min="4" style="0" width="1.85"/>
    <col collapsed="false" customWidth="true" hidden="false" outlineLevel="0" max="5" min="5" style="0" width="11.28"/>
    <col collapsed="false" customWidth="true" hidden="false" outlineLevel="0" max="6" min="6" style="0" width="1.85"/>
    <col collapsed="false" customWidth="true" hidden="false" outlineLevel="0" max="7" min="7" style="0" width="15.99"/>
    <col collapsed="false" customWidth="true" hidden="false" outlineLevel="0" max="8" min="8" style="0" width="11.42"/>
    <col collapsed="false" customWidth="true" hidden="false" outlineLevel="0" max="9" min="9" style="0" width="13.14"/>
  </cols>
  <sheetData>
    <row r="1" customFormat="false" ht="15.75" hidden="false" customHeight="false" outlineLevel="0" collapsed="false">
      <c r="A1" s="538" t="s">
        <v>299</v>
      </c>
      <c r="B1" s="539"/>
      <c r="C1" s="7" t="s">
        <v>300</v>
      </c>
    </row>
    <row r="2" customFormat="false" ht="12.75" hidden="false" customHeight="false" outlineLevel="0" collapsed="false">
      <c r="A2" s="266"/>
      <c r="B2" s="317"/>
    </row>
    <row r="3" customFormat="false" ht="15.75" hidden="false" customHeight="false" outlineLevel="0" collapsed="false">
      <c r="A3" s="267" t="s">
        <v>240</v>
      </c>
      <c r="B3" s="581" t="n">
        <v>37165</v>
      </c>
      <c r="C3" s="596" t="s">
        <v>301</v>
      </c>
      <c r="D3" s="429"/>
      <c r="E3" s="597" t="n">
        <f aca="false">Weightings!C23</f>
        <v>110554</v>
      </c>
    </row>
    <row r="4" customFormat="false" ht="12.75" hidden="false" customHeight="false" outlineLevel="0" collapsed="false">
      <c r="B4" s="347"/>
      <c r="C4" s="17"/>
    </row>
    <row r="5" customFormat="false" ht="36" hidden="false" customHeight="true" outlineLevel="0" collapsed="false">
      <c r="A5" s="598"/>
      <c r="B5" s="599" t="s">
        <v>302</v>
      </c>
      <c r="C5" s="600" t="s">
        <v>303</v>
      </c>
      <c r="D5" s="601"/>
      <c r="E5" s="602" t="s">
        <v>304</v>
      </c>
      <c r="F5" s="601"/>
      <c r="G5" s="603" t="s">
        <v>305</v>
      </c>
      <c r="H5" s="598"/>
      <c r="I5" s="598"/>
    </row>
    <row r="6" customFormat="false" ht="12.75" hidden="false" customHeight="false" outlineLevel="0" collapsed="false">
      <c r="A6" s="522" t="n">
        <f aca="false">B3</f>
        <v>37165</v>
      </c>
      <c r="B6" s="604" t="n">
        <f aca="false">'VNG Sheet'!AX15</f>
        <v>95617.35</v>
      </c>
      <c r="C6" s="605" t="n">
        <f aca="false">$E$3-B6-1</f>
        <v>14935.65</v>
      </c>
      <c r="D6" s="17"/>
      <c r="E6" s="606" t="n">
        <v>2.0181</v>
      </c>
      <c r="F6" s="17"/>
      <c r="G6" s="607" t="n">
        <f aca="false">C6*E6</f>
        <v>30141.635265</v>
      </c>
      <c r="I6" s="524"/>
      <c r="J6" s="348"/>
    </row>
    <row r="7" customFormat="false" ht="12.75" hidden="false" customHeight="false" outlineLevel="0" collapsed="false">
      <c r="A7" s="522" t="n">
        <f aca="false">A6+1</f>
        <v>37166</v>
      </c>
      <c r="B7" s="608" t="n">
        <f aca="false">'VNG Sheet'!AX16</f>
        <v>104909.35</v>
      </c>
      <c r="C7" s="605" t="n">
        <f aca="false">$E$3-B7-1</f>
        <v>5643.64999999999</v>
      </c>
      <c r="D7" s="17"/>
      <c r="E7" s="606" t="n">
        <v>1.9623</v>
      </c>
      <c r="F7" s="17"/>
      <c r="G7" s="607" t="n">
        <f aca="false">C7*E7</f>
        <v>11074.534395</v>
      </c>
      <c r="I7" s="524"/>
      <c r="J7" s="348"/>
    </row>
    <row r="8" customFormat="false" ht="12.75" hidden="false" customHeight="false" outlineLevel="0" collapsed="false">
      <c r="A8" s="522" t="n">
        <f aca="false">A7+1</f>
        <v>37167</v>
      </c>
      <c r="B8" s="608" t="n">
        <f aca="false">'VNG Sheet'!AX17</f>
        <v>105366.35</v>
      </c>
      <c r="C8" s="605" t="n">
        <f aca="false">$E$3-B8-1</f>
        <v>5186.64999999999</v>
      </c>
      <c r="D8" s="17"/>
      <c r="E8" s="606" t="n">
        <v>2.015</v>
      </c>
      <c r="F8" s="17"/>
      <c r="G8" s="607" t="n">
        <f aca="false">C8*E8</f>
        <v>10451.09975</v>
      </c>
      <c r="I8" s="524"/>
      <c r="J8" s="348"/>
    </row>
    <row r="9" customFormat="false" ht="12.75" hidden="false" customHeight="false" outlineLevel="0" collapsed="false">
      <c r="A9" s="522" t="n">
        <f aca="false">A8+1</f>
        <v>37168</v>
      </c>
      <c r="B9" s="608" t="n">
        <f aca="false">'VNG Sheet'!AX18</f>
        <v>103636.35</v>
      </c>
      <c r="C9" s="605" t="n">
        <f aca="false">$E$3-B9-1</f>
        <v>6916.64999999999</v>
      </c>
      <c r="D9" s="17"/>
      <c r="E9" s="606" t="n">
        <v>2.2033</v>
      </c>
      <c r="F9" s="17"/>
      <c r="G9" s="607" t="n">
        <f aca="false">C9*E9</f>
        <v>15239.454945</v>
      </c>
      <c r="I9" s="524"/>
      <c r="J9" s="348"/>
    </row>
    <row r="10" customFormat="false" ht="12.75" hidden="false" customHeight="false" outlineLevel="0" collapsed="false">
      <c r="A10" s="522" t="n">
        <f aca="false">A9+1</f>
        <v>37169</v>
      </c>
      <c r="B10" s="608" t="n">
        <f aca="false">'VNG Sheet'!AX19</f>
        <v>104194.35</v>
      </c>
      <c r="C10" s="605" t="n">
        <f aca="false">$E$3-B10-1</f>
        <v>6358.64999999999</v>
      </c>
      <c r="D10" s="17"/>
      <c r="E10" s="606" t="n">
        <v>2.3623</v>
      </c>
      <c r="F10" s="17"/>
      <c r="G10" s="607" t="n">
        <f aca="false">C10*E10</f>
        <v>15021.038895</v>
      </c>
      <c r="I10" s="524"/>
      <c r="J10" s="348"/>
    </row>
    <row r="11" customFormat="false" ht="12.75" hidden="false" customHeight="false" outlineLevel="0" collapsed="false">
      <c r="A11" s="522" t="n">
        <f aca="false">A10+1</f>
        <v>37170</v>
      </c>
      <c r="B11" s="608" t="n">
        <f aca="false">'VNG Sheet'!AX20</f>
        <v>95881.35</v>
      </c>
      <c r="C11" s="605" t="n">
        <f aca="false">$E$3-B11-1</f>
        <v>14671.65</v>
      </c>
      <c r="D11" s="17"/>
      <c r="E11" s="606" t="n">
        <v>2.3763</v>
      </c>
      <c r="F11" s="17"/>
      <c r="G11" s="607" t="n">
        <f aca="false">C11*E11</f>
        <v>34864.241895</v>
      </c>
      <c r="I11" s="524"/>
      <c r="J11" s="348"/>
    </row>
    <row r="12" customFormat="false" ht="12.75" hidden="false" customHeight="false" outlineLevel="0" collapsed="false">
      <c r="A12" s="522" t="n">
        <f aca="false">A11+1</f>
        <v>37171</v>
      </c>
      <c r="B12" s="608" t="n">
        <f aca="false">'VNG Sheet'!AX21</f>
        <v>84778.35</v>
      </c>
      <c r="C12" s="605" t="n">
        <f aca="false">$E$3-B12-1</f>
        <v>25774.65</v>
      </c>
      <c r="D12" s="17"/>
      <c r="E12" s="606" t="n">
        <f aca="false">E11</f>
        <v>2.3763</v>
      </c>
      <c r="F12" s="17"/>
      <c r="G12" s="607" t="n">
        <f aca="false">C12*E12</f>
        <v>61248.300795</v>
      </c>
      <c r="I12" s="524"/>
      <c r="J12" s="348"/>
    </row>
    <row r="13" customFormat="false" ht="12.75" hidden="false" customHeight="false" outlineLevel="0" collapsed="false">
      <c r="A13" s="522" t="n">
        <f aca="false">A12+1</f>
        <v>37172</v>
      </c>
      <c r="B13" s="608" t="n">
        <f aca="false">'VNG Sheet'!AX22</f>
        <v>59395.35</v>
      </c>
      <c r="C13" s="605" t="n">
        <f aca="false">$E$3-B13-1</f>
        <v>51157.65</v>
      </c>
      <c r="D13" s="17"/>
      <c r="E13" s="606" t="n">
        <f aca="false">E12</f>
        <v>2.3763</v>
      </c>
      <c r="F13" s="17"/>
      <c r="G13" s="607" t="n">
        <f aca="false">C13*E13</f>
        <v>121565.923695</v>
      </c>
      <c r="I13" s="524"/>
      <c r="J13" s="348"/>
    </row>
    <row r="14" customFormat="false" ht="12.75" hidden="false" customHeight="false" outlineLevel="0" collapsed="false">
      <c r="A14" s="522" t="n">
        <f aca="false">A13+1</f>
        <v>37173</v>
      </c>
      <c r="B14" s="608" t="n">
        <f aca="false">'VNG Sheet'!AX23</f>
        <v>68094.35</v>
      </c>
      <c r="C14" s="605" t="n">
        <f aca="false">$E$3-B14-1</f>
        <v>42458.65</v>
      </c>
      <c r="D14" s="17"/>
      <c r="E14" s="606" t="n">
        <v>2.2824</v>
      </c>
      <c r="F14" s="17"/>
      <c r="G14" s="607" t="n">
        <f aca="false">C14*E14</f>
        <v>96907.62276</v>
      </c>
      <c r="I14" s="524"/>
      <c r="J14" s="348"/>
    </row>
    <row r="15" customFormat="false" ht="12.75" hidden="false" customHeight="false" outlineLevel="0" collapsed="false">
      <c r="A15" s="522" t="n">
        <f aca="false">A14+1</f>
        <v>37174</v>
      </c>
      <c r="B15" s="608" t="n">
        <f aca="false">'VNG Sheet'!AX24</f>
        <v>96561.35</v>
      </c>
      <c r="C15" s="605" t="n">
        <f aca="false">$E$3-B15-1</f>
        <v>13991.65</v>
      </c>
      <c r="D15" s="17"/>
      <c r="E15" s="606" t="n">
        <v>2.3537</v>
      </c>
      <c r="F15" s="17"/>
      <c r="G15" s="607" t="n">
        <f aca="false">C15*E15</f>
        <v>32932.146605</v>
      </c>
      <c r="I15" s="524"/>
      <c r="J15" s="348"/>
    </row>
    <row r="16" customFormat="false" ht="12.75" hidden="false" customHeight="false" outlineLevel="0" collapsed="false">
      <c r="A16" s="522" t="n">
        <f aca="false">A15+1</f>
        <v>37175</v>
      </c>
      <c r="B16" s="608" t="n">
        <f aca="false">'VNG Sheet'!AX25</f>
        <v>97593.35</v>
      </c>
      <c r="C16" s="605" t="n">
        <f aca="false">$E$3-B16-1</f>
        <v>12959.65</v>
      </c>
      <c r="D16" s="17"/>
      <c r="E16" s="606" t="n">
        <v>2.4484</v>
      </c>
      <c r="F16" s="17"/>
      <c r="G16" s="607" t="n">
        <f aca="false">C16*E16</f>
        <v>31730.40706</v>
      </c>
      <c r="I16" s="524"/>
      <c r="J16" s="348"/>
    </row>
    <row r="17" customFormat="false" ht="12.75" hidden="false" customHeight="false" outlineLevel="0" collapsed="false">
      <c r="A17" s="522" t="n">
        <f aca="false">A16+1</f>
        <v>37176</v>
      </c>
      <c r="B17" s="608" t="n">
        <f aca="false">'VNG Sheet'!AX26</f>
        <v>104786.35</v>
      </c>
      <c r="C17" s="605" t="n">
        <f aca="false">$E$3-B17-1</f>
        <v>5766.64999999999</v>
      </c>
      <c r="D17" s="17"/>
      <c r="E17" s="606" t="n">
        <v>2.6047</v>
      </c>
      <c r="F17" s="17"/>
      <c r="G17" s="607" t="n">
        <f aca="false">C17*E17</f>
        <v>15020.393255</v>
      </c>
      <c r="I17" s="524"/>
      <c r="J17" s="348"/>
    </row>
    <row r="18" customFormat="false" ht="12.75" hidden="false" customHeight="false" outlineLevel="0" collapsed="false">
      <c r="A18" s="522" t="n">
        <f aca="false">A17+1</f>
        <v>37177</v>
      </c>
      <c r="B18" s="608" t="n">
        <f aca="false">'VNG Sheet'!AX27</f>
        <v>104392.35</v>
      </c>
      <c r="C18" s="605" t="n">
        <f aca="false">$E$3-B18-1</f>
        <v>6160.64999999999</v>
      </c>
      <c r="D18" s="17"/>
      <c r="E18" s="606" t="n">
        <v>2.5029</v>
      </c>
      <c r="F18" s="17"/>
      <c r="G18" s="607" t="n">
        <f aca="false">C18*E18</f>
        <v>15419.490885</v>
      </c>
      <c r="I18" s="524"/>
      <c r="J18" s="348"/>
    </row>
    <row r="19" customFormat="false" ht="12.75" hidden="false" customHeight="false" outlineLevel="0" collapsed="false">
      <c r="A19" s="522" t="n">
        <f aca="false">A18+1</f>
        <v>37178</v>
      </c>
      <c r="B19" s="608" t="n">
        <f aca="false">'VNG Sheet'!AX28</f>
        <v>102811.35</v>
      </c>
      <c r="C19" s="605" t="n">
        <f aca="false">$E$3-B19-1</f>
        <v>7741.64999999999</v>
      </c>
      <c r="D19" s="17"/>
      <c r="E19" s="606" t="n">
        <f aca="false">E18</f>
        <v>2.5029</v>
      </c>
      <c r="F19" s="17"/>
      <c r="G19" s="607" t="n">
        <f aca="false">C19*E19</f>
        <v>19376.575785</v>
      </c>
      <c r="I19" s="524"/>
      <c r="J19" s="348"/>
    </row>
    <row r="20" customFormat="false" ht="12.75" hidden="false" customHeight="false" outlineLevel="0" collapsed="false">
      <c r="A20" s="522" t="n">
        <f aca="false">A19+1</f>
        <v>37179</v>
      </c>
      <c r="B20" s="608" t="n">
        <f aca="false">'VNG Sheet'!AX29</f>
        <v>97832.35</v>
      </c>
      <c r="C20" s="605" t="n">
        <f aca="false">$E$3-B20-1</f>
        <v>12720.65</v>
      </c>
      <c r="D20" s="17"/>
      <c r="E20" s="606" t="n">
        <f aca="false">E19</f>
        <v>2.5029</v>
      </c>
      <c r="F20" s="17"/>
      <c r="G20" s="607" t="n">
        <f aca="false">C20*E20</f>
        <v>31838.514885</v>
      </c>
      <c r="I20" s="524"/>
      <c r="J20" s="348"/>
    </row>
    <row r="21" customFormat="false" ht="12.75" hidden="false" customHeight="false" outlineLevel="0" collapsed="false">
      <c r="A21" s="522" t="n">
        <f aca="false">A20+1</f>
        <v>37180</v>
      </c>
      <c r="B21" s="608" t="n">
        <f aca="false">'VNG Sheet'!AX30</f>
        <v>94074.35</v>
      </c>
      <c r="C21" s="605" t="n">
        <f aca="false">$E$3-B21-1</f>
        <v>16478.65</v>
      </c>
      <c r="D21" s="17"/>
      <c r="E21" s="606" t="n">
        <v>2.4794</v>
      </c>
      <c r="F21" s="17"/>
      <c r="G21" s="607" t="n">
        <f aca="false">C21*E21</f>
        <v>40857.16481</v>
      </c>
      <c r="I21" s="524"/>
      <c r="J21" s="348"/>
    </row>
    <row r="22" customFormat="false" ht="12.75" hidden="false" customHeight="false" outlineLevel="0" collapsed="false">
      <c r="A22" s="522" t="n">
        <f aca="false">A21+1</f>
        <v>37181</v>
      </c>
      <c r="B22" s="608" t="n">
        <f aca="false">'VNG Sheet'!AX31</f>
        <v>68504.35</v>
      </c>
      <c r="C22" s="605" t="n">
        <f aca="false">$E$3-B22-1</f>
        <v>42048.65</v>
      </c>
      <c r="D22" s="17"/>
      <c r="E22" s="606" t="n">
        <v>2.7852</v>
      </c>
      <c r="F22" s="17"/>
      <c r="G22" s="607" t="n">
        <f aca="false">C22*E22</f>
        <v>117113.89998</v>
      </c>
      <c r="I22" s="524"/>
      <c r="J22" s="348"/>
    </row>
    <row r="23" customFormat="false" ht="12.75" hidden="false" customHeight="false" outlineLevel="0" collapsed="false">
      <c r="A23" s="522" t="n">
        <f aca="false">A22+1</f>
        <v>37182</v>
      </c>
      <c r="B23" s="608" t="n">
        <f aca="false">'VNG Sheet'!AX32</f>
        <v>51168.35</v>
      </c>
      <c r="C23" s="605" t="n">
        <f aca="false">$E$3-B23-1</f>
        <v>59384.65</v>
      </c>
      <c r="D23" s="17"/>
      <c r="E23" s="606" t="n">
        <v>2.956</v>
      </c>
      <c r="F23" s="17"/>
      <c r="G23" s="607" t="n">
        <f aca="false">C23*E23</f>
        <v>175541.0254</v>
      </c>
      <c r="I23" s="524"/>
      <c r="J23" s="348"/>
    </row>
    <row r="24" customFormat="false" ht="12.75" hidden="false" customHeight="false" outlineLevel="0" collapsed="false">
      <c r="A24" s="522" t="n">
        <f aca="false">A23+1</f>
        <v>37183</v>
      </c>
      <c r="B24" s="608" t="n">
        <f aca="false">'VNG Sheet'!AX33</f>
        <v>82805.35</v>
      </c>
      <c r="C24" s="605" t="n">
        <f aca="false">$E$3-B24-1</f>
        <v>27747.65</v>
      </c>
      <c r="D24" s="17"/>
      <c r="E24" s="606" t="n">
        <v>2.6528</v>
      </c>
      <c r="F24" s="17"/>
      <c r="G24" s="607" t="n">
        <f aca="false">C24*E24</f>
        <v>73608.96592</v>
      </c>
      <c r="I24" s="524"/>
      <c r="J24" s="348"/>
    </row>
    <row r="25" customFormat="false" ht="12.75" hidden="false" customHeight="false" outlineLevel="0" collapsed="false">
      <c r="A25" s="522" t="n">
        <f aca="false">A24+1</f>
        <v>37184</v>
      </c>
      <c r="B25" s="608" t="n">
        <f aca="false">'VNG Sheet'!AX34</f>
        <v>94741.35</v>
      </c>
      <c r="C25" s="605" t="n">
        <f aca="false">$E$3-B25-1</f>
        <v>15811.65</v>
      </c>
      <c r="D25" s="17"/>
      <c r="E25" s="606" t="n">
        <v>2.5587</v>
      </c>
      <c r="F25" s="17"/>
      <c r="G25" s="607" t="n">
        <f aca="false">C25*E25</f>
        <v>40457.268855</v>
      </c>
      <c r="I25" s="524"/>
      <c r="J25" s="348"/>
    </row>
    <row r="26" customFormat="false" ht="12.75" hidden="false" customHeight="false" outlineLevel="0" collapsed="false">
      <c r="A26" s="522" t="n">
        <f aca="false">A25+1</f>
        <v>37185</v>
      </c>
      <c r="B26" s="608" t="n">
        <f aca="false">'VNG Sheet'!AX35</f>
        <v>104109.35</v>
      </c>
      <c r="C26" s="605" t="n">
        <f aca="false">$E$3-B26-1</f>
        <v>6443.64999999999</v>
      </c>
      <c r="D26" s="17"/>
      <c r="E26" s="606" t="n">
        <f aca="false">E25</f>
        <v>2.5587</v>
      </c>
      <c r="F26" s="17"/>
      <c r="G26" s="607" t="n">
        <f aca="false">C26*E26</f>
        <v>16487.367255</v>
      </c>
      <c r="I26" s="524"/>
      <c r="J26" s="348"/>
    </row>
    <row r="27" customFormat="false" ht="12.75" hidden="false" customHeight="false" outlineLevel="0" collapsed="false">
      <c r="A27" s="522" t="n">
        <f aca="false">A26+1</f>
        <v>37186</v>
      </c>
      <c r="B27" s="608" t="n">
        <f aca="false">'VNG Sheet'!AX36</f>
        <v>100073.35</v>
      </c>
      <c r="C27" s="605" t="n">
        <f aca="false">$E$3-B27-1</f>
        <v>10479.65</v>
      </c>
      <c r="D27" s="17"/>
      <c r="E27" s="606" t="n">
        <f aca="false">E26</f>
        <v>2.5587</v>
      </c>
      <c r="F27" s="17"/>
      <c r="G27" s="607" t="n">
        <f aca="false">C27*E27</f>
        <v>26814.280455</v>
      </c>
      <c r="I27" s="524"/>
      <c r="J27" s="348"/>
    </row>
    <row r="28" customFormat="false" ht="12.75" hidden="false" customHeight="false" outlineLevel="0" collapsed="false">
      <c r="A28" s="522" t="n">
        <f aca="false">A27+1</f>
        <v>37187</v>
      </c>
      <c r="B28" s="608" t="n">
        <f aca="false">'VNG Sheet'!AX37</f>
        <v>101978.35</v>
      </c>
      <c r="C28" s="605" t="n">
        <f aca="false">$E$3-B28-1</f>
        <v>8574.64999999999</v>
      </c>
      <c r="D28" s="17"/>
      <c r="E28" s="606" t="n">
        <v>2.8505</v>
      </c>
      <c r="F28" s="17"/>
      <c r="G28" s="607" t="n">
        <f aca="false">C28*E28</f>
        <v>24442.039825</v>
      </c>
      <c r="I28" s="524"/>
      <c r="J28" s="348"/>
    </row>
    <row r="29" customFormat="false" ht="12.75" hidden="false" customHeight="false" outlineLevel="0" collapsed="false">
      <c r="A29" s="522" t="n">
        <f aca="false">A28+1</f>
        <v>37188</v>
      </c>
      <c r="B29" s="608" t="n">
        <f aca="false">'VNG Sheet'!AX38</f>
        <v>103383.35</v>
      </c>
      <c r="C29" s="605" t="n">
        <f aca="false">$E$3-B29-1</f>
        <v>7169.64999999999</v>
      </c>
      <c r="D29" s="17"/>
      <c r="E29" s="606" t="n">
        <v>3.1014</v>
      </c>
      <c r="F29" s="17"/>
      <c r="G29" s="607" t="n">
        <f aca="false">C29*E29</f>
        <v>22235.95251</v>
      </c>
      <c r="I29" s="524"/>
      <c r="J29" s="348"/>
    </row>
    <row r="30" customFormat="false" ht="12.75" hidden="false" customHeight="false" outlineLevel="0" collapsed="false">
      <c r="A30" s="522" t="n">
        <f aca="false">A29+1</f>
        <v>37189</v>
      </c>
      <c r="B30" s="608" t="n">
        <f aca="false">'VNG Sheet'!AX39</f>
        <v>99915.35</v>
      </c>
      <c r="C30" s="605" t="n">
        <f aca="false">$E$3-B30-1</f>
        <v>10637.65</v>
      </c>
      <c r="D30" s="17"/>
      <c r="E30" s="606" t="n">
        <v>2.9688</v>
      </c>
      <c r="F30" s="17"/>
      <c r="G30" s="607" t="n">
        <f aca="false">C30*E30</f>
        <v>31581.05532</v>
      </c>
      <c r="I30" s="524"/>
      <c r="J30" s="348"/>
    </row>
    <row r="31" customFormat="false" ht="12.75" hidden="false" customHeight="false" outlineLevel="0" collapsed="false">
      <c r="A31" s="522" t="n">
        <f aca="false">A30+1</f>
        <v>37190</v>
      </c>
      <c r="B31" s="608" t="n">
        <f aca="false">'VNG Sheet'!AX40</f>
        <v>60782.35</v>
      </c>
      <c r="C31" s="605" t="n">
        <f aca="false">$E$3-B31-1</f>
        <v>49770.65</v>
      </c>
      <c r="D31" s="17"/>
      <c r="E31" s="606" t="n">
        <v>3.5018</v>
      </c>
      <c r="F31" s="17"/>
      <c r="G31" s="607" t="n">
        <f aca="false">C31*E31</f>
        <v>174286.86217</v>
      </c>
      <c r="I31" s="524"/>
      <c r="J31" s="348"/>
    </row>
    <row r="32" customFormat="false" ht="12.75" hidden="false" customHeight="false" outlineLevel="0" collapsed="false">
      <c r="A32" s="522" t="n">
        <f aca="false">A31+1</f>
        <v>37191</v>
      </c>
      <c r="B32" s="608" t="n">
        <f aca="false">'VNG Sheet'!AX41</f>
        <v>36193.35</v>
      </c>
      <c r="C32" s="605" t="n">
        <f aca="false">$E$3-B32-1</f>
        <v>74359.65</v>
      </c>
      <c r="D32" s="17"/>
      <c r="E32" s="606" t="n">
        <v>3.3962</v>
      </c>
      <c r="F32" s="17"/>
      <c r="G32" s="607" t="n">
        <f aca="false">C32*E32</f>
        <v>252540.24333</v>
      </c>
      <c r="I32" s="524"/>
      <c r="J32" s="348"/>
    </row>
    <row r="33" customFormat="false" ht="12.75" hidden="false" customHeight="false" outlineLevel="0" collapsed="false">
      <c r="A33" s="522" t="n">
        <f aca="false">A32+1</f>
        <v>37192</v>
      </c>
      <c r="B33" s="608" t="n">
        <f aca="false">'VNG Sheet'!AX42</f>
        <v>31072.35</v>
      </c>
      <c r="C33" s="605" t="n">
        <f aca="false">$E$3-B33-1</f>
        <v>79480.65</v>
      </c>
      <c r="D33" s="17"/>
      <c r="E33" s="606" t="n">
        <f aca="false">E32</f>
        <v>3.3962</v>
      </c>
      <c r="F33" s="17"/>
      <c r="G33" s="607" t="n">
        <f aca="false">C33*E33</f>
        <v>269932.18353</v>
      </c>
      <c r="I33" s="524"/>
      <c r="J33" s="348"/>
    </row>
    <row r="34" customFormat="false" ht="12.75" hidden="false" customHeight="false" outlineLevel="0" collapsed="false">
      <c r="A34" s="522" t="n">
        <f aca="false">A33+1</f>
        <v>37193</v>
      </c>
      <c r="B34" s="608" t="n">
        <f aca="false">'VNG Sheet'!AX43</f>
        <v>37549.35</v>
      </c>
      <c r="C34" s="605" t="n">
        <f aca="false">$E$3-B34-1</f>
        <v>73003.65</v>
      </c>
      <c r="D34" s="17"/>
      <c r="E34" s="606" t="n">
        <f aca="false">E33</f>
        <v>3.3962</v>
      </c>
      <c r="F34" s="17"/>
      <c r="G34" s="607" t="n">
        <f aca="false">C34*E34</f>
        <v>247934.99613</v>
      </c>
      <c r="I34" s="524"/>
      <c r="J34" s="348"/>
    </row>
    <row r="35" customFormat="false" ht="12.75" hidden="false" customHeight="false" outlineLevel="0" collapsed="false">
      <c r="A35" s="522" t="n">
        <f aca="false">A34+1</f>
        <v>37194</v>
      </c>
      <c r="B35" s="608" t="n">
        <f aca="false">'VNG Sheet'!AX44</f>
        <v>64052.35</v>
      </c>
      <c r="C35" s="605" t="n">
        <f aca="false">$E$3-B35-1</f>
        <v>46500.65</v>
      </c>
      <c r="D35" s="17"/>
      <c r="E35" s="606" t="n">
        <v>3.5623</v>
      </c>
      <c r="F35" s="17"/>
      <c r="G35" s="607" t="n">
        <f aca="false">C35*E35</f>
        <v>165649.265495</v>
      </c>
      <c r="I35" s="524"/>
      <c r="J35" s="348"/>
    </row>
    <row r="36" customFormat="false" ht="12.75" hidden="false" customHeight="false" outlineLevel="0" collapsed="false">
      <c r="A36" s="522" t="n">
        <f aca="false">A35+1</f>
        <v>37195</v>
      </c>
      <c r="B36" s="608" t="n">
        <f aca="false">'VNG Sheet'!AX45</f>
        <v>104676.35</v>
      </c>
      <c r="C36" s="605" t="n">
        <f aca="false">$E$3-B36-1</f>
        <v>5876.64999999999</v>
      </c>
      <c r="D36" s="17"/>
      <c r="E36" s="606" t="n">
        <v>3.4023</v>
      </c>
      <c r="F36" s="17"/>
      <c r="G36" s="607" t="n">
        <f aca="false">C36*E36</f>
        <v>19994.126295</v>
      </c>
      <c r="I36" s="524"/>
      <c r="J36" s="348"/>
    </row>
    <row r="37" customFormat="false" ht="12.75" hidden="false" customHeight="false" outlineLevel="0" collapsed="false">
      <c r="B37" s="609" t="s">
        <v>306</v>
      </c>
    </row>
    <row r="38" customFormat="false" ht="12.75" hidden="false" customHeight="false" outlineLevel="0" collapsed="false">
      <c r="B38" s="610" t="s">
        <v>307</v>
      </c>
      <c r="C38" s="611"/>
      <c r="H38" s="612"/>
      <c r="I38" s="612"/>
      <c r="J38" s="612"/>
    </row>
    <row r="39" customFormat="false" ht="12.75" hidden="false" customHeight="false" outlineLevel="0" collapsed="false">
      <c r="B39" s="17"/>
      <c r="C39" s="613" t="n">
        <f aca="false">SUM(C6:C36)</f>
        <v>766213.15</v>
      </c>
      <c r="D39" s="614"/>
      <c r="E39" s="615" t="n">
        <f aca="false">G39/C39</f>
        <v>2.92648080778828</v>
      </c>
      <c r="F39" s="616"/>
      <c r="G39" s="617" t="n">
        <f aca="false">SUM(G6:G36)</f>
        <v>2242308.07815</v>
      </c>
    </row>
  </sheetData>
  <printOptions headings="false" gridLines="false" gridLinesSet="true" horizontalCentered="false" verticalCentered="false"/>
  <pageMargins left="0.259722222222222" right="0.2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B8" activeCellId="0" sqref="B8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266" width="24.13"/>
    <col collapsed="false" customWidth="true" hidden="false" outlineLevel="0" max="2" min="2" style="618" width="20.85"/>
    <col collapsed="false" customWidth="false" hidden="false" outlineLevel="0" max="4" min="3" style="266" width="16.13"/>
    <col collapsed="false" customWidth="true" hidden="false" outlineLevel="0" max="6" min="5" style="266" width="19.41"/>
    <col collapsed="false" customWidth="false" hidden="false" outlineLevel="0" max="8" min="7" style="266" width="16.13"/>
    <col collapsed="false" customWidth="true" hidden="false" outlineLevel="0" max="9" min="9" style="266" width="17.99"/>
    <col collapsed="false" customWidth="false" hidden="false" outlineLevel="0" max="12" min="10" style="266" width="16.13"/>
    <col collapsed="false" customWidth="true" hidden="false" outlineLevel="0" max="15" min="13" style="266" width="17.7"/>
    <col collapsed="false" customWidth="false" hidden="false" outlineLevel="0" max="257" min="16" style="266" width="16.13"/>
  </cols>
  <sheetData>
    <row r="2" customFormat="false" ht="12.75" hidden="false" customHeight="false" outlineLevel="0" collapsed="false">
      <c r="A2" s="267"/>
    </row>
    <row r="3" customFormat="false" ht="12.75" hidden="false" customHeight="false" outlineLevel="0" collapsed="false">
      <c r="A3" s="267" t="s">
        <v>3</v>
      </c>
    </row>
    <row r="6" customFormat="false" ht="12.75" hidden="false" customHeight="false" outlineLevel="0" collapsed="false">
      <c r="C6" s="269" t="s">
        <v>308</v>
      </c>
    </row>
    <row r="7" customFormat="false" ht="13.5" hidden="false" customHeight="false" outlineLevel="0" collapsed="false">
      <c r="C7" s="269"/>
      <c r="G7" s="269"/>
    </row>
    <row r="8" customFormat="false" ht="14.25" hidden="false" customHeight="false" outlineLevel="0" collapsed="false">
      <c r="A8" s="269"/>
      <c r="B8" s="619" t="n">
        <f aca="false">P19</f>
        <v>0.0563382823682765</v>
      </c>
      <c r="C8" s="269" t="s">
        <v>309</v>
      </c>
      <c r="F8" s="269" t="s">
        <v>310</v>
      </c>
      <c r="H8" s="269"/>
      <c r="I8" s="269"/>
      <c r="J8" s="269" t="s">
        <v>311</v>
      </c>
      <c r="L8" s="269"/>
      <c r="M8" s="269"/>
      <c r="N8" s="269"/>
      <c r="O8" s="269"/>
    </row>
    <row r="9" customFormat="false" ht="13.5" hidden="false" customHeight="false" outlineLevel="0" collapsed="false"/>
    <row r="10" customFormat="false" ht="51" hidden="false" customHeight="false" outlineLevel="0" collapsed="false">
      <c r="A10" s="267" t="s">
        <v>312</v>
      </c>
      <c r="B10" s="620" t="s">
        <v>313</v>
      </c>
      <c r="C10" s="547" t="s">
        <v>314</v>
      </c>
      <c r="D10" s="547" t="s">
        <v>315</v>
      </c>
      <c r="E10" s="547" t="s">
        <v>316</v>
      </c>
      <c r="F10" s="546" t="s">
        <v>247</v>
      </c>
      <c r="G10" s="547" t="s">
        <v>248</v>
      </c>
      <c r="H10" s="547" t="s">
        <v>249</v>
      </c>
      <c r="I10" s="547" t="s">
        <v>316</v>
      </c>
      <c r="J10" s="546" t="s">
        <v>247</v>
      </c>
      <c r="K10" s="547" t="s">
        <v>248</v>
      </c>
      <c r="L10" s="547" t="s">
        <v>249</v>
      </c>
      <c r="M10" s="547" t="s">
        <v>316</v>
      </c>
      <c r="N10" s="547" t="s">
        <v>317</v>
      </c>
      <c r="O10" s="547" t="s">
        <v>318</v>
      </c>
      <c r="P10" s="547" t="s">
        <v>319</v>
      </c>
    </row>
    <row r="11" customFormat="false" ht="12.75" hidden="false" customHeight="false" outlineLevel="0" collapsed="false">
      <c r="A11" s="266" t="s">
        <v>320</v>
      </c>
      <c r="B11" s="618" t="n">
        <v>100000</v>
      </c>
      <c r="C11" s="555" t="n">
        <v>0</v>
      </c>
      <c r="D11" s="556" t="n">
        <v>0</v>
      </c>
      <c r="E11" s="621" t="n">
        <f aca="false">+C11/(1-D11)</f>
        <v>0</v>
      </c>
      <c r="F11" s="561" t="s">
        <v>255</v>
      </c>
      <c r="G11" s="555" t="n">
        <f aca="false">0.0434+0.0022+0.0072</f>
        <v>0.0528</v>
      </c>
      <c r="H11" s="556" t="n">
        <v>0.0228</v>
      </c>
      <c r="I11" s="621" t="n">
        <f aca="false">+(G11+E11)/(1-H11)</f>
        <v>0.0540319279574294</v>
      </c>
      <c r="J11" s="561" t="s">
        <v>256</v>
      </c>
      <c r="K11" s="555" t="n">
        <v>0</v>
      </c>
      <c r="L11" s="556" t="n">
        <v>0.0025</v>
      </c>
      <c r="M11" s="621" t="n">
        <f aca="false">+(K11+I11)/(1-L11)</f>
        <v>0.0541673463232375</v>
      </c>
      <c r="N11" s="275" t="n">
        <f aca="false">+B11*(1-D11)*(1-H11)*(1-L11)</f>
        <v>97475.7</v>
      </c>
      <c r="O11" s="622" t="n">
        <f aca="false">+N11/$N$19</f>
        <v>0.0124491680852013</v>
      </c>
      <c r="P11" s="621" t="n">
        <f aca="false">+O11*M11</f>
        <v>0.000674338399107295</v>
      </c>
    </row>
    <row r="12" customFormat="false" ht="12.75" hidden="false" customHeight="false" outlineLevel="0" collapsed="false">
      <c r="A12" s="266" t="s">
        <v>321</v>
      </c>
      <c r="B12" s="618" t="n">
        <v>2791000</v>
      </c>
      <c r="C12" s="555" t="n">
        <v>0.0278</v>
      </c>
      <c r="D12" s="556" t="n">
        <v>0.0278</v>
      </c>
      <c r="E12" s="621" t="n">
        <f aca="false">+C12/(1-D12)</f>
        <v>0.0285949393128986</v>
      </c>
      <c r="F12" s="561" t="s">
        <v>255</v>
      </c>
      <c r="G12" s="555" t="n">
        <f aca="false">0.0434+0.0022+0.0072</f>
        <v>0.0528</v>
      </c>
      <c r="H12" s="556" t="n">
        <v>0.0228</v>
      </c>
      <c r="I12" s="621" t="n">
        <f aca="false">+(G12+E12)/(1-H12)</f>
        <v>0.0832940435048082</v>
      </c>
      <c r="J12" s="561" t="s">
        <v>256</v>
      </c>
      <c r="K12" s="555" t="n">
        <v>0</v>
      </c>
      <c r="L12" s="556" t="n">
        <v>0.0025</v>
      </c>
      <c r="M12" s="621" t="n">
        <f aca="false">+(K12+I12)/(1-L12)</f>
        <v>0.0835028005060734</v>
      </c>
      <c r="N12" s="275" t="n">
        <f aca="false">+B12*(1-D12)*(1-H12)*(1-L12)</f>
        <v>2644915.5863214</v>
      </c>
      <c r="O12" s="622" t="n">
        <f aca="false">+N12/$N$19</f>
        <v>0.337796996638997</v>
      </c>
      <c r="P12" s="621" t="n">
        <f aca="false">+O12*M12</f>
        <v>0.0282069952218969</v>
      </c>
    </row>
    <row r="13" customFormat="false" ht="12.75" hidden="false" customHeight="false" outlineLevel="0" collapsed="false">
      <c r="A13" s="266" t="s">
        <v>322</v>
      </c>
      <c r="B13" s="618" t="n">
        <v>761250</v>
      </c>
      <c r="C13" s="555" t="n">
        <v>0.0278</v>
      </c>
      <c r="D13" s="556" t="n">
        <v>0.0278</v>
      </c>
      <c r="E13" s="621" t="n">
        <f aca="false">+C13/(1-D13)</f>
        <v>0.0285949393128986</v>
      </c>
      <c r="F13" s="561" t="s">
        <v>255</v>
      </c>
      <c r="G13" s="555" t="n">
        <f aca="false">0.0434+0.0022+0.0072</f>
        <v>0.0528</v>
      </c>
      <c r="H13" s="556" t="n">
        <v>0.0228</v>
      </c>
      <c r="I13" s="621" t="n">
        <f aca="false">+(G13+E13)/(1-H13)</f>
        <v>0.0832940435048082</v>
      </c>
      <c r="J13" s="561" t="s">
        <v>256</v>
      </c>
      <c r="K13" s="555" t="n">
        <v>0</v>
      </c>
      <c r="L13" s="556" t="n">
        <v>0.0025</v>
      </c>
      <c r="M13" s="621" t="n">
        <f aca="false">+(K13+I13)/(1-L13)</f>
        <v>0.0835028005060734</v>
      </c>
      <c r="N13" s="275" t="n">
        <f aca="false">+B13*(1-D13)*(1-H13)*(1-L13)</f>
        <v>721405.22754825</v>
      </c>
      <c r="O13" s="622" t="n">
        <f aca="false">+N13/$N$19</f>
        <v>0.0921347057296441</v>
      </c>
      <c r="P13" s="621" t="n">
        <f aca="false">+O13*M13</f>
        <v>0.00769350595222825</v>
      </c>
    </row>
    <row r="14" customFormat="false" ht="12.75" hidden="false" customHeight="false" outlineLevel="0" collapsed="false">
      <c r="A14" s="266" t="s">
        <v>323</v>
      </c>
      <c r="B14" s="618" t="n">
        <v>2848655</v>
      </c>
      <c r="C14" s="555" t="n">
        <v>0.0153</v>
      </c>
      <c r="D14" s="556" t="n">
        <v>0</v>
      </c>
      <c r="E14" s="621" t="n">
        <f aca="false">+C14/(1-D14)</f>
        <v>0.0153</v>
      </c>
      <c r="F14" s="561" t="s">
        <v>324</v>
      </c>
      <c r="G14" s="555" t="n">
        <f aca="false">0.0132+0.0022+0.0072</f>
        <v>0.0226</v>
      </c>
      <c r="H14" s="562" t="n">
        <v>0.02184</v>
      </c>
      <c r="I14" s="621" t="n">
        <f aca="false">+(G14+E14)/(1-H14)</f>
        <v>0.0387462173877484</v>
      </c>
      <c r="J14" s="561"/>
      <c r="K14" s="555" t="n">
        <v>0</v>
      </c>
      <c r="L14" s="556" t="n">
        <v>0</v>
      </c>
      <c r="M14" s="621" t="n">
        <f aca="false">+(K14+I14)/(1-L14)</f>
        <v>0.0387462173877484</v>
      </c>
      <c r="N14" s="275" t="n">
        <f aca="false">+B14*(1-D14)*(1-H14)*(1-L14)</f>
        <v>2786440.3748</v>
      </c>
      <c r="O14" s="622" t="n">
        <f aca="false">+N14/$N$19</f>
        <v>0.355871920748213</v>
      </c>
      <c r="P14" s="621" t="n">
        <f aca="false">+O14*M14</f>
        <v>0.0137886908035058</v>
      </c>
    </row>
    <row r="15" customFormat="false" ht="12.75" hidden="false" customHeight="false" outlineLevel="0" collapsed="false">
      <c r="A15" s="266" t="s">
        <v>325</v>
      </c>
      <c r="B15" s="618" t="n">
        <v>731250</v>
      </c>
      <c r="C15" s="555" t="n">
        <v>0.0153</v>
      </c>
      <c r="D15" s="556" t="n">
        <v>0</v>
      </c>
      <c r="E15" s="621" t="n">
        <f aca="false">+C15/(1-D15)</f>
        <v>0.0153</v>
      </c>
      <c r="F15" s="561" t="s">
        <v>326</v>
      </c>
      <c r="G15" s="555" t="n">
        <f aca="false">0.0132+0.0022</f>
        <v>0.0154</v>
      </c>
      <c r="H15" s="562" t="n">
        <v>0.02184</v>
      </c>
      <c r="I15" s="621" t="n">
        <f aca="false">+(G15+E15)/(1-H15)</f>
        <v>0.0313854584117118</v>
      </c>
      <c r="J15" s="561" t="s">
        <v>327</v>
      </c>
      <c r="K15" s="555" t="n">
        <f aca="false">0.0189+0.0022+0.0072</f>
        <v>0.0283</v>
      </c>
      <c r="L15" s="556" t="n">
        <v>0.0153</v>
      </c>
      <c r="M15" s="621" t="n">
        <f aca="false">+(K15+I15)/(1-L15)</f>
        <v>0.0606128347839055</v>
      </c>
      <c r="N15" s="275" t="n">
        <f aca="false">+B15*(1-D15)*(1-H15)*(1-L15)</f>
        <v>704335.72365</v>
      </c>
      <c r="O15" s="622" t="n">
        <f aca="false">+N15/$N$19</f>
        <v>0.0899546636970112</v>
      </c>
      <c r="P15" s="621" t="n">
        <f aca="false">+O15*M15</f>
        <v>0.00545240716870873</v>
      </c>
    </row>
    <row r="16" customFormat="false" ht="12.75" hidden="false" customHeight="false" outlineLevel="0" collapsed="false">
      <c r="A16" s="266" t="s">
        <v>328</v>
      </c>
      <c r="B16" s="618" t="n">
        <v>778500</v>
      </c>
      <c r="C16" s="555" t="n">
        <v>0</v>
      </c>
      <c r="D16" s="556" t="n">
        <v>0</v>
      </c>
      <c r="E16" s="621" t="n">
        <f aca="false">+C16/(1-D16)</f>
        <v>0</v>
      </c>
      <c r="F16" s="561"/>
      <c r="G16" s="555" t="n">
        <v>0</v>
      </c>
      <c r="H16" s="556" t="n">
        <v>0</v>
      </c>
      <c r="I16" s="621" t="n">
        <f aca="false">+(G16+E16)/(1-H16)</f>
        <v>0</v>
      </c>
      <c r="J16" s="561"/>
      <c r="K16" s="555" t="n">
        <v>0</v>
      </c>
      <c r="L16" s="556" t="n">
        <v>0</v>
      </c>
      <c r="M16" s="621" t="n">
        <f aca="false">+(K16+I16)/(1-L16)</f>
        <v>0</v>
      </c>
      <c r="N16" s="275" t="n">
        <f aca="false">+B16*(1-D16)*(1-H16)*(1-L16)</f>
        <v>778500</v>
      </c>
      <c r="O16" s="622" t="n">
        <f aca="false">+N16/$N$19</f>
        <v>0.0994265991865586</v>
      </c>
      <c r="P16" s="621" t="n">
        <f aca="false">+O16*M16</f>
        <v>0</v>
      </c>
    </row>
    <row r="17" customFormat="false" ht="12.75" hidden="false" customHeight="false" outlineLevel="0" collapsed="false">
      <c r="A17" s="266" t="s">
        <v>329</v>
      </c>
      <c r="B17" s="618" t="n">
        <v>98790</v>
      </c>
      <c r="C17" s="555" t="n">
        <v>0.0414</v>
      </c>
      <c r="D17" s="556" t="n">
        <v>0</v>
      </c>
      <c r="E17" s="621" t="n">
        <f aca="false">+C17/(1-D17)</f>
        <v>0.0414</v>
      </c>
      <c r="F17" s="561" t="s">
        <v>274</v>
      </c>
      <c r="G17" s="555" t="n">
        <v>0</v>
      </c>
      <c r="H17" s="556" t="n">
        <v>0.01</v>
      </c>
      <c r="I17" s="621" t="n">
        <f aca="false">+(G17+E17)/(1-H17)</f>
        <v>0.0418181818181818</v>
      </c>
      <c r="J17" s="561"/>
      <c r="K17" s="555" t="n">
        <v>0</v>
      </c>
      <c r="L17" s="556" t="n">
        <v>0.01</v>
      </c>
      <c r="M17" s="621" t="n">
        <f aca="false">+(K17+I17)/(1-L17)</f>
        <v>0.0422405876951332</v>
      </c>
      <c r="N17" s="275" t="n">
        <f aca="false">+B17*(1-D17)*(1-H17)*(1-L17)</f>
        <v>96824.079</v>
      </c>
      <c r="O17" s="622" t="n">
        <f aca="false">+N17/$N$19</f>
        <v>0.0123659459143747</v>
      </c>
      <c r="P17" s="621" t="n">
        <f aca="false">+O17*M17</f>
        <v>0.000522344822829417</v>
      </c>
    </row>
    <row r="18" customFormat="false" ht="12.75" hidden="false" customHeight="false" outlineLevel="0" collapsed="false">
      <c r="C18" s="555"/>
      <c r="D18" s="556"/>
      <c r="E18" s="556"/>
      <c r="F18" s="556"/>
      <c r="G18" s="553"/>
      <c r="H18" s="555"/>
      <c r="I18" s="555"/>
      <c r="J18" s="555"/>
      <c r="K18" s="553"/>
      <c r="L18" s="555"/>
      <c r="M18" s="555"/>
      <c r="N18" s="555"/>
      <c r="O18" s="555"/>
    </row>
    <row r="19" customFormat="false" ht="12.75" hidden="false" customHeight="false" outlineLevel="0" collapsed="false">
      <c r="B19" s="618" t="n">
        <f aca="false">SUM(B11:B17)</f>
        <v>8109445</v>
      </c>
      <c r="C19" s="555"/>
      <c r="D19" s="556"/>
      <c r="E19" s="556"/>
      <c r="F19" s="556"/>
      <c r="G19" s="553"/>
      <c r="H19" s="555"/>
      <c r="I19" s="555"/>
      <c r="J19" s="555"/>
      <c r="K19" s="556"/>
      <c r="L19" s="553"/>
      <c r="M19" s="553"/>
      <c r="N19" s="618" t="n">
        <f aca="false">SUM(N11:N17)</f>
        <v>7829896.69131965</v>
      </c>
      <c r="O19" s="622" t="n">
        <f aca="false">+N19/$N$19</f>
        <v>1</v>
      </c>
      <c r="P19" s="623" t="n">
        <f aca="false">SUM(P11:P17)</f>
        <v>0.0563382823682765</v>
      </c>
    </row>
    <row r="20" customFormat="false" ht="12.75" hidden="false" customHeight="false" outlineLevel="0" collapsed="false">
      <c r="C20" s="555"/>
      <c r="D20" s="556"/>
      <c r="E20" s="556"/>
      <c r="F20" s="556"/>
      <c r="G20" s="553"/>
      <c r="H20" s="555"/>
      <c r="I20" s="555"/>
      <c r="J20" s="555"/>
      <c r="K20" s="556"/>
      <c r="L20" s="553"/>
      <c r="M20" s="553"/>
      <c r="N20" s="553"/>
      <c r="O20" s="553"/>
    </row>
    <row r="22" customFormat="false" ht="12.75" hidden="false" customHeight="false" outlineLevel="0" collapsed="false">
      <c r="B22" s="624" t="s">
        <v>330</v>
      </c>
      <c r="N22" s="625" t="n">
        <f aca="false">'VNG Sheet'!AR47</f>
        <v>0</v>
      </c>
      <c r="O22" s="626"/>
      <c r="P22" s="627" t="n">
        <f aca="false">P19*N22</f>
        <v>0</v>
      </c>
    </row>
    <row r="23" customFormat="false" ht="12.75" hidden="false" customHeight="false" outlineLevel="0" collapsed="false">
      <c r="B23" s="2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20.99"/>
    <col collapsed="false" customWidth="true" hidden="false" outlineLevel="0" max="3" min="3" style="0" width="13.99"/>
    <col collapsed="false" customWidth="true" hidden="false" outlineLevel="0" max="4" min="4" style="0" width="17.56"/>
    <col collapsed="false" customWidth="true" hidden="false" outlineLevel="0" max="5" min="5" style="0" width="19.14"/>
    <col collapsed="false" customWidth="true" hidden="false" outlineLevel="0" max="6" min="6" style="0" width="17.99"/>
    <col collapsed="false" customWidth="true" hidden="false" outlineLevel="0" max="7" min="7" style="0" width="14.56"/>
    <col collapsed="false" customWidth="true" hidden="false" outlineLevel="0" max="8" min="8" style="0" width="13.28"/>
    <col collapsed="false" customWidth="true" hidden="false" outlineLevel="0" max="9" min="9" style="0" width="8.56"/>
    <col collapsed="false" customWidth="true" hidden="false" outlineLevel="0" max="10" min="10" style="0" width="13.28"/>
    <col collapsed="false" customWidth="true" hidden="false" outlineLevel="0" max="11" min="11" style="0" width="18.41"/>
    <col collapsed="false" customWidth="true" hidden="false" outlineLevel="0" max="12" min="12" style="0" width="16.13"/>
    <col collapsed="false" customWidth="true" hidden="false" outlineLevel="0" max="13" min="13" style="0" width="17.42"/>
    <col collapsed="false" customWidth="true" hidden="false" outlineLevel="0" max="14" min="14" style="0" width="11.56"/>
    <col collapsed="false" customWidth="true" hidden="false" outlineLevel="0" max="15" min="15" style="0" width="10.71"/>
    <col collapsed="false" customWidth="true" hidden="false" outlineLevel="0" max="16" min="16" style="0" width="13.56"/>
  </cols>
  <sheetData>
    <row r="1" customFormat="false" ht="15" hidden="false" customHeight="false" outlineLevel="0" collapsed="false">
      <c r="A1" s="628" t="s">
        <v>331</v>
      </c>
      <c r="B1" s="629"/>
      <c r="C1" s="630" t="s">
        <v>332</v>
      </c>
      <c r="D1" s="630"/>
      <c r="E1" s="630"/>
      <c r="F1" s="630"/>
      <c r="G1" s="630"/>
      <c r="H1" s="630"/>
      <c r="K1" s="630" t="s">
        <v>333</v>
      </c>
      <c r="L1" s="630"/>
      <c r="M1" s="630"/>
      <c r="N1" s="630"/>
      <c r="O1" s="630"/>
      <c r="P1" s="630"/>
    </row>
    <row r="2" customFormat="false" ht="12.75" hidden="false" customHeight="false" outlineLevel="0" collapsed="false">
      <c r="A2" s="7"/>
    </row>
    <row r="3" customFormat="false" ht="12.75" hidden="false" customHeight="false" outlineLevel="0" collapsed="false">
      <c r="A3" s="7" t="s">
        <v>334</v>
      </c>
      <c r="C3" s="631" t="n">
        <v>92379</v>
      </c>
      <c r="D3" s="632" t="n">
        <v>3096287</v>
      </c>
      <c r="E3" s="632" t="n">
        <v>3041466</v>
      </c>
      <c r="F3" s="632" t="n">
        <v>716976</v>
      </c>
      <c r="G3" s="633" t="n">
        <v>52732</v>
      </c>
      <c r="H3" s="634" t="n">
        <f aca="false">SUM(C3:G3)</f>
        <v>6999840</v>
      </c>
      <c r="I3" s="635"/>
      <c r="K3" s="631" t="n">
        <f aca="false">C3</f>
        <v>92379</v>
      </c>
      <c r="L3" s="631" t="n">
        <f aca="false">D3</f>
        <v>3096287</v>
      </c>
      <c r="M3" s="631" t="n">
        <f aca="false">E3</f>
        <v>3041466</v>
      </c>
      <c r="N3" s="631" t="n">
        <f aca="false">F3</f>
        <v>716976</v>
      </c>
      <c r="O3" s="631" t="n">
        <f aca="false">G3</f>
        <v>52732</v>
      </c>
      <c r="P3" s="634" t="n">
        <f aca="false">SUM(K3:O3)</f>
        <v>6999840</v>
      </c>
    </row>
    <row r="4" customFormat="false" ht="12.75" hidden="false" customHeight="false" outlineLevel="0" collapsed="false">
      <c r="A4" s="7"/>
      <c r="B4" s="636" t="n">
        <v>37164</v>
      </c>
      <c r="C4" s="22"/>
      <c r="D4" s="22"/>
      <c r="E4" s="22"/>
      <c r="F4" s="22"/>
      <c r="G4" s="22"/>
      <c r="H4" s="22"/>
      <c r="I4" s="637"/>
      <c r="J4" s="636"/>
      <c r="Q4" s="17"/>
    </row>
    <row r="5" customFormat="false" ht="12.75" hidden="false" customHeight="false" outlineLevel="0" collapsed="false">
      <c r="A5" s="7"/>
      <c r="Q5" s="17"/>
    </row>
    <row r="6" customFormat="false" ht="12.75" hidden="false" customHeight="false" outlineLevel="0" collapsed="false">
      <c r="B6" s="31" t="s">
        <v>318</v>
      </c>
      <c r="C6" s="638" t="n">
        <f aca="false">'Strg WD - Tier 3'!O11</f>
        <v>0.0124491680852013</v>
      </c>
      <c r="D6" s="639" t="n">
        <f aca="false">'Strg WD - Tier 3'!O12+'Strg WD - Tier 3'!O13</f>
        <v>0.429931702368641</v>
      </c>
      <c r="E6" s="639" t="n">
        <f aca="false">'Strg WD - Tier 3'!O14+'Strg WD - Tier 3'!O15</f>
        <v>0.445826584445224</v>
      </c>
      <c r="F6" s="639" t="n">
        <f aca="false">'Strg WD - Tier 3'!O16</f>
        <v>0.0994265991865586</v>
      </c>
      <c r="G6" s="639" t="n">
        <f aca="false">'Strg WD - Tier 3'!O17</f>
        <v>0.0123659459143747</v>
      </c>
      <c r="H6" s="640" t="n">
        <f aca="false">SUM(C6:G6)</f>
        <v>1</v>
      </c>
      <c r="I6" s="641"/>
      <c r="J6" s="31" t="s">
        <v>318</v>
      </c>
      <c r="K6" s="638" t="n">
        <f aca="false">C6</f>
        <v>0.0124491680852013</v>
      </c>
      <c r="L6" s="638" t="n">
        <f aca="false">D6</f>
        <v>0.429931702368641</v>
      </c>
      <c r="M6" s="638" t="n">
        <f aca="false">E6</f>
        <v>0.445826584445224</v>
      </c>
      <c r="N6" s="638" t="n">
        <f aca="false">F6</f>
        <v>0.0994265991865586</v>
      </c>
      <c r="O6" s="638" t="n">
        <f aca="false">G6</f>
        <v>0.0123659459143747</v>
      </c>
      <c r="P6" s="640" t="n">
        <f aca="false">SUM(K6:O6)</f>
        <v>1</v>
      </c>
      <c r="Q6" s="17"/>
    </row>
    <row r="7" customFormat="false" ht="27" hidden="false" customHeight="true" outlineLevel="0" collapsed="false">
      <c r="A7" s="7"/>
      <c r="C7" s="642" t="s">
        <v>320</v>
      </c>
      <c r="D7" s="642" t="s">
        <v>335</v>
      </c>
      <c r="E7" s="643" t="s">
        <v>336</v>
      </c>
      <c r="F7" s="642" t="s">
        <v>328</v>
      </c>
      <c r="G7" s="642" t="s">
        <v>329</v>
      </c>
      <c r="H7" s="642" t="s">
        <v>337</v>
      </c>
      <c r="I7" s="644"/>
      <c r="K7" s="642" t="s">
        <v>320</v>
      </c>
      <c r="L7" s="642" t="s">
        <v>335</v>
      </c>
      <c r="M7" s="643" t="s">
        <v>336</v>
      </c>
      <c r="N7" s="642" t="s">
        <v>328</v>
      </c>
      <c r="O7" s="642" t="s">
        <v>329</v>
      </c>
      <c r="P7" s="642" t="s">
        <v>338</v>
      </c>
      <c r="Q7" s="17"/>
    </row>
    <row r="8" customFormat="false" ht="12.75" hidden="false" customHeight="false" outlineLevel="0" collapsed="false">
      <c r="A8" s="645"/>
      <c r="B8" s="322" t="n">
        <v>37165</v>
      </c>
      <c r="C8" s="646" t="n">
        <f aca="false">'Strg Refill Quantity'!$I$34/30</f>
        <v>272.316666666667</v>
      </c>
      <c r="D8" s="646" t="n">
        <f aca="false">'Strg Refill Quantity'!$I$36/30</f>
        <v>9941.46944444444</v>
      </c>
      <c r="E8" s="647" t="n">
        <f aca="false">'Strg Refill Quantity'!$I$38/30</f>
        <v>12837.7097222222</v>
      </c>
      <c r="F8" s="648" t="n">
        <f aca="false">'Strg Refill Quantity'!$I$40/30</f>
        <v>2196.8</v>
      </c>
      <c r="G8" s="649" t="n">
        <f aca="false">'Strg Refill Quantity'!$I$42/30</f>
        <v>58.4166666666667</v>
      </c>
      <c r="H8" s="650" t="n">
        <f aca="false">SUM(C8:G8)</f>
        <v>25306.7125</v>
      </c>
      <c r="I8" s="651"/>
      <c r="J8" s="322" t="n">
        <f aca="false">B8</f>
        <v>37165</v>
      </c>
      <c r="K8" s="646"/>
      <c r="L8" s="646"/>
      <c r="M8" s="652"/>
      <c r="N8" s="653"/>
      <c r="O8" s="654"/>
      <c r="P8" s="655" t="n">
        <f aca="false">'VNG Sheet'!AR15</f>
        <v>0</v>
      </c>
      <c r="Q8" s="17"/>
    </row>
    <row r="9" customFormat="false" ht="12.75" hidden="false" customHeight="false" outlineLevel="0" collapsed="false">
      <c r="A9" s="645"/>
      <c r="B9" s="322" t="n">
        <f aca="false">B8+1</f>
        <v>37166</v>
      </c>
      <c r="C9" s="645" t="n">
        <f aca="false">'Strg Refill Quantity'!$I$34/30</f>
        <v>272.316666666667</v>
      </c>
      <c r="D9" s="645" t="n">
        <f aca="false">'Strg Refill Quantity'!$I$36/30</f>
        <v>9941.46944444444</v>
      </c>
      <c r="E9" s="656" t="n">
        <f aca="false">'Strg Refill Quantity'!$I$38/30</f>
        <v>12837.7097222222</v>
      </c>
      <c r="F9" s="657" t="n">
        <f aca="false">'Strg Refill Quantity'!$I$40/30</f>
        <v>2196.8</v>
      </c>
      <c r="G9" s="658" t="n">
        <f aca="false">'Strg Refill Quantity'!$I$42/30</f>
        <v>58.4166666666667</v>
      </c>
      <c r="H9" s="659" t="n">
        <f aca="false">SUM(C9:G9)</f>
        <v>25306.7125</v>
      </c>
      <c r="I9" s="651"/>
      <c r="J9" s="322" t="n">
        <f aca="false">J8+1</f>
        <v>37166</v>
      </c>
      <c r="K9" s="645"/>
      <c r="L9" s="645"/>
      <c r="M9" s="660"/>
      <c r="N9" s="661"/>
      <c r="O9" s="662"/>
      <c r="P9" s="655" t="n">
        <f aca="false">'VNG Sheet'!AR16</f>
        <v>0</v>
      </c>
      <c r="Q9" s="17"/>
    </row>
    <row r="10" customFormat="false" ht="12.75" hidden="false" customHeight="false" outlineLevel="0" collapsed="false">
      <c r="A10" s="645"/>
      <c r="B10" s="322" t="n">
        <f aca="false">B9+1</f>
        <v>37167</v>
      </c>
      <c r="C10" s="645" t="n">
        <f aca="false">'Strg Refill Quantity'!$I$34/30</f>
        <v>272.316666666667</v>
      </c>
      <c r="D10" s="645" t="n">
        <f aca="false">'Strg Refill Quantity'!$I$36/30</f>
        <v>9941.46944444444</v>
      </c>
      <c r="E10" s="656" t="n">
        <f aca="false">'Strg Refill Quantity'!$I$38/30</f>
        <v>12837.7097222222</v>
      </c>
      <c r="F10" s="657" t="n">
        <f aca="false">'Strg Refill Quantity'!$I$40/30</f>
        <v>2196.8</v>
      </c>
      <c r="G10" s="658" t="n">
        <f aca="false">'Strg Refill Quantity'!$I$42/30</f>
        <v>58.4166666666667</v>
      </c>
      <c r="H10" s="659" t="n">
        <f aca="false">SUM(C10:G10)</f>
        <v>25306.7125</v>
      </c>
      <c r="I10" s="651"/>
      <c r="J10" s="322" t="n">
        <f aca="false">J9+1</f>
        <v>37167</v>
      </c>
      <c r="K10" s="645"/>
      <c r="L10" s="645"/>
      <c r="M10" s="660"/>
      <c r="N10" s="661"/>
      <c r="O10" s="662"/>
      <c r="P10" s="655" t="n">
        <f aca="false">'VNG Sheet'!AR17</f>
        <v>0</v>
      </c>
      <c r="Q10" s="17"/>
    </row>
    <row r="11" customFormat="false" ht="12.75" hidden="false" customHeight="false" outlineLevel="0" collapsed="false">
      <c r="A11" s="645"/>
      <c r="B11" s="322" t="n">
        <f aca="false">B10+1</f>
        <v>37168</v>
      </c>
      <c r="C11" s="645" t="n">
        <f aca="false">'Strg Refill Quantity'!$I$34/30</f>
        <v>272.316666666667</v>
      </c>
      <c r="D11" s="645" t="n">
        <f aca="false">'Strg Refill Quantity'!$I$36/30</f>
        <v>9941.46944444444</v>
      </c>
      <c r="E11" s="656" t="n">
        <f aca="false">'Strg Refill Quantity'!$I$38/30</f>
        <v>12837.7097222222</v>
      </c>
      <c r="F11" s="657" t="n">
        <f aca="false">'Strg Refill Quantity'!$I$40/30</f>
        <v>2196.8</v>
      </c>
      <c r="G11" s="658" t="n">
        <f aca="false">'Strg Refill Quantity'!$I$42/30</f>
        <v>58.4166666666667</v>
      </c>
      <c r="H11" s="659" t="n">
        <f aca="false">SUM(C11:G11)</f>
        <v>25306.7125</v>
      </c>
      <c r="I11" s="651"/>
      <c r="J11" s="322" t="n">
        <f aca="false">J10+1</f>
        <v>37168</v>
      </c>
      <c r="K11" s="645"/>
      <c r="L11" s="645"/>
      <c r="M11" s="660"/>
      <c r="N11" s="661"/>
      <c r="O11" s="662"/>
      <c r="P11" s="655" t="n">
        <f aca="false">'VNG Sheet'!AR18</f>
        <v>0</v>
      </c>
      <c r="Q11" s="17"/>
    </row>
    <row r="12" customFormat="false" ht="12.75" hidden="false" customHeight="false" outlineLevel="0" collapsed="false">
      <c r="A12" s="645"/>
      <c r="B12" s="322" t="n">
        <f aca="false">B11+1</f>
        <v>37169</v>
      </c>
      <c r="C12" s="645" t="n">
        <f aca="false">'Strg Refill Quantity'!$I$34/30</f>
        <v>272.316666666667</v>
      </c>
      <c r="D12" s="645" t="n">
        <f aca="false">'Strg Refill Quantity'!$I$36/30</f>
        <v>9941.46944444444</v>
      </c>
      <c r="E12" s="656" t="n">
        <f aca="false">'Strg Refill Quantity'!$I$38/30</f>
        <v>12837.7097222222</v>
      </c>
      <c r="F12" s="657" t="n">
        <f aca="false">'Strg Refill Quantity'!$I$40/30</f>
        <v>2196.8</v>
      </c>
      <c r="G12" s="658" t="n">
        <f aca="false">'Strg Refill Quantity'!$I$42/30</f>
        <v>58.4166666666667</v>
      </c>
      <c r="H12" s="659" t="n">
        <f aca="false">SUM(C12:G12)</f>
        <v>25306.7125</v>
      </c>
      <c r="I12" s="651"/>
      <c r="J12" s="322" t="n">
        <f aca="false">J11+1</f>
        <v>37169</v>
      </c>
      <c r="K12" s="645"/>
      <c r="L12" s="645"/>
      <c r="M12" s="660"/>
      <c r="N12" s="661"/>
      <c r="O12" s="662"/>
      <c r="P12" s="655" t="n">
        <f aca="false">'VNG Sheet'!AR19</f>
        <v>0</v>
      </c>
      <c r="Q12" s="17"/>
    </row>
    <row r="13" customFormat="false" ht="12.75" hidden="false" customHeight="false" outlineLevel="0" collapsed="false">
      <c r="A13" s="645"/>
      <c r="B13" s="322" t="n">
        <f aca="false">B12+1</f>
        <v>37170</v>
      </c>
      <c r="C13" s="645" t="n">
        <f aca="false">'Strg Refill Quantity'!$I$34/30</f>
        <v>272.316666666667</v>
      </c>
      <c r="D13" s="645" t="n">
        <f aca="false">'Strg Refill Quantity'!$I$36/30</f>
        <v>9941.46944444444</v>
      </c>
      <c r="E13" s="656" t="n">
        <f aca="false">'Strg Refill Quantity'!$I$38/30</f>
        <v>12837.7097222222</v>
      </c>
      <c r="F13" s="657" t="n">
        <f aca="false">'Strg Refill Quantity'!$I$40/30</f>
        <v>2196.8</v>
      </c>
      <c r="G13" s="658" t="n">
        <f aca="false">'Strg Refill Quantity'!$I$42/30</f>
        <v>58.4166666666667</v>
      </c>
      <c r="H13" s="659" t="n">
        <f aca="false">SUM(C13:G13)</f>
        <v>25306.7125</v>
      </c>
      <c r="I13" s="651"/>
      <c r="J13" s="322" t="n">
        <f aca="false">J12+1</f>
        <v>37170</v>
      </c>
      <c r="K13" s="645"/>
      <c r="L13" s="645"/>
      <c r="M13" s="660"/>
      <c r="N13" s="661"/>
      <c r="O13" s="662"/>
      <c r="P13" s="655" t="n">
        <f aca="false">'VNG Sheet'!AR20</f>
        <v>0</v>
      </c>
      <c r="Q13" s="17"/>
    </row>
    <row r="14" customFormat="false" ht="12.75" hidden="false" customHeight="false" outlineLevel="0" collapsed="false">
      <c r="A14" s="645"/>
      <c r="B14" s="322" t="n">
        <f aca="false">B13+1</f>
        <v>37171</v>
      </c>
      <c r="C14" s="645" t="n">
        <f aca="false">'Strg Refill Quantity'!$I$34/30</f>
        <v>272.316666666667</v>
      </c>
      <c r="D14" s="645" t="n">
        <f aca="false">'Strg Refill Quantity'!$I$36/30</f>
        <v>9941.46944444444</v>
      </c>
      <c r="E14" s="656" t="n">
        <f aca="false">'Strg Refill Quantity'!$I$38/30</f>
        <v>12837.7097222222</v>
      </c>
      <c r="F14" s="657" t="n">
        <f aca="false">'Strg Refill Quantity'!$I$40/30</f>
        <v>2196.8</v>
      </c>
      <c r="G14" s="658" t="n">
        <f aca="false">'Strg Refill Quantity'!$I$42/30</f>
        <v>58.4166666666667</v>
      </c>
      <c r="H14" s="659" t="n">
        <f aca="false">SUM(C14:G14)</f>
        <v>25306.7125</v>
      </c>
      <c r="I14" s="651"/>
      <c r="J14" s="322" t="n">
        <f aca="false">J13+1</f>
        <v>37171</v>
      </c>
      <c r="K14" s="645"/>
      <c r="L14" s="645"/>
      <c r="M14" s="660"/>
      <c r="N14" s="661"/>
      <c r="O14" s="662"/>
      <c r="P14" s="655" t="n">
        <f aca="false">'VNG Sheet'!AR21</f>
        <v>0</v>
      </c>
      <c r="Q14" s="17"/>
    </row>
    <row r="15" customFormat="false" ht="12.75" hidden="false" customHeight="false" outlineLevel="0" collapsed="false">
      <c r="A15" s="645"/>
      <c r="B15" s="322" t="n">
        <f aca="false">B14+1</f>
        <v>37172</v>
      </c>
      <c r="C15" s="645" t="n">
        <f aca="false">'Strg Refill Quantity'!$I$34/30</f>
        <v>272.316666666667</v>
      </c>
      <c r="D15" s="645" t="n">
        <f aca="false">'Strg Refill Quantity'!$I$36/30</f>
        <v>9941.46944444444</v>
      </c>
      <c r="E15" s="656" t="n">
        <f aca="false">'Strg Refill Quantity'!$I$38/30</f>
        <v>12837.7097222222</v>
      </c>
      <c r="F15" s="657" t="n">
        <f aca="false">'Strg Refill Quantity'!$I$40/30</f>
        <v>2196.8</v>
      </c>
      <c r="G15" s="658" t="n">
        <f aca="false">'Strg Refill Quantity'!$I$42/30</f>
        <v>58.4166666666667</v>
      </c>
      <c r="H15" s="659" t="n">
        <f aca="false">SUM(C15:G15)</f>
        <v>25306.7125</v>
      </c>
      <c r="I15" s="651"/>
      <c r="J15" s="322" t="n">
        <f aca="false">J14+1</f>
        <v>37172</v>
      </c>
      <c r="K15" s="645"/>
      <c r="L15" s="645"/>
      <c r="M15" s="660"/>
      <c r="N15" s="661"/>
      <c r="O15" s="662"/>
      <c r="P15" s="655" t="n">
        <f aca="false">'VNG Sheet'!AR22</f>
        <v>0</v>
      </c>
      <c r="Q15" s="17"/>
    </row>
    <row r="16" customFormat="false" ht="12.75" hidden="false" customHeight="false" outlineLevel="0" collapsed="false">
      <c r="A16" s="645"/>
      <c r="B16" s="322" t="n">
        <f aca="false">B15+1</f>
        <v>37173</v>
      </c>
      <c r="C16" s="645" t="n">
        <f aca="false">'Strg Refill Quantity'!$I$34/30</f>
        <v>272.316666666667</v>
      </c>
      <c r="D16" s="645" t="n">
        <f aca="false">'Strg Refill Quantity'!$I$36/30</f>
        <v>9941.46944444444</v>
      </c>
      <c r="E16" s="656" t="n">
        <f aca="false">'Strg Refill Quantity'!$I$38/30</f>
        <v>12837.7097222222</v>
      </c>
      <c r="F16" s="657" t="n">
        <f aca="false">'Strg Refill Quantity'!$I$40/30</f>
        <v>2196.8</v>
      </c>
      <c r="G16" s="658" t="n">
        <f aca="false">'Strg Refill Quantity'!$I$42/30</f>
        <v>58.4166666666667</v>
      </c>
      <c r="H16" s="659" t="n">
        <f aca="false">SUM(C16:G16)</f>
        <v>25306.7125</v>
      </c>
      <c r="I16" s="651"/>
      <c r="J16" s="322" t="n">
        <f aca="false">J15+1</f>
        <v>37173</v>
      </c>
      <c r="K16" s="645"/>
      <c r="L16" s="645"/>
      <c r="M16" s="660"/>
      <c r="N16" s="661"/>
      <c r="O16" s="662"/>
      <c r="P16" s="655" t="n">
        <f aca="false">'VNG Sheet'!AR23</f>
        <v>0</v>
      </c>
      <c r="Q16" s="17"/>
    </row>
    <row r="17" customFormat="false" ht="12.75" hidden="false" customHeight="false" outlineLevel="0" collapsed="false">
      <c r="A17" s="645"/>
      <c r="B17" s="322" t="n">
        <f aca="false">B16+1</f>
        <v>37174</v>
      </c>
      <c r="C17" s="645" t="n">
        <f aca="false">'Strg Refill Quantity'!$I$34/30</f>
        <v>272.316666666667</v>
      </c>
      <c r="D17" s="645" t="n">
        <f aca="false">'Strg Refill Quantity'!$I$36/30</f>
        <v>9941.46944444444</v>
      </c>
      <c r="E17" s="656" t="n">
        <f aca="false">'Strg Refill Quantity'!$I$38/30</f>
        <v>12837.7097222222</v>
      </c>
      <c r="F17" s="657" t="n">
        <f aca="false">'Strg Refill Quantity'!$I$40/30</f>
        <v>2196.8</v>
      </c>
      <c r="G17" s="658" t="n">
        <f aca="false">'Strg Refill Quantity'!$I$42/30</f>
        <v>58.4166666666667</v>
      </c>
      <c r="H17" s="659" t="n">
        <f aca="false">SUM(C17:G17)</f>
        <v>25306.7125</v>
      </c>
      <c r="I17" s="651"/>
      <c r="J17" s="322" t="n">
        <f aca="false">J16+1</f>
        <v>37174</v>
      </c>
      <c r="K17" s="645"/>
      <c r="L17" s="645"/>
      <c r="M17" s="660"/>
      <c r="N17" s="661"/>
      <c r="O17" s="662"/>
      <c r="P17" s="655" t="n">
        <f aca="false">'VNG Sheet'!AR24</f>
        <v>0</v>
      </c>
      <c r="Q17" s="17"/>
    </row>
    <row r="18" customFormat="false" ht="12.75" hidden="false" customHeight="false" outlineLevel="0" collapsed="false">
      <c r="A18" s="645"/>
      <c r="B18" s="322" t="n">
        <f aca="false">B17+1</f>
        <v>37175</v>
      </c>
      <c r="C18" s="645" t="n">
        <f aca="false">'Strg Refill Quantity'!$I$34/30</f>
        <v>272.316666666667</v>
      </c>
      <c r="D18" s="645" t="n">
        <f aca="false">'Strg Refill Quantity'!$I$36/30</f>
        <v>9941.46944444444</v>
      </c>
      <c r="E18" s="656" t="n">
        <f aca="false">'Strg Refill Quantity'!$I$38/30</f>
        <v>12837.7097222222</v>
      </c>
      <c r="F18" s="657" t="n">
        <f aca="false">'Strg Refill Quantity'!$I$40/30</f>
        <v>2196.8</v>
      </c>
      <c r="G18" s="658" t="n">
        <f aca="false">'Strg Refill Quantity'!$I$42/30</f>
        <v>58.4166666666667</v>
      </c>
      <c r="H18" s="659" t="n">
        <f aca="false">SUM(C18:G18)</f>
        <v>25306.7125</v>
      </c>
      <c r="I18" s="651"/>
      <c r="J18" s="322" t="n">
        <f aca="false">J17+1</f>
        <v>37175</v>
      </c>
      <c r="K18" s="645"/>
      <c r="L18" s="645"/>
      <c r="M18" s="660"/>
      <c r="N18" s="661"/>
      <c r="O18" s="662"/>
      <c r="P18" s="655" t="n">
        <f aca="false">'VNG Sheet'!AR25</f>
        <v>0</v>
      </c>
      <c r="Q18" s="17"/>
    </row>
    <row r="19" customFormat="false" ht="12.75" hidden="false" customHeight="false" outlineLevel="0" collapsed="false">
      <c r="A19" s="645"/>
      <c r="B19" s="322" t="n">
        <f aca="false">B18+1</f>
        <v>37176</v>
      </c>
      <c r="C19" s="645" t="n">
        <f aca="false">'Strg Refill Quantity'!$I$34/30</f>
        <v>272.316666666667</v>
      </c>
      <c r="D19" s="645" t="n">
        <f aca="false">'Strg Refill Quantity'!$I$36/30</f>
        <v>9941.46944444444</v>
      </c>
      <c r="E19" s="656" t="n">
        <f aca="false">'Strg Refill Quantity'!$I$38/30</f>
        <v>12837.7097222222</v>
      </c>
      <c r="F19" s="657" t="n">
        <f aca="false">'Strg Refill Quantity'!$I$40/30</f>
        <v>2196.8</v>
      </c>
      <c r="G19" s="658" t="n">
        <f aca="false">'Strg Refill Quantity'!$I$42/30</f>
        <v>58.4166666666667</v>
      </c>
      <c r="H19" s="659" t="n">
        <f aca="false">SUM(C19:G19)</f>
        <v>25306.7125</v>
      </c>
      <c r="I19" s="651"/>
      <c r="J19" s="322" t="n">
        <f aca="false">J18+1</f>
        <v>37176</v>
      </c>
      <c r="K19" s="645"/>
      <c r="L19" s="645"/>
      <c r="M19" s="660"/>
      <c r="N19" s="661"/>
      <c r="O19" s="662"/>
      <c r="P19" s="655" t="n">
        <f aca="false">'VNG Sheet'!AR26</f>
        <v>0</v>
      </c>
      <c r="Q19" s="17"/>
    </row>
    <row r="20" customFormat="false" ht="12.75" hidden="false" customHeight="false" outlineLevel="0" collapsed="false">
      <c r="A20" s="645"/>
      <c r="B20" s="322" t="n">
        <f aca="false">B19+1</f>
        <v>37177</v>
      </c>
      <c r="C20" s="645" t="n">
        <f aca="false">'Strg Refill Quantity'!$I$34/30</f>
        <v>272.316666666667</v>
      </c>
      <c r="D20" s="645" t="n">
        <f aca="false">'Strg Refill Quantity'!$I$36/30</f>
        <v>9941.46944444444</v>
      </c>
      <c r="E20" s="656" t="n">
        <f aca="false">'Strg Refill Quantity'!$I$38/30</f>
        <v>12837.7097222222</v>
      </c>
      <c r="F20" s="657" t="n">
        <f aca="false">'Strg Refill Quantity'!$I$40/30</f>
        <v>2196.8</v>
      </c>
      <c r="G20" s="658" t="n">
        <f aca="false">'Strg Refill Quantity'!$I$42/30</f>
        <v>58.4166666666667</v>
      </c>
      <c r="H20" s="659" t="n">
        <f aca="false">SUM(C20:G20)</f>
        <v>25306.7125</v>
      </c>
      <c r="I20" s="651"/>
      <c r="J20" s="322" t="n">
        <f aca="false">J19+1</f>
        <v>37177</v>
      </c>
      <c r="K20" s="645" t="n">
        <f aca="false">$P$20*K6</f>
        <v>0</v>
      </c>
      <c r="L20" s="645" t="n">
        <f aca="false">$P$20*L6</f>
        <v>0</v>
      </c>
      <c r="M20" s="645" t="n">
        <f aca="false">$P$20*M6</f>
        <v>0</v>
      </c>
      <c r="N20" s="645" t="n">
        <f aca="false">$P$20*N6</f>
        <v>0</v>
      </c>
      <c r="O20" s="645" t="n">
        <f aca="false">$P$20*O6</f>
        <v>0</v>
      </c>
      <c r="P20" s="655" t="n">
        <f aca="false">'VNG Sheet'!AR27</f>
        <v>0</v>
      </c>
      <c r="Q20" s="17"/>
    </row>
    <row r="21" customFormat="false" ht="12.75" hidden="false" customHeight="false" outlineLevel="0" collapsed="false">
      <c r="A21" s="645"/>
      <c r="B21" s="322" t="n">
        <f aca="false">B20+1</f>
        <v>37178</v>
      </c>
      <c r="C21" s="645" t="n">
        <f aca="false">'Strg Refill Quantity'!$I$34/30</f>
        <v>272.316666666667</v>
      </c>
      <c r="D21" s="645" t="n">
        <f aca="false">'Strg Refill Quantity'!$I$36/30</f>
        <v>9941.46944444444</v>
      </c>
      <c r="E21" s="656" t="n">
        <f aca="false">'Strg Refill Quantity'!$I$38/30</f>
        <v>12837.7097222222</v>
      </c>
      <c r="F21" s="657" t="n">
        <f aca="false">'Strg Refill Quantity'!$I$40/30</f>
        <v>2196.8</v>
      </c>
      <c r="G21" s="658" t="n">
        <f aca="false">'Strg Refill Quantity'!$I$42/30</f>
        <v>58.4166666666667</v>
      </c>
      <c r="H21" s="659" t="n">
        <f aca="false">SUM(C21:G21)</f>
        <v>25306.7125</v>
      </c>
      <c r="I21" s="651"/>
      <c r="J21" s="322" t="n">
        <f aca="false">J20+1</f>
        <v>37178</v>
      </c>
      <c r="K21" s="645"/>
      <c r="L21" s="645"/>
      <c r="M21" s="660"/>
      <c r="N21" s="661"/>
      <c r="O21" s="662"/>
      <c r="P21" s="655" t="n">
        <f aca="false">'VNG Sheet'!AR28</f>
        <v>0</v>
      </c>
      <c r="Q21" s="17"/>
    </row>
    <row r="22" customFormat="false" ht="12.75" hidden="false" customHeight="false" outlineLevel="0" collapsed="false">
      <c r="A22" s="645"/>
      <c r="B22" s="322" t="n">
        <f aca="false">B21+1</f>
        <v>37179</v>
      </c>
      <c r="C22" s="645" t="n">
        <f aca="false">'Strg Refill Quantity'!$I$34/30</f>
        <v>272.316666666667</v>
      </c>
      <c r="D22" s="645" t="n">
        <f aca="false">'Strg Refill Quantity'!$I$36/30</f>
        <v>9941.46944444444</v>
      </c>
      <c r="E22" s="656" t="n">
        <f aca="false">'Strg Refill Quantity'!$I$38/30</f>
        <v>12837.7097222222</v>
      </c>
      <c r="F22" s="657" t="n">
        <f aca="false">'Strg Refill Quantity'!$I$40/30</f>
        <v>2196.8</v>
      </c>
      <c r="G22" s="658" t="n">
        <f aca="false">'Strg Refill Quantity'!$I$42/30</f>
        <v>58.4166666666667</v>
      </c>
      <c r="H22" s="659" t="n">
        <f aca="false">SUM(C22:G22)</f>
        <v>25306.7125</v>
      </c>
      <c r="I22" s="651"/>
      <c r="J22" s="322" t="n">
        <f aca="false">J21+1</f>
        <v>37179</v>
      </c>
      <c r="K22" s="645"/>
      <c r="L22" s="645"/>
      <c r="M22" s="660"/>
      <c r="N22" s="661"/>
      <c r="O22" s="662"/>
      <c r="P22" s="655" t="n">
        <f aca="false">'VNG Sheet'!AR29</f>
        <v>0</v>
      </c>
      <c r="Q22" s="17"/>
    </row>
    <row r="23" customFormat="false" ht="12.75" hidden="false" customHeight="false" outlineLevel="0" collapsed="false">
      <c r="A23" s="645"/>
      <c r="B23" s="322" t="n">
        <f aca="false">B22+1</f>
        <v>37180</v>
      </c>
      <c r="C23" s="645" t="n">
        <f aca="false">'Strg Refill Quantity'!$I$34/30</f>
        <v>272.316666666667</v>
      </c>
      <c r="D23" s="645" t="n">
        <f aca="false">'Strg Refill Quantity'!$I$36/30</f>
        <v>9941.46944444444</v>
      </c>
      <c r="E23" s="656" t="n">
        <f aca="false">'Strg Refill Quantity'!$I$38/30</f>
        <v>12837.7097222222</v>
      </c>
      <c r="F23" s="657" t="n">
        <f aca="false">'Strg Refill Quantity'!$I$40/30</f>
        <v>2196.8</v>
      </c>
      <c r="G23" s="658" t="n">
        <f aca="false">'Strg Refill Quantity'!$I$42/30</f>
        <v>58.4166666666667</v>
      </c>
      <c r="H23" s="659" t="n">
        <f aca="false">SUM(C23:G23)</f>
        <v>25306.7125</v>
      </c>
      <c r="I23" s="651"/>
      <c r="J23" s="322" t="n">
        <f aca="false">J22+1</f>
        <v>37180</v>
      </c>
      <c r="K23" s="645"/>
      <c r="L23" s="645"/>
      <c r="M23" s="660"/>
      <c r="N23" s="661"/>
      <c r="O23" s="662"/>
      <c r="P23" s="655" t="n">
        <f aca="false">'VNG Sheet'!AR30</f>
        <v>0</v>
      </c>
      <c r="Q23" s="17"/>
    </row>
    <row r="24" customFormat="false" ht="12.75" hidden="false" customHeight="false" outlineLevel="0" collapsed="false">
      <c r="A24" s="645"/>
      <c r="B24" s="322" t="n">
        <f aca="false">B23+1</f>
        <v>37181</v>
      </c>
      <c r="C24" s="645" t="n">
        <f aca="false">'Strg Refill Quantity'!$I$34/30</f>
        <v>272.316666666667</v>
      </c>
      <c r="D24" s="645" t="n">
        <f aca="false">'Strg Refill Quantity'!$I$36/30</f>
        <v>9941.46944444444</v>
      </c>
      <c r="E24" s="656" t="n">
        <f aca="false">'Strg Refill Quantity'!$I$38/30</f>
        <v>12837.7097222222</v>
      </c>
      <c r="F24" s="657" t="n">
        <f aca="false">'Strg Refill Quantity'!$I$40/30</f>
        <v>2196.8</v>
      </c>
      <c r="G24" s="658" t="n">
        <f aca="false">'Strg Refill Quantity'!$I$42/30</f>
        <v>58.4166666666667</v>
      </c>
      <c r="H24" s="659" t="n">
        <f aca="false">SUM(C24:G24)</f>
        <v>25306.7125</v>
      </c>
      <c r="I24" s="651"/>
      <c r="J24" s="322" t="n">
        <f aca="false">J23+1</f>
        <v>37181</v>
      </c>
      <c r="K24" s="645"/>
      <c r="L24" s="645"/>
      <c r="M24" s="645"/>
      <c r="N24" s="645"/>
      <c r="O24" s="645"/>
      <c r="P24" s="655" t="n">
        <f aca="false">'VNG Sheet'!AR31</f>
        <v>0</v>
      </c>
      <c r="Q24" s="17"/>
    </row>
    <row r="25" customFormat="false" ht="12.75" hidden="false" customHeight="false" outlineLevel="0" collapsed="false">
      <c r="A25" s="645"/>
      <c r="B25" s="322" t="n">
        <f aca="false">B24+1</f>
        <v>37182</v>
      </c>
      <c r="C25" s="645" t="n">
        <f aca="false">'Strg Refill Quantity'!$I$34/30</f>
        <v>272.316666666667</v>
      </c>
      <c r="D25" s="645" t="n">
        <f aca="false">'Strg Refill Quantity'!$I$36/30</f>
        <v>9941.46944444444</v>
      </c>
      <c r="E25" s="656" t="n">
        <f aca="false">'Strg Refill Quantity'!$I$38/30</f>
        <v>12837.7097222222</v>
      </c>
      <c r="F25" s="657" t="n">
        <f aca="false">'Strg Refill Quantity'!$I$40/30</f>
        <v>2196.8</v>
      </c>
      <c r="G25" s="658" t="n">
        <f aca="false">'Strg Refill Quantity'!$I$42/30</f>
        <v>58.4166666666667</v>
      </c>
      <c r="H25" s="659" t="n">
        <f aca="false">SUM(C25:G25)</f>
        <v>25306.7125</v>
      </c>
      <c r="I25" s="651"/>
      <c r="J25" s="322" t="n">
        <f aca="false">J24+1</f>
        <v>37182</v>
      </c>
      <c r="K25" s="645"/>
      <c r="L25" s="645"/>
      <c r="M25" s="645"/>
      <c r="N25" s="645"/>
      <c r="O25" s="645"/>
      <c r="P25" s="655" t="n">
        <f aca="false">'VNG Sheet'!AR32</f>
        <v>0</v>
      </c>
      <c r="Q25" s="17"/>
    </row>
    <row r="26" customFormat="false" ht="12.75" hidden="false" customHeight="false" outlineLevel="0" collapsed="false">
      <c r="A26" s="645"/>
      <c r="B26" s="322" t="n">
        <f aca="false">B25+1</f>
        <v>37183</v>
      </c>
      <c r="C26" s="645" t="n">
        <f aca="false">'Strg Refill Quantity'!$I$34/30</f>
        <v>272.316666666667</v>
      </c>
      <c r="D26" s="645" t="n">
        <f aca="false">'Strg Refill Quantity'!$I$36/30</f>
        <v>9941.46944444444</v>
      </c>
      <c r="E26" s="656" t="n">
        <f aca="false">'Strg Refill Quantity'!$I$38/30</f>
        <v>12837.7097222222</v>
      </c>
      <c r="F26" s="657" t="n">
        <f aca="false">'Strg Refill Quantity'!$I$40/30</f>
        <v>2196.8</v>
      </c>
      <c r="G26" s="658" t="n">
        <f aca="false">'Strg Refill Quantity'!$I$42/30</f>
        <v>58.4166666666667</v>
      </c>
      <c r="H26" s="659" t="n">
        <f aca="false">SUM(C26:G26)</f>
        <v>25306.7125</v>
      </c>
      <c r="I26" s="651"/>
      <c r="J26" s="322" t="n">
        <f aca="false">J25+1</f>
        <v>37183</v>
      </c>
      <c r="K26" s="645" t="n">
        <f aca="false">$P$26*K$6</f>
        <v>0</v>
      </c>
      <c r="L26" s="645" t="n">
        <f aca="false">$P$26*L$6</f>
        <v>0</v>
      </c>
      <c r="M26" s="645" t="n">
        <f aca="false">$P$26*M$6</f>
        <v>0</v>
      </c>
      <c r="N26" s="645" t="n">
        <f aca="false">$P$26*N$6</f>
        <v>0</v>
      </c>
      <c r="O26" s="645" t="n">
        <f aca="false">$P$26*O$6</f>
        <v>0</v>
      </c>
      <c r="P26" s="655" t="n">
        <f aca="false">'VNG Sheet'!AR33</f>
        <v>0</v>
      </c>
      <c r="Q26" s="17"/>
    </row>
    <row r="27" customFormat="false" ht="12.75" hidden="false" customHeight="false" outlineLevel="0" collapsed="false">
      <c r="A27" s="645"/>
      <c r="B27" s="322" t="n">
        <f aca="false">B26+1</f>
        <v>37184</v>
      </c>
      <c r="C27" s="645" t="n">
        <f aca="false">'Strg Refill Quantity'!$I$34/30</f>
        <v>272.316666666667</v>
      </c>
      <c r="D27" s="645" t="n">
        <f aca="false">'Strg Refill Quantity'!$I$36/30</f>
        <v>9941.46944444444</v>
      </c>
      <c r="E27" s="656" t="n">
        <f aca="false">'Strg Refill Quantity'!$I$38/30</f>
        <v>12837.7097222222</v>
      </c>
      <c r="F27" s="657" t="n">
        <f aca="false">'Strg Refill Quantity'!$I$40/30</f>
        <v>2196.8</v>
      </c>
      <c r="G27" s="658" t="n">
        <f aca="false">'Strg Refill Quantity'!$I$42/30</f>
        <v>58.4166666666667</v>
      </c>
      <c r="H27" s="659" t="n">
        <f aca="false">SUM(C27:G27)</f>
        <v>25306.7125</v>
      </c>
      <c r="I27" s="651"/>
      <c r="J27" s="322" t="n">
        <f aca="false">J26+1</f>
        <v>37184</v>
      </c>
      <c r="K27" s="645"/>
      <c r="L27" s="645"/>
      <c r="M27" s="660"/>
      <c r="N27" s="661"/>
      <c r="O27" s="662"/>
      <c r="P27" s="655" t="n">
        <f aca="false">'VNG Sheet'!AR34</f>
        <v>0</v>
      </c>
      <c r="Q27" s="17"/>
    </row>
    <row r="28" customFormat="false" ht="12.75" hidden="false" customHeight="false" outlineLevel="0" collapsed="false">
      <c r="A28" s="645"/>
      <c r="B28" s="322" t="n">
        <f aca="false">B27+1</f>
        <v>37185</v>
      </c>
      <c r="C28" s="645" t="n">
        <f aca="false">'Strg Refill Quantity'!$I$34/30</f>
        <v>272.316666666667</v>
      </c>
      <c r="D28" s="645" t="n">
        <f aca="false">'Strg Refill Quantity'!$I$36/30</f>
        <v>9941.46944444444</v>
      </c>
      <c r="E28" s="656" t="n">
        <f aca="false">'Strg Refill Quantity'!$I$38/30</f>
        <v>12837.7097222222</v>
      </c>
      <c r="F28" s="657" t="n">
        <f aca="false">'Strg Refill Quantity'!$I$40/30</f>
        <v>2196.8</v>
      </c>
      <c r="G28" s="658" t="n">
        <f aca="false">'Strg Refill Quantity'!$I$42/30</f>
        <v>58.4166666666667</v>
      </c>
      <c r="H28" s="659" t="n">
        <f aca="false">SUM(C28:G28)</f>
        <v>25306.7125</v>
      </c>
      <c r="I28" s="651"/>
      <c r="J28" s="322" t="n">
        <f aca="false">J27+1</f>
        <v>37185</v>
      </c>
      <c r="K28" s="645"/>
      <c r="L28" s="645"/>
      <c r="M28" s="660"/>
      <c r="N28" s="661"/>
      <c r="O28" s="662"/>
      <c r="P28" s="655" t="n">
        <f aca="false">'VNG Sheet'!AR35</f>
        <v>0</v>
      </c>
      <c r="Q28" s="17"/>
    </row>
    <row r="29" customFormat="false" ht="12.75" hidden="false" customHeight="false" outlineLevel="0" collapsed="false">
      <c r="A29" s="645"/>
      <c r="B29" s="322" t="n">
        <f aca="false">B28+1</f>
        <v>37186</v>
      </c>
      <c r="C29" s="645" t="n">
        <f aca="false">'Strg Refill Quantity'!$I$34/30</f>
        <v>272.316666666667</v>
      </c>
      <c r="D29" s="645" t="n">
        <f aca="false">'Strg Refill Quantity'!$I$36/30</f>
        <v>9941.46944444444</v>
      </c>
      <c r="E29" s="656" t="n">
        <f aca="false">'Strg Refill Quantity'!$I$38/30</f>
        <v>12837.7097222222</v>
      </c>
      <c r="F29" s="657" t="n">
        <f aca="false">'Strg Refill Quantity'!$I$40/30</f>
        <v>2196.8</v>
      </c>
      <c r="G29" s="658" t="n">
        <f aca="false">'Strg Refill Quantity'!$I$42/30</f>
        <v>58.4166666666667</v>
      </c>
      <c r="H29" s="659" t="n">
        <f aca="false">SUM(C29:G29)</f>
        <v>25306.7125</v>
      </c>
      <c r="I29" s="651"/>
      <c r="J29" s="322" t="n">
        <f aca="false">J28+1</f>
        <v>37186</v>
      </c>
      <c r="K29" s="645"/>
      <c r="L29" s="645"/>
      <c r="M29" s="660"/>
      <c r="N29" s="661"/>
      <c r="O29" s="662"/>
      <c r="P29" s="655" t="n">
        <f aca="false">'VNG Sheet'!AR36</f>
        <v>0</v>
      </c>
      <c r="Q29" s="17"/>
    </row>
    <row r="30" customFormat="false" ht="12.75" hidden="false" customHeight="false" outlineLevel="0" collapsed="false">
      <c r="A30" s="645"/>
      <c r="B30" s="322" t="n">
        <f aca="false">B29+1</f>
        <v>37187</v>
      </c>
      <c r="C30" s="645" t="n">
        <f aca="false">'Strg Refill Quantity'!$I$34/30</f>
        <v>272.316666666667</v>
      </c>
      <c r="D30" s="645" t="n">
        <f aca="false">'Strg Refill Quantity'!$I$36/30</f>
        <v>9941.46944444444</v>
      </c>
      <c r="E30" s="656" t="n">
        <f aca="false">'Strg Refill Quantity'!$I$38/30</f>
        <v>12837.7097222222</v>
      </c>
      <c r="F30" s="657" t="n">
        <f aca="false">'Strg Refill Quantity'!$I$40/30</f>
        <v>2196.8</v>
      </c>
      <c r="G30" s="658" t="n">
        <f aca="false">'Strg Refill Quantity'!$I$42/30</f>
        <v>58.4166666666667</v>
      </c>
      <c r="H30" s="659" t="n">
        <f aca="false">SUM(C30:G30)</f>
        <v>25306.7125</v>
      </c>
      <c r="I30" s="651"/>
      <c r="J30" s="322" t="n">
        <f aca="false">J29+1</f>
        <v>37187</v>
      </c>
      <c r="K30" s="645"/>
      <c r="L30" s="645"/>
      <c r="M30" s="660"/>
      <c r="N30" s="661"/>
      <c r="O30" s="662"/>
      <c r="P30" s="655" t="n">
        <f aca="false">'VNG Sheet'!AR37</f>
        <v>0</v>
      </c>
      <c r="Q30" s="17"/>
    </row>
    <row r="31" customFormat="false" ht="12.75" hidden="false" customHeight="false" outlineLevel="0" collapsed="false">
      <c r="A31" s="645"/>
      <c r="B31" s="322" t="n">
        <f aca="false">B30+1</f>
        <v>37188</v>
      </c>
      <c r="C31" s="645" t="n">
        <f aca="false">'Strg Refill Quantity'!$I$34/30</f>
        <v>272.316666666667</v>
      </c>
      <c r="D31" s="645" t="n">
        <f aca="false">'Strg Refill Quantity'!$I$36/30</f>
        <v>9941.46944444444</v>
      </c>
      <c r="E31" s="656" t="n">
        <f aca="false">'Strg Refill Quantity'!$I$38/30</f>
        <v>12837.7097222222</v>
      </c>
      <c r="F31" s="657" t="n">
        <f aca="false">'Strg Refill Quantity'!$I$40/30</f>
        <v>2196.8</v>
      </c>
      <c r="G31" s="658" t="n">
        <f aca="false">'Strg Refill Quantity'!$I$42/30</f>
        <v>58.4166666666667</v>
      </c>
      <c r="H31" s="659" t="n">
        <f aca="false">SUM(C31:G31)</f>
        <v>25306.7125</v>
      </c>
      <c r="I31" s="651"/>
      <c r="J31" s="322" t="n">
        <f aca="false">J30+1</f>
        <v>37188</v>
      </c>
      <c r="K31" s="645"/>
      <c r="L31" s="645"/>
      <c r="M31" s="660"/>
      <c r="N31" s="661"/>
      <c r="O31" s="662"/>
      <c r="P31" s="655" t="n">
        <f aca="false">'VNG Sheet'!AR38</f>
        <v>0</v>
      </c>
      <c r="Q31" s="17"/>
    </row>
    <row r="32" customFormat="false" ht="12.75" hidden="false" customHeight="false" outlineLevel="0" collapsed="false">
      <c r="A32" s="645"/>
      <c r="B32" s="322" t="n">
        <f aca="false">B31+1</f>
        <v>37189</v>
      </c>
      <c r="C32" s="645" t="n">
        <f aca="false">'Strg Refill Quantity'!$I$34/30</f>
        <v>272.316666666667</v>
      </c>
      <c r="D32" s="645" t="n">
        <f aca="false">'Strg Refill Quantity'!$I$36/30</f>
        <v>9941.46944444444</v>
      </c>
      <c r="E32" s="656" t="n">
        <f aca="false">'Strg Refill Quantity'!$I$38/30</f>
        <v>12837.7097222222</v>
      </c>
      <c r="F32" s="657" t="n">
        <f aca="false">'Strg Refill Quantity'!$I$40/30</f>
        <v>2196.8</v>
      </c>
      <c r="G32" s="658" t="n">
        <f aca="false">'Strg Refill Quantity'!$I$42/30</f>
        <v>58.4166666666667</v>
      </c>
      <c r="H32" s="659" t="n">
        <f aca="false">SUM(C32:G32)</f>
        <v>25306.7125</v>
      </c>
      <c r="I32" s="651"/>
      <c r="J32" s="322" t="n">
        <f aca="false">J31+1</f>
        <v>37189</v>
      </c>
      <c r="K32" s="645"/>
      <c r="L32" s="645"/>
      <c r="M32" s="660"/>
      <c r="N32" s="661"/>
      <c r="O32" s="662"/>
      <c r="P32" s="655" t="n">
        <f aca="false">'VNG Sheet'!AR39</f>
        <v>0</v>
      </c>
      <c r="Q32" s="17"/>
    </row>
    <row r="33" customFormat="false" ht="12.75" hidden="false" customHeight="false" outlineLevel="0" collapsed="false">
      <c r="A33" s="645"/>
      <c r="B33" s="322" t="n">
        <f aca="false">B32+1</f>
        <v>37190</v>
      </c>
      <c r="C33" s="645" t="n">
        <f aca="false">'Strg Refill Quantity'!$I$34/30</f>
        <v>272.316666666667</v>
      </c>
      <c r="D33" s="645" t="n">
        <f aca="false">'Strg Refill Quantity'!$I$36/30</f>
        <v>9941.46944444444</v>
      </c>
      <c r="E33" s="656" t="n">
        <f aca="false">'Strg Refill Quantity'!$I$38/30</f>
        <v>12837.7097222222</v>
      </c>
      <c r="F33" s="657" t="n">
        <f aca="false">'Strg Refill Quantity'!$I$40/30</f>
        <v>2196.8</v>
      </c>
      <c r="G33" s="658" t="n">
        <f aca="false">'Strg Refill Quantity'!$I$42/30</f>
        <v>58.4166666666667</v>
      </c>
      <c r="H33" s="659" t="n">
        <f aca="false">SUM(C33:G33)</f>
        <v>25306.7125</v>
      </c>
      <c r="I33" s="663"/>
      <c r="J33" s="322" t="n">
        <f aca="false">J32+1</f>
        <v>37190</v>
      </c>
      <c r="K33" s="645"/>
      <c r="L33" s="645"/>
      <c r="M33" s="660"/>
      <c r="N33" s="661"/>
      <c r="O33" s="662"/>
      <c r="P33" s="655" t="n">
        <f aca="false">'VNG Sheet'!AR40</f>
        <v>0</v>
      </c>
      <c r="Q33" s="17"/>
    </row>
    <row r="34" customFormat="false" ht="12.75" hidden="false" customHeight="false" outlineLevel="0" collapsed="false">
      <c r="A34" s="645"/>
      <c r="B34" s="322" t="n">
        <f aca="false">B33+1</f>
        <v>37191</v>
      </c>
      <c r="C34" s="645" t="n">
        <f aca="false">'Strg Refill Quantity'!$I$34/30</f>
        <v>272.316666666667</v>
      </c>
      <c r="D34" s="645" t="n">
        <f aca="false">'Strg Refill Quantity'!$I$36/30</f>
        <v>9941.46944444444</v>
      </c>
      <c r="E34" s="656" t="n">
        <f aca="false">'Strg Refill Quantity'!$I$38/30</f>
        <v>12837.7097222222</v>
      </c>
      <c r="F34" s="657" t="n">
        <f aca="false">'Strg Refill Quantity'!$I$40/30</f>
        <v>2196.8</v>
      </c>
      <c r="G34" s="658" t="n">
        <f aca="false">'Strg Refill Quantity'!$I$42/30</f>
        <v>58.4166666666667</v>
      </c>
      <c r="H34" s="659" t="n">
        <f aca="false">SUM(C34:G34)</f>
        <v>25306.7125</v>
      </c>
      <c r="I34" s="663"/>
      <c r="J34" s="322" t="n">
        <f aca="false">J33+1</f>
        <v>37191</v>
      </c>
      <c r="K34" s="645"/>
      <c r="L34" s="645"/>
      <c r="M34" s="660"/>
      <c r="N34" s="661"/>
      <c r="O34" s="662"/>
      <c r="P34" s="655" t="n">
        <f aca="false">'VNG Sheet'!AR41</f>
        <v>0</v>
      </c>
      <c r="Q34" s="17"/>
    </row>
    <row r="35" customFormat="false" ht="12.75" hidden="false" customHeight="false" outlineLevel="0" collapsed="false">
      <c r="A35" s="645"/>
      <c r="B35" s="322" t="n">
        <f aca="false">B34+1</f>
        <v>37192</v>
      </c>
      <c r="C35" s="645" t="n">
        <f aca="false">'Strg Refill Quantity'!$I$34/30</f>
        <v>272.316666666667</v>
      </c>
      <c r="D35" s="645" t="n">
        <f aca="false">'Strg Refill Quantity'!$I$36/30</f>
        <v>9941.46944444444</v>
      </c>
      <c r="E35" s="656" t="n">
        <f aca="false">'Strg Refill Quantity'!$I$38/30</f>
        <v>12837.7097222222</v>
      </c>
      <c r="F35" s="657" t="n">
        <f aca="false">'Strg Refill Quantity'!$I$40/30</f>
        <v>2196.8</v>
      </c>
      <c r="G35" s="658" t="n">
        <f aca="false">'Strg Refill Quantity'!$I$42/30</f>
        <v>58.4166666666667</v>
      </c>
      <c r="H35" s="659" t="n">
        <f aca="false">SUM(C35:G35)</f>
        <v>25306.7125</v>
      </c>
      <c r="I35" s="663"/>
      <c r="J35" s="322" t="n">
        <f aca="false">J34+1</f>
        <v>37192</v>
      </c>
      <c r="K35" s="645"/>
      <c r="L35" s="645"/>
      <c r="M35" s="660"/>
      <c r="N35" s="661"/>
      <c r="O35" s="662"/>
      <c r="P35" s="655" t="n">
        <f aca="false">'VNG Sheet'!AR42</f>
        <v>0</v>
      </c>
      <c r="Q35" s="17"/>
    </row>
    <row r="36" customFormat="false" ht="12.75" hidden="false" customHeight="false" outlineLevel="0" collapsed="false">
      <c r="A36" s="645"/>
      <c r="B36" s="322" t="n">
        <f aca="false">B35+1</f>
        <v>37193</v>
      </c>
      <c r="C36" s="645" t="n">
        <f aca="false">'Strg Refill Quantity'!$I$34/30</f>
        <v>272.316666666667</v>
      </c>
      <c r="D36" s="645" t="n">
        <f aca="false">'Strg Refill Quantity'!$I$36/30</f>
        <v>9941.46944444444</v>
      </c>
      <c r="E36" s="656" t="n">
        <f aca="false">'Strg Refill Quantity'!$I$38/30</f>
        <v>12837.7097222222</v>
      </c>
      <c r="F36" s="657" t="n">
        <f aca="false">'Strg Refill Quantity'!$I$40/30</f>
        <v>2196.8</v>
      </c>
      <c r="G36" s="658" t="n">
        <f aca="false">'Strg Refill Quantity'!$I$42/30</f>
        <v>58.4166666666667</v>
      </c>
      <c r="H36" s="659" t="n">
        <f aca="false">SUM(C36:G36)</f>
        <v>25306.7125</v>
      </c>
      <c r="I36" s="663"/>
      <c r="J36" s="322" t="n">
        <f aca="false">J35+1</f>
        <v>37193</v>
      </c>
      <c r="K36" s="645"/>
      <c r="L36" s="645"/>
      <c r="M36" s="660"/>
      <c r="N36" s="661"/>
      <c r="O36" s="662"/>
      <c r="P36" s="655" t="n">
        <f aca="false">'VNG Sheet'!AR43</f>
        <v>0</v>
      </c>
      <c r="Q36" s="17"/>
    </row>
    <row r="37" customFormat="false" ht="12.75" hidden="false" customHeight="false" outlineLevel="0" collapsed="false">
      <c r="A37" s="645"/>
      <c r="B37" s="322" t="n">
        <f aca="false">B36+1</f>
        <v>37194</v>
      </c>
      <c r="C37" s="645" t="n">
        <f aca="false">'Strg Refill Quantity'!$I$34/30</f>
        <v>272.316666666667</v>
      </c>
      <c r="D37" s="645" t="n">
        <f aca="false">'Strg Refill Quantity'!$I$36/30</f>
        <v>9941.46944444444</v>
      </c>
      <c r="E37" s="656" t="n">
        <f aca="false">'Strg Refill Quantity'!$I$38/30</f>
        <v>12837.7097222222</v>
      </c>
      <c r="F37" s="657" t="n">
        <f aca="false">'Strg Refill Quantity'!$I$40/30</f>
        <v>2196.8</v>
      </c>
      <c r="G37" s="658" t="n">
        <f aca="false">'Strg Refill Quantity'!$I$42/30</f>
        <v>58.4166666666667</v>
      </c>
      <c r="H37" s="659" t="n">
        <f aca="false">SUM(C37:G37)</f>
        <v>25306.7125</v>
      </c>
      <c r="I37" s="663"/>
      <c r="J37" s="322" t="n">
        <f aca="false">J36+1</f>
        <v>37194</v>
      </c>
      <c r="K37" s="645"/>
      <c r="L37" s="645"/>
      <c r="M37" s="660"/>
      <c r="N37" s="661"/>
      <c r="O37" s="662"/>
      <c r="P37" s="655" t="n">
        <f aca="false">'VNG Sheet'!AR44</f>
        <v>0</v>
      </c>
      <c r="Q37" s="17"/>
    </row>
    <row r="38" customFormat="false" ht="12.75" hidden="false" customHeight="false" outlineLevel="0" collapsed="false">
      <c r="A38" s="645"/>
      <c r="B38" s="322" t="n">
        <f aca="false">B37+1</f>
        <v>37195</v>
      </c>
      <c r="C38" s="645" t="n">
        <f aca="false">'Strg Refill Quantity'!$I$34/30</f>
        <v>272.316666666667</v>
      </c>
      <c r="D38" s="645" t="n">
        <f aca="false">'Strg Refill Quantity'!$I$36/30</f>
        <v>9941.46944444444</v>
      </c>
      <c r="E38" s="656" t="n">
        <f aca="false">'Strg Refill Quantity'!$I$38/30</f>
        <v>12837.7097222222</v>
      </c>
      <c r="F38" s="657" t="n">
        <f aca="false">'Strg Refill Quantity'!$I$40/30</f>
        <v>2196.8</v>
      </c>
      <c r="G38" s="658" t="n">
        <f aca="false">'Strg Refill Quantity'!$I$42/30</f>
        <v>58.4166666666667</v>
      </c>
      <c r="H38" s="659" t="n">
        <f aca="false">SUM(C38:G38)</f>
        <v>25306.7125</v>
      </c>
      <c r="I38" s="663"/>
      <c r="J38" s="322" t="n">
        <f aca="false">J37+1</f>
        <v>37195</v>
      </c>
      <c r="K38" s="645"/>
      <c r="L38" s="645"/>
      <c r="M38" s="660"/>
      <c r="N38" s="661"/>
      <c r="O38" s="662"/>
      <c r="P38" s="655" t="n">
        <f aca="false">'VNG Sheet'!AR45</f>
        <v>0</v>
      </c>
      <c r="Q38" s="17"/>
    </row>
    <row r="39" customFormat="false" ht="12.75" hidden="false" customHeight="false" outlineLevel="0" collapsed="false">
      <c r="A39" s="645"/>
      <c r="B39" s="21"/>
      <c r="C39" s="664" t="n">
        <f aca="false">SUM(C8:C38)</f>
        <v>8441.81666666667</v>
      </c>
      <c r="D39" s="664" t="n">
        <f aca="false">SUM(D8:D38)</f>
        <v>308185.552777778</v>
      </c>
      <c r="E39" s="664" t="n">
        <f aca="false">SUM(E8:E38)</f>
        <v>397969.001388889</v>
      </c>
      <c r="F39" s="665" t="n">
        <f aca="false">SUM(F8:F38)</f>
        <v>68100.8</v>
      </c>
      <c r="G39" s="664" t="n">
        <f aca="false">SUM(G8:G38)</f>
        <v>1810.91666666667</v>
      </c>
      <c r="H39" s="665" t="n">
        <f aca="false">SUM(H8:H38)</f>
        <v>784508.0875</v>
      </c>
      <c r="I39" s="666"/>
      <c r="J39" s="21"/>
      <c r="K39" s="667" t="n">
        <f aca="false">SUM(K8:K38)</f>
        <v>0</v>
      </c>
      <c r="L39" s="667" t="n">
        <f aca="false">SUM(L8:L38)</f>
        <v>0</v>
      </c>
      <c r="M39" s="667" t="n">
        <f aca="false">SUM(M8:M38)</f>
        <v>0</v>
      </c>
      <c r="N39" s="667" t="n">
        <f aca="false">SUM(N8:N38)</f>
        <v>0</v>
      </c>
      <c r="O39" s="667" t="n">
        <f aca="false">SUM(O8:O38)</f>
        <v>0</v>
      </c>
      <c r="P39" s="665" t="n">
        <f aca="false">SUM(P8:P38)</f>
        <v>0</v>
      </c>
      <c r="Q39" s="17"/>
    </row>
    <row r="40" customFormat="false" ht="25.5" hidden="false" customHeight="false" outlineLevel="0" collapsed="false">
      <c r="A40" s="7"/>
      <c r="C40" s="668" t="str">
        <f aca="false">C7</f>
        <v>Cove Point LNG</v>
      </c>
      <c r="D40" s="668" t="str">
        <f aca="false">D7</f>
        <v>CNG GSS 1 &amp; 2</v>
      </c>
      <c r="E40" s="668" t="str">
        <f aca="false">E7</f>
        <v>TCO FSS 1 &amp; 2</v>
      </c>
      <c r="F40" s="668" t="str">
        <f aca="false">F7</f>
        <v>TCO LNG</v>
      </c>
      <c r="G40" s="668" t="str">
        <f aca="false">G7</f>
        <v>Transco GSS</v>
      </c>
      <c r="H40" s="668" t="str">
        <f aca="false">H7</f>
        <v>Total Strg Injected</v>
      </c>
      <c r="I40" s="669"/>
      <c r="K40" s="668" t="str">
        <f aca="false">K7</f>
        <v>Cove Point LNG</v>
      </c>
      <c r="L40" s="668" t="str">
        <f aca="false">L7</f>
        <v>CNG GSS 1 &amp; 2</v>
      </c>
      <c r="M40" s="668" t="str">
        <f aca="false">M7</f>
        <v>TCO FSS 1 &amp; 2</v>
      </c>
      <c r="N40" s="668" t="str">
        <f aca="false">N7</f>
        <v>TCO LNG</v>
      </c>
      <c r="O40" s="668" t="str">
        <f aca="false">O7</f>
        <v>Transco GSS</v>
      </c>
      <c r="P40" s="668" t="str">
        <f aca="false">P7</f>
        <v>Total Strg W/D</v>
      </c>
      <c r="Q40" s="17"/>
    </row>
    <row r="41" customFormat="false" ht="13.5" hidden="false" customHeight="false" outlineLevel="0" collapsed="false">
      <c r="H41" s="17"/>
      <c r="I41" s="403"/>
      <c r="J41" s="17"/>
      <c r="K41" s="17"/>
      <c r="L41" s="484"/>
      <c r="M41" s="17"/>
      <c r="N41" s="17"/>
      <c r="O41" s="17"/>
      <c r="P41" s="17"/>
      <c r="Q41" s="17"/>
    </row>
    <row r="42" customFormat="false" ht="13.5" hidden="false" customHeight="false" outlineLevel="0" collapsed="false">
      <c r="A42" s="7"/>
      <c r="B42" s="670" t="s">
        <v>339</v>
      </c>
      <c r="C42" s="671"/>
      <c r="D42" s="672"/>
      <c r="E42" s="671"/>
      <c r="F42" s="672"/>
      <c r="G42" s="671"/>
      <c r="H42" s="673"/>
      <c r="I42" s="403"/>
      <c r="J42" s="7"/>
      <c r="L42" s="7"/>
      <c r="N42" s="7"/>
      <c r="P42" s="7"/>
      <c r="R42" s="7"/>
      <c r="T42" s="7"/>
      <c r="V42" s="7"/>
      <c r="X42" s="7"/>
      <c r="Z42" s="7"/>
      <c r="AB42" s="7"/>
      <c r="AD42" s="7"/>
      <c r="AF42" s="7"/>
      <c r="AH42" s="7"/>
      <c r="AJ42" s="7"/>
      <c r="AL42" s="7"/>
      <c r="AN42" s="7"/>
      <c r="AP42" s="7"/>
      <c r="AR42" s="7"/>
      <c r="AT42" s="7"/>
      <c r="AV42" s="7"/>
      <c r="AX42" s="7"/>
      <c r="AZ42" s="7"/>
      <c r="BB42" s="7"/>
      <c r="BD42" s="7"/>
      <c r="BF42" s="7"/>
      <c r="BH42" s="7"/>
      <c r="BJ42" s="7"/>
      <c r="BL42" s="7"/>
      <c r="BN42" s="7"/>
      <c r="BP42" s="7"/>
      <c r="BR42" s="7"/>
      <c r="BT42" s="7"/>
      <c r="BV42" s="7"/>
      <c r="BX42" s="7"/>
      <c r="BZ42" s="7"/>
      <c r="CB42" s="7"/>
      <c r="CD42" s="7"/>
      <c r="CF42" s="7"/>
      <c r="CH42" s="7"/>
      <c r="CJ42" s="7"/>
      <c r="CL42" s="7"/>
      <c r="CN42" s="7"/>
      <c r="CP42" s="7"/>
      <c r="CR42" s="7"/>
      <c r="CT42" s="7"/>
      <c r="CV42" s="7"/>
      <c r="CX42" s="7"/>
      <c r="CZ42" s="7"/>
      <c r="DB42" s="7"/>
      <c r="DD42" s="7"/>
      <c r="DF42" s="7"/>
      <c r="DH42" s="7"/>
      <c r="DJ42" s="7"/>
      <c r="DL42" s="7"/>
      <c r="DN42" s="7"/>
      <c r="DP42" s="7"/>
      <c r="DR42" s="7"/>
      <c r="DT42" s="7"/>
      <c r="DV42" s="7"/>
      <c r="DX42" s="7"/>
      <c r="DZ42" s="7"/>
      <c r="EB42" s="7"/>
      <c r="ED42" s="7"/>
      <c r="EF42" s="7"/>
      <c r="EH42" s="7"/>
      <c r="EJ42" s="7"/>
      <c r="EL42" s="7"/>
      <c r="EN42" s="7"/>
      <c r="EP42" s="7"/>
      <c r="ER42" s="7"/>
      <c r="ET42" s="7"/>
      <c r="EV42" s="7"/>
      <c r="EX42" s="7"/>
      <c r="EZ42" s="7"/>
      <c r="FB42" s="7"/>
      <c r="FD42" s="7"/>
      <c r="FF42" s="7"/>
      <c r="FH42" s="7"/>
      <c r="FJ42" s="7"/>
      <c r="FL42" s="7"/>
      <c r="FN42" s="7"/>
      <c r="FP42" s="7"/>
      <c r="FR42" s="7"/>
      <c r="FT42" s="7"/>
      <c r="FV42" s="7"/>
      <c r="FX42" s="7"/>
      <c r="FZ42" s="7"/>
      <c r="GB42" s="7"/>
      <c r="GD42" s="7"/>
      <c r="GF42" s="7"/>
      <c r="GH42" s="7"/>
      <c r="GJ42" s="7"/>
      <c r="GL42" s="7"/>
      <c r="GN42" s="7"/>
      <c r="GP42" s="7"/>
      <c r="GR42" s="7"/>
      <c r="GT42" s="7"/>
      <c r="GV42" s="7"/>
      <c r="GX42" s="7"/>
      <c r="GZ42" s="7"/>
      <c r="HB42" s="7"/>
      <c r="HD42" s="7"/>
      <c r="HF42" s="7"/>
      <c r="HH42" s="7"/>
      <c r="HJ42" s="7"/>
      <c r="HL42" s="7"/>
      <c r="HN42" s="7"/>
      <c r="HP42" s="7"/>
      <c r="HR42" s="7"/>
      <c r="HT42" s="7"/>
      <c r="HV42" s="7"/>
      <c r="HX42" s="7"/>
      <c r="HZ42" s="7"/>
      <c r="IB42" s="7"/>
      <c r="ID42" s="7"/>
      <c r="IF42" s="7"/>
      <c r="IH42" s="7"/>
      <c r="IJ42" s="7"/>
      <c r="IL42" s="7"/>
      <c r="IN42" s="7"/>
      <c r="IP42" s="7"/>
      <c r="IR42" s="7"/>
      <c r="IT42" s="7"/>
      <c r="IV42" s="7"/>
    </row>
    <row r="43" customFormat="false" ht="12.75" hidden="false" customHeight="false" outlineLevel="0" collapsed="false">
      <c r="A43" s="7"/>
      <c r="B43" s="674" t="n">
        <v>37164</v>
      </c>
      <c r="C43" s="675" t="n">
        <f aca="false">C3+C39-K39</f>
        <v>100820.816666667</v>
      </c>
      <c r="D43" s="675" t="n">
        <f aca="false">D3+D39-L39</f>
        <v>3404472.55277778</v>
      </c>
      <c r="E43" s="675" t="n">
        <f aca="false">E3+E39-M39</f>
        <v>3439435.00138889</v>
      </c>
      <c r="F43" s="675" t="n">
        <f aca="false">F3+F39-N39</f>
        <v>785076.8</v>
      </c>
      <c r="G43" s="675" t="n">
        <f aca="false">G3+G39-O39</f>
        <v>54542.9166666667</v>
      </c>
      <c r="H43" s="676" t="n">
        <f aca="false">H3+H39-P39</f>
        <v>7784348.0875</v>
      </c>
      <c r="I43" s="67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customFormat="false" ht="13.5" hidden="false" customHeight="false" outlineLevel="0" collapsed="false">
      <c r="B44" s="678"/>
      <c r="C44" s="679"/>
      <c r="D44" s="679"/>
      <c r="E44" s="680"/>
      <c r="F44" s="680"/>
      <c r="G44" s="680"/>
      <c r="H44" s="681"/>
      <c r="I44" s="682"/>
      <c r="J44" s="683"/>
      <c r="K44" s="17"/>
      <c r="L44" s="17"/>
      <c r="M44" s="17"/>
      <c r="N44" s="17"/>
      <c r="O44" s="17"/>
      <c r="P44" s="17"/>
      <c r="Q44" s="17"/>
    </row>
    <row r="45" customFormat="false" ht="13.5" hidden="false" customHeight="false" outlineLevel="0" collapsed="false">
      <c r="B45" s="684" t="s">
        <v>340</v>
      </c>
      <c r="C45" s="685" t="n">
        <f aca="false">C43/C46</f>
        <v>1.00820816666667</v>
      </c>
      <c r="D45" s="685" t="n">
        <f aca="false">D43/D46</f>
        <v>0.958398916961863</v>
      </c>
      <c r="E45" s="685" t="n">
        <f aca="false">E43/E46</f>
        <v>0.960761528976017</v>
      </c>
      <c r="F45" s="685" t="n">
        <f aca="false">F43/F46</f>
        <v>1.00844804110469</v>
      </c>
      <c r="G45" s="685" t="n">
        <f aca="false">G43/G46</f>
        <v>1.0032910872391</v>
      </c>
      <c r="H45" s="686"/>
      <c r="I45" s="283"/>
      <c r="J45" s="17"/>
      <c r="K45" s="17"/>
      <c r="L45" s="17"/>
      <c r="M45" s="17"/>
      <c r="N45" s="17"/>
      <c r="O45" s="17"/>
      <c r="P45" s="17"/>
      <c r="Q45" s="17"/>
    </row>
    <row r="46" customFormat="false" ht="12.75" hidden="false" customHeight="false" outlineLevel="0" collapsed="false">
      <c r="B46" s="687" t="s">
        <v>341</v>
      </c>
      <c r="C46" s="511" t="n">
        <v>100000</v>
      </c>
      <c r="D46" s="511" t="n">
        <v>3552250</v>
      </c>
      <c r="E46" s="511" t="n">
        <v>3579905</v>
      </c>
      <c r="F46" s="511" t="n">
        <v>778500</v>
      </c>
      <c r="G46" s="511" t="n">
        <v>54364</v>
      </c>
      <c r="H46" s="511" t="n">
        <f aca="false">SUM(C46:G46)</f>
        <v>8065019</v>
      </c>
      <c r="I46" s="283"/>
      <c r="J46" s="17"/>
      <c r="K46" s="17"/>
      <c r="L46" s="17"/>
      <c r="M46" s="17"/>
      <c r="N46" s="17"/>
      <c r="O46" s="17"/>
      <c r="P46" s="17"/>
      <c r="Q46" s="17"/>
    </row>
    <row r="47" customFormat="false" ht="12.75" hidden="false" customHeight="false" outlineLevel="0" collapsed="false">
      <c r="I47" s="283"/>
    </row>
    <row r="48" customFormat="false" ht="12.75" hidden="false" customHeight="false" outlineLevel="0" collapsed="false">
      <c r="I48" s="283"/>
    </row>
    <row r="49" customFormat="false" ht="12.75" hidden="false" customHeight="false" outlineLevel="0" collapsed="false">
      <c r="I49" s="283"/>
    </row>
    <row r="50" customFormat="false" ht="12.75" hidden="false" customHeight="false" outlineLevel="0" collapsed="false">
      <c r="I50" s="283"/>
    </row>
    <row r="51" customFormat="false" ht="12.75" hidden="false" customHeight="false" outlineLevel="0" collapsed="false">
      <c r="I51" s="283"/>
    </row>
    <row r="52" customFormat="false" ht="12.75" hidden="false" customHeight="false" outlineLevel="0" collapsed="false">
      <c r="I52" s="283"/>
    </row>
    <row r="53" customFormat="false" ht="12.75" hidden="false" customHeight="false" outlineLevel="0" collapsed="false">
      <c r="I53" s="283"/>
    </row>
    <row r="54" customFormat="false" ht="12.75" hidden="false" customHeight="false" outlineLevel="0" collapsed="false">
      <c r="I54" s="283"/>
    </row>
    <row r="55" customFormat="false" ht="12.75" hidden="false" customHeight="false" outlineLevel="0" collapsed="false">
      <c r="I55" s="283"/>
    </row>
    <row r="56" customFormat="false" ht="12.75" hidden="false" customHeight="false" outlineLevel="0" collapsed="false">
      <c r="I56" s="283"/>
    </row>
    <row r="57" customFormat="false" ht="12.75" hidden="false" customHeight="false" outlineLevel="0" collapsed="false">
      <c r="I57" s="283"/>
    </row>
    <row r="58" customFormat="false" ht="12.75" hidden="false" customHeight="false" outlineLevel="0" collapsed="false">
      <c r="I58" s="283"/>
    </row>
    <row r="59" customFormat="false" ht="12.75" hidden="false" customHeight="false" outlineLevel="0" collapsed="false">
      <c r="I59" s="283"/>
    </row>
    <row r="60" customFormat="false" ht="12.75" hidden="false" customHeight="false" outlineLevel="0" collapsed="false">
      <c r="I60" s="283"/>
    </row>
    <row r="61" customFormat="false" ht="12.75" hidden="false" customHeight="false" outlineLevel="0" collapsed="false">
      <c r="I61" s="283"/>
    </row>
    <row r="62" customFormat="false" ht="12.75" hidden="false" customHeight="false" outlineLevel="0" collapsed="false">
      <c r="I62" s="283"/>
    </row>
    <row r="63" customFormat="false" ht="12.75" hidden="false" customHeight="false" outlineLevel="0" collapsed="false">
      <c r="I63" s="283"/>
    </row>
    <row r="64" customFormat="false" ht="12.75" hidden="false" customHeight="false" outlineLevel="0" collapsed="false">
      <c r="I64" s="283"/>
    </row>
    <row r="65" customFormat="false" ht="12.75" hidden="false" customHeight="false" outlineLevel="0" collapsed="false">
      <c r="I65" s="283"/>
    </row>
    <row r="66" customFormat="false" ht="12.75" hidden="false" customHeight="false" outlineLevel="0" collapsed="false">
      <c r="I66" s="283"/>
    </row>
    <row r="67" customFormat="false" ht="12.75" hidden="false" customHeight="false" outlineLevel="0" collapsed="false">
      <c r="I67" s="283"/>
    </row>
    <row r="68" customFormat="false" ht="12.75" hidden="false" customHeight="false" outlineLevel="0" collapsed="false">
      <c r="I68" s="283"/>
    </row>
    <row r="69" customFormat="false" ht="12.75" hidden="false" customHeight="false" outlineLevel="0" collapsed="false">
      <c r="I69" s="283"/>
    </row>
    <row r="70" customFormat="false" ht="12.75" hidden="false" customHeight="false" outlineLevel="0" collapsed="false">
      <c r="I70" s="283"/>
    </row>
    <row r="71" customFormat="false" ht="12.75" hidden="false" customHeight="false" outlineLevel="0" collapsed="false">
      <c r="I71" s="283"/>
    </row>
    <row r="72" customFormat="false" ht="12.75" hidden="false" customHeight="false" outlineLevel="0" collapsed="false">
      <c r="I72" s="283"/>
    </row>
    <row r="73" customFormat="false" ht="12.75" hidden="false" customHeight="false" outlineLevel="0" collapsed="false">
      <c r="I73" s="283"/>
    </row>
  </sheetData>
  <mergeCells count="2">
    <mergeCell ref="C1:H1"/>
    <mergeCell ref="K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J7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I46" activeCellId="0" sqref="I46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266" width="16.84"/>
    <col collapsed="false" customWidth="true" hidden="false" outlineLevel="0" max="2" min="2" style="266" width="20.28"/>
    <col collapsed="false" customWidth="false" hidden="false" outlineLevel="0" max="4" min="3" style="266" width="11.42"/>
    <col collapsed="false" customWidth="true" hidden="false" outlineLevel="0" max="5" min="5" style="266" width="16.13"/>
    <col collapsed="false" customWidth="true" hidden="false" outlineLevel="0" max="6" min="6" style="266" width="16.84"/>
    <col collapsed="false" customWidth="true" hidden="false" outlineLevel="0" max="8" min="7" style="266" width="17.56"/>
    <col collapsed="false" customWidth="true" hidden="false" outlineLevel="0" max="9" min="9" style="266" width="17.28"/>
    <col collapsed="false" customWidth="false" hidden="false" outlineLevel="0" max="257" min="10" style="266" width="11.42"/>
  </cols>
  <sheetData>
    <row r="4" customFormat="false" ht="12.75" hidden="false" customHeight="false" outlineLevel="0" collapsed="false">
      <c r="A4" s="267"/>
    </row>
    <row r="5" customFormat="false" ht="12.75" hidden="false" customHeight="false" outlineLevel="0" collapsed="false">
      <c r="A5" s="267" t="s">
        <v>342</v>
      </c>
    </row>
    <row r="6" customFormat="false" ht="12.75" hidden="false" customHeight="false" outlineLevel="0" collapsed="false">
      <c r="A6" s="267"/>
    </row>
    <row r="7" customFormat="false" ht="12.75" hidden="false" customHeight="false" outlineLevel="0" collapsed="false">
      <c r="A7" s="267" t="s">
        <v>343</v>
      </c>
    </row>
    <row r="8" customFormat="false" ht="12.75" hidden="false" customHeight="false" outlineLevel="0" collapsed="false">
      <c r="B8" s="267"/>
      <c r="E8" s="492"/>
    </row>
    <row r="9" customFormat="false" ht="12.75" hidden="false" customHeight="false" outlineLevel="0" collapsed="false">
      <c r="B9" s="267"/>
      <c r="E9" s="492"/>
    </row>
    <row r="10" customFormat="false" ht="12.75" hidden="false" customHeight="false" outlineLevel="0" collapsed="false">
      <c r="B10" s="688"/>
      <c r="C10" s="689"/>
      <c r="D10" s="689"/>
      <c r="E10" s="690"/>
      <c r="F10" s="691"/>
      <c r="G10" s="692"/>
      <c r="H10" s="693"/>
      <c r="I10" s="693"/>
    </row>
    <row r="11" customFormat="false" ht="12.75" hidden="false" customHeight="false" outlineLevel="0" collapsed="false">
      <c r="B11" s="694"/>
      <c r="C11" s="493"/>
      <c r="D11" s="493"/>
      <c r="E11" s="694"/>
      <c r="F11" s="695"/>
      <c r="G11" s="696"/>
      <c r="H11" s="697"/>
      <c r="I11" s="697"/>
    </row>
    <row r="12" customFormat="false" ht="38.25" hidden="false" customHeight="false" outlineLevel="0" collapsed="false">
      <c r="B12" s="698" t="s">
        <v>55</v>
      </c>
      <c r="C12" s="699" t="s">
        <v>313</v>
      </c>
      <c r="D12" s="700" t="s">
        <v>344</v>
      </c>
      <c r="E12" s="701" t="s">
        <v>345</v>
      </c>
      <c r="F12" s="702" t="s">
        <v>346</v>
      </c>
      <c r="G12" s="703" t="s">
        <v>347</v>
      </c>
      <c r="H12" s="704" t="s">
        <v>348</v>
      </c>
      <c r="I12" s="704" t="s">
        <v>349</v>
      </c>
    </row>
    <row r="13" customFormat="false" ht="12.75" hidden="false" customHeight="false" outlineLevel="0" collapsed="false">
      <c r="B13" s="705"/>
      <c r="C13" s="706"/>
      <c r="D13" s="689"/>
      <c r="E13" s="705"/>
      <c r="F13" s="707"/>
      <c r="G13" s="708"/>
      <c r="H13" s="709"/>
      <c r="I13" s="709"/>
    </row>
    <row r="14" customFormat="false" ht="12.75" hidden="false" customHeight="false" outlineLevel="0" collapsed="false">
      <c r="B14" s="694" t="s">
        <v>320</v>
      </c>
      <c r="C14" s="710" t="n">
        <v>100000</v>
      </c>
      <c r="D14" s="711" t="n">
        <v>97475.7</v>
      </c>
      <c r="E14" s="712" t="n">
        <f aca="false">+C14</f>
        <v>100000</v>
      </c>
      <c r="F14" s="713" t="n">
        <f aca="false">+E14/C14</f>
        <v>1</v>
      </c>
      <c r="G14" s="714" t="n">
        <f aca="false">'Strg Activity'!C3</f>
        <v>92379</v>
      </c>
      <c r="H14" s="715" t="n">
        <f aca="false">+E14-G14</f>
        <v>7621</v>
      </c>
      <c r="I14" s="715" t="n">
        <f aca="false">+H14/7</f>
        <v>1088.71428571429</v>
      </c>
    </row>
    <row r="15" customFormat="false" ht="12.75" hidden="false" customHeight="false" outlineLevel="0" collapsed="false">
      <c r="B15" s="694"/>
      <c r="C15" s="493"/>
      <c r="D15" s="493"/>
      <c r="E15" s="716"/>
      <c r="F15" s="695"/>
      <c r="G15" s="717"/>
      <c r="H15" s="718"/>
      <c r="I15" s="718"/>
    </row>
    <row r="16" customFormat="false" ht="12.75" hidden="false" customHeight="false" outlineLevel="0" collapsed="false">
      <c r="B16" s="694" t="s">
        <v>350</v>
      </c>
      <c r="C16" s="710" t="n">
        <f aca="false">2791000+761250</f>
        <v>3552250</v>
      </c>
      <c r="D16" s="711" t="n">
        <f aca="false">2644915.5863214+721405</f>
        <v>3366320.5863214</v>
      </c>
      <c r="E16" s="712" t="n">
        <f aca="false">+C16*0.95</f>
        <v>3374637.5</v>
      </c>
      <c r="F16" s="713" t="n">
        <f aca="false">+E16/C16</f>
        <v>0.95</v>
      </c>
      <c r="G16" s="714" t="n">
        <f aca="false">'Strg Activity'!D3</f>
        <v>3096287</v>
      </c>
      <c r="H16" s="715" t="n">
        <f aca="false">+E16-G16</f>
        <v>278350.5</v>
      </c>
      <c r="I16" s="715" t="n">
        <f aca="false">+H16/7</f>
        <v>39764.3571428571</v>
      </c>
    </row>
    <row r="17" customFormat="false" ht="12.75" hidden="false" customHeight="false" outlineLevel="0" collapsed="false">
      <c r="B17" s="694"/>
      <c r="C17" s="493"/>
      <c r="D17" s="493"/>
      <c r="E17" s="716"/>
      <c r="F17" s="695"/>
      <c r="G17" s="717"/>
      <c r="H17" s="718"/>
      <c r="I17" s="718"/>
    </row>
    <row r="18" customFormat="false" ht="12.75" hidden="false" customHeight="false" outlineLevel="0" collapsed="false">
      <c r="B18" s="694" t="s">
        <v>323</v>
      </c>
      <c r="C18" s="710" t="n">
        <f aca="false">2848655+731250</f>
        <v>3579905</v>
      </c>
      <c r="D18" s="711" t="n">
        <f aca="false">2786440.3748+704336</f>
        <v>3490776.3748</v>
      </c>
      <c r="E18" s="712" t="n">
        <f aca="false">+C18*0.95</f>
        <v>3400909.75</v>
      </c>
      <c r="F18" s="713" t="n">
        <f aca="false">+E18/C18</f>
        <v>0.95</v>
      </c>
      <c r="G18" s="714" t="n">
        <f aca="false">'Strg Activity'!E3</f>
        <v>3041466</v>
      </c>
      <c r="H18" s="715" t="n">
        <f aca="false">+E18-G18</f>
        <v>359443.75</v>
      </c>
      <c r="I18" s="715" t="n">
        <f aca="false">+H18/7</f>
        <v>51349.1071428571</v>
      </c>
    </row>
    <row r="19" customFormat="false" ht="12.75" hidden="false" customHeight="false" outlineLevel="0" collapsed="false">
      <c r="B19" s="694"/>
      <c r="C19" s="493"/>
      <c r="D19" s="493"/>
      <c r="E19" s="716"/>
      <c r="F19" s="695"/>
      <c r="G19" s="717"/>
      <c r="H19" s="718"/>
      <c r="I19" s="718"/>
    </row>
    <row r="20" customFormat="false" ht="12.75" hidden="false" customHeight="false" outlineLevel="0" collapsed="false">
      <c r="B20" s="694" t="s">
        <v>328</v>
      </c>
      <c r="C20" s="710" t="n">
        <v>778500</v>
      </c>
      <c r="D20" s="711" t="n">
        <v>778500</v>
      </c>
      <c r="E20" s="712" t="n">
        <f aca="false">+C20</f>
        <v>778500</v>
      </c>
      <c r="F20" s="713" t="n">
        <f aca="false">+E20/C20</f>
        <v>1</v>
      </c>
      <c r="G20" s="714" t="n">
        <f aca="false">'Strg Activity'!F3</f>
        <v>716976</v>
      </c>
      <c r="H20" s="715" t="n">
        <f aca="false">+E20-G20</f>
        <v>61524</v>
      </c>
      <c r="I20" s="715" t="n">
        <f aca="false">+H20/7</f>
        <v>8789.14285714286</v>
      </c>
    </row>
    <row r="21" customFormat="false" ht="12.75" hidden="false" customHeight="false" outlineLevel="0" collapsed="false">
      <c r="B21" s="694"/>
      <c r="C21" s="493"/>
      <c r="D21" s="493"/>
      <c r="E21" s="716"/>
      <c r="F21" s="695"/>
      <c r="G21" s="717"/>
      <c r="H21" s="718"/>
      <c r="I21" s="718"/>
    </row>
    <row r="22" customFormat="false" ht="12.75" hidden="false" customHeight="false" outlineLevel="0" collapsed="false">
      <c r="B22" s="719" t="s">
        <v>351</v>
      </c>
      <c r="C22" s="720" t="n">
        <v>98790</v>
      </c>
      <c r="D22" s="721" t="n">
        <v>96824.079</v>
      </c>
      <c r="E22" s="722" t="n">
        <v>54364</v>
      </c>
      <c r="F22" s="723" t="n">
        <f aca="false">+E22/54364</f>
        <v>1</v>
      </c>
      <c r="G22" s="724" t="n">
        <f aca="false">'Strg Activity'!G3</f>
        <v>52732</v>
      </c>
      <c r="H22" s="715" t="n">
        <f aca="false">+E22-G22</f>
        <v>1632</v>
      </c>
      <c r="I22" s="715" t="n">
        <f aca="false">+H22/7</f>
        <v>233.142857142857</v>
      </c>
    </row>
    <row r="23" customFormat="false" ht="12.75" hidden="false" customHeight="false" outlineLevel="0" collapsed="false">
      <c r="B23" s="725"/>
      <c r="C23" s="726"/>
      <c r="D23" s="727"/>
      <c r="E23" s="728"/>
      <c r="F23" s="729"/>
      <c r="G23" s="730"/>
      <c r="H23" s="731"/>
      <c r="I23" s="731"/>
    </row>
    <row r="24" customFormat="false" ht="12.75" hidden="false" customHeight="false" outlineLevel="0" collapsed="false">
      <c r="B24" s="719"/>
      <c r="C24" s="732" t="n">
        <f aca="false">SUM(C14:C22)</f>
        <v>8109445</v>
      </c>
      <c r="D24" s="732" t="n">
        <f aca="false">SUM(D14:D22)</f>
        <v>7829896.7401214</v>
      </c>
      <c r="E24" s="733" t="n">
        <f aca="false">SUM(E14:E22)</f>
        <v>7708411.25</v>
      </c>
      <c r="F24" s="734"/>
      <c r="G24" s="735" t="n">
        <f aca="false">SUM(G14:G22)</f>
        <v>6999840</v>
      </c>
      <c r="H24" s="736" t="n">
        <f aca="false">SUM(H14:H22)</f>
        <v>708571.25</v>
      </c>
      <c r="I24" s="736" t="n">
        <f aca="false">SUM(I14:I22)</f>
        <v>101224.464285714</v>
      </c>
    </row>
    <row r="25" customFormat="false" ht="12.75" hidden="false" customHeight="false" outlineLevel="0" collapsed="false">
      <c r="C25" s="275"/>
    </row>
    <row r="27" customFormat="false" ht="12.75" hidden="false" customHeight="false" outlineLevel="0" collapsed="false">
      <c r="J27" s="493"/>
    </row>
    <row r="28" customFormat="false" ht="12.75" hidden="false" customHeight="false" outlineLevel="0" collapsed="false">
      <c r="A28" s="737" t="s">
        <v>352</v>
      </c>
      <c r="B28" s="267" t="s">
        <v>353</v>
      </c>
      <c r="J28" s="493"/>
    </row>
    <row r="29" customFormat="false" ht="12.75" hidden="false" customHeight="false" outlineLevel="0" collapsed="false">
      <c r="A29" s="315" t="s">
        <v>354</v>
      </c>
      <c r="J29" s="493"/>
    </row>
    <row r="30" customFormat="false" ht="12.75" hidden="false" customHeight="false" outlineLevel="0" collapsed="false">
      <c r="A30" s="737" t="s">
        <v>355</v>
      </c>
      <c r="B30" s="688"/>
      <c r="C30" s="689"/>
      <c r="D30" s="689"/>
      <c r="E30" s="690"/>
      <c r="F30" s="691"/>
      <c r="G30" s="692"/>
      <c r="H30" s="693"/>
      <c r="I30" s="690"/>
      <c r="J30" s="738"/>
    </row>
    <row r="31" customFormat="false" ht="12.75" hidden="false" customHeight="false" outlineLevel="0" collapsed="false">
      <c r="B31" s="694"/>
      <c r="C31" s="493"/>
      <c r="D31" s="493"/>
      <c r="E31" s="694"/>
      <c r="F31" s="695"/>
      <c r="G31" s="696"/>
      <c r="H31" s="697"/>
      <c r="I31" s="694"/>
      <c r="J31" s="738"/>
    </row>
    <row r="32" customFormat="false" ht="38.25" hidden="false" customHeight="false" outlineLevel="0" collapsed="false">
      <c r="B32" s="698" t="s">
        <v>55</v>
      </c>
      <c r="C32" s="699" t="s">
        <v>313</v>
      </c>
      <c r="D32" s="700" t="s">
        <v>344</v>
      </c>
      <c r="E32" s="701" t="s">
        <v>345</v>
      </c>
      <c r="F32" s="702" t="s">
        <v>346</v>
      </c>
      <c r="G32" s="703" t="s">
        <v>356</v>
      </c>
      <c r="H32" s="704" t="s">
        <v>348</v>
      </c>
      <c r="I32" s="701" t="s">
        <v>349</v>
      </c>
      <c r="J32" s="738"/>
    </row>
    <row r="33" customFormat="false" ht="12.75" hidden="false" customHeight="false" outlineLevel="0" collapsed="false">
      <c r="B33" s="705"/>
      <c r="C33" s="706"/>
      <c r="D33" s="689"/>
      <c r="E33" s="705"/>
      <c r="F33" s="707"/>
      <c r="G33" s="708"/>
      <c r="H33" s="709"/>
      <c r="I33" s="705"/>
      <c r="J33" s="739"/>
    </row>
    <row r="34" customFormat="false" ht="12.75" hidden="false" customHeight="false" outlineLevel="0" collapsed="false">
      <c r="B34" s="694" t="s">
        <v>320</v>
      </c>
      <c r="C34" s="710" t="n">
        <v>100000</v>
      </c>
      <c r="D34" s="711" t="n">
        <v>97475.7</v>
      </c>
      <c r="E34" s="712" t="n">
        <f aca="false">+C34</f>
        <v>100000</v>
      </c>
      <c r="F34" s="713" t="n">
        <f aca="false">+E34/C34</f>
        <v>1</v>
      </c>
      <c r="G34" s="714" t="n">
        <v>50983</v>
      </c>
      <c r="H34" s="715" t="n">
        <f aca="false">+E34-G34</f>
        <v>49017</v>
      </c>
      <c r="I34" s="740" t="n">
        <f aca="false">+H34/6</f>
        <v>8169.5</v>
      </c>
      <c r="J34" s="739"/>
    </row>
    <row r="35" customFormat="false" ht="12.75" hidden="false" customHeight="false" outlineLevel="0" collapsed="false">
      <c r="B35" s="694"/>
      <c r="C35" s="493"/>
      <c r="D35" s="493"/>
      <c r="E35" s="716"/>
      <c r="F35" s="695"/>
      <c r="G35" s="717"/>
      <c r="H35" s="718"/>
      <c r="I35" s="716"/>
      <c r="J35" s="739"/>
    </row>
    <row r="36" customFormat="false" ht="12.75" hidden="false" customHeight="false" outlineLevel="0" collapsed="false">
      <c r="B36" s="694" t="s">
        <v>350</v>
      </c>
      <c r="C36" s="710" t="n">
        <f aca="false">2791000+761250</f>
        <v>3552250</v>
      </c>
      <c r="D36" s="711" t="n">
        <f aca="false">2644915.5863214+721405</f>
        <v>3366320.5863214</v>
      </c>
      <c r="E36" s="712" t="n">
        <f aca="false">+C36*0.95</f>
        <v>3374637.5</v>
      </c>
      <c r="F36" s="713" t="n">
        <f aca="false">+E36/C36</f>
        <v>0.95</v>
      </c>
      <c r="G36" s="714" t="n">
        <v>1585173</v>
      </c>
      <c r="H36" s="715" t="n">
        <f aca="false">+E36-G36</f>
        <v>1789464.5</v>
      </c>
      <c r="I36" s="740" t="n">
        <f aca="false">+H36/6</f>
        <v>298244.083333333</v>
      </c>
      <c r="J36" s="739"/>
    </row>
    <row r="37" customFormat="false" ht="12.75" hidden="false" customHeight="false" outlineLevel="0" collapsed="false">
      <c r="B37" s="694"/>
      <c r="C37" s="493"/>
      <c r="D37" s="493"/>
      <c r="E37" s="716"/>
      <c r="F37" s="695"/>
      <c r="G37" s="717"/>
      <c r="H37" s="718"/>
      <c r="I37" s="716"/>
      <c r="J37" s="739"/>
    </row>
    <row r="38" customFormat="false" ht="12.75" hidden="false" customHeight="false" outlineLevel="0" collapsed="false">
      <c r="B38" s="694" t="s">
        <v>323</v>
      </c>
      <c r="C38" s="710" t="n">
        <f aca="false">2848655+731250</f>
        <v>3579905</v>
      </c>
      <c r="D38" s="711" t="n">
        <f aca="false">2786440.3748+704336</f>
        <v>3490776.3748</v>
      </c>
      <c r="E38" s="712" t="n">
        <f aca="false">+C38*0.95</f>
        <v>3400909.75</v>
      </c>
      <c r="F38" s="713" t="n">
        <f aca="false">+E38/C38</f>
        <v>0.95</v>
      </c>
      <c r="G38" s="714" t="n">
        <v>1090122</v>
      </c>
      <c r="H38" s="715" t="n">
        <f aca="false">+E38-G38</f>
        <v>2310787.75</v>
      </c>
      <c r="I38" s="740" t="n">
        <f aca="false">+H38/6</f>
        <v>385131.291666667</v>
      </c>
      <c r="J38" s="739"/>
    </row>
    <row r="39" customFormat="false" ht="12.75" hidden="false" customHeight="false" outlineLevel="0" collapsed="false">
      <c r="B39" s="694"/>
      <c r="C39" s="493"/>
      <c r="D39" s="493"/>
      <c r="E39" s="716"/>
      <c r="F39" s="695"/>
      <c r="G39" s="717"/>
      <c r="H39" s="718"/>
      <c r="I39" s="716"/>
      <c r="J39" s="739"/>
    </row>
    <row r="40" customFormat="false" ht="12.75" hidden="false" customHeight="false" outlineLevel="0" collapsed="false">
      <c r="B40" s="694" t="s">
        <v>328</v>
      </c>
      <c r="C40" s="710" t="n">
        <v>778500</v>
      </c>
      <c r="D40" s="711" t="n">
        <v>778500</v>
      </c>
      <c r="E40" s="712" t="n">
        <f aca="false">+C40</f>
        <v>778500</v>
      </c>
      <c r="F40" s="713" t="n">
        <f aca="false">+E40/C40</f>
        <v>1</v>
      </c>
      <c r="G40" s="714" t="n">
        <v>383076</v>
      </c>
      <c r="H40" s="715" t="n">
        <f aca="false">+E40-G40</f>
        <v>395424</v>
      </c>
      <c r="I40" s="740" t="n">
        <f aca="false">+H40/6</f>
        <v>65904</v>
      </c>
      <c r="J40" s="739"/>
    </row>
    <row r="41" customFormat="false" ht="12.75" hidden="false" customHeight="false" outlineLevel="0" collapsed="false">
      <c r="B41" s="694"/>
      <c r="C41" s="493"/>
      <c r="D41" s="493"/>
      <c r="E41" s="716"/>
      <c r="F41" s="695"/>
      <c r="G41" s="717"/>
      <c r="H41" s="718"/>
      <c r="I41" s="716"/>
      <c r="J41" s="739"/>
    </row>
    <row r="42" customFormat="false" ht="13.5" hidden="false" customHeight="false" outlineLevel="0" collapsed="false">
      <c r="B42" s="719" t="s">
        <v>329</v>
      </c>
      <c r="C42" s="720" t="n">
        <v>98790</v>
      </c>
      <c r="D42" s="721" t="n">
        <v>96824.079</v>
      </c>
      <c r="E42" s="722" t="n">
        <v>54364</v>
      </c>
      <c r="F42" s="723" t="n">
        <f aca="false">+E42/54364</f>
        <v>1</v>
      </c>
      <c r="G42" s="724" t="n">
        <v>43849</v>
      </c>
      <c r="H42" s="715" t="n">
        <f aca="false">+E42-G42</f>
        <v>10515</v>
      </c>
      <c r="I42" s="740" t="n">
        <f aca="false">+H42/6</f>
        <v>1752.5</v>
      </c>
      <c r="J42" s="739"/>
    </row>
    <row r="43" customFormat="false" ht="13.5" hidden="false" customHeight="false" outlineLevel="0" collapsed="false">
      <c r="B43" s="725"/>
      <c r="C43" s="726"/>
      <c r="D43" s="727"/>
      <c r="E43" s="728"/>
      <c r="F43" s="729"/>
      <c r="G43" s="730"/>
      <c r="H43" s="728"/>
      <c r="I43" s="741"/>
      <c r="J43" s="493"/>
    </row>
    <row r="44" customFormat="false" ht="15.75" hidden="false" customHeight="false" outlineLevel="0" collapsed="false">
      <c r="B44" s="719"/>
      <c r="C44" s="732" t="n">
        <f aca="false">SUM(C34:C42)</f>
        <v>8109445</v>
      </c>
      <c r="D44" s="732" t="n">
        <f aca="false">SUM(D34:D42)</f>
        <v>7829896.7401214</v>
      </c>
      <c r="E44" s="733" t="n">
        <f aca="false">SUM(E34:E42)</f>
        <v>7708411.25</v>
      </c>
      <c r="F44" s="734"/>
      <c r="G44" s="735" t="n">
        <f aca="false">SUM(G34:G42)</f>
        <v>3153203</v>
      </c>
      <c r="H44" s="733" t="n">
        <f aca="false">SUM(H34:H42)</f>
        <v>4555208.25</v>
      </c>
      <c r="I44" s="742" t="n">
        <f aca="false">SUM(I34:I42)</f>
        <v>759201.375</v>
      </c>
      <c r="J44" s="493"/>
    </row>
    <row r="45" customFormat="false" ht="13.5" hidden="false" customHeight="false" outlineLevel="0" collapsed="false">
      <c r="J45" s="493"/>
    </row>
    <row r="46" customFormat="false" ht="12.75" hidden="false" customHeight="false" outlineLevel="0" collapsed="false">
      <c r="I46" s="743" t="n">
        <f aca="false">(I24-I44)*6</f>
        <v>-3947861.46428571</v>
      </c>
      <c r="J46" s="493"/>
    </row>
    <row r="47" customFormat="false" ht="12.75" hidden="false" customHeight="false" outlineLevel="0" collapsed="false">
      <c r="J47" s="493"/>
    </row>
    <row r="48" customFormat="false" ht="12.75" hidden="false" customHeight="false" outlineLevel="0" collapsed="false">
      <c r="J48" s="493"/>
    </row>
    <row r="49" customFormat="false" ht="12.75" hidden="false" customHeight="false" outlineLevel="0" collapsed="false">
      <c r="J49" s="493"/>
    </row>
    <row r="50" customFormat="false" ht="12.75" hidden="false" customHeight="false" outlineLevel="0" collapsed="false">
      <c r="J50" s="493"/>
    </row>
    <row r="51" customFormat="false" ht="12.75" hidden="false" customHeight="false" outlineLevel="0" collapsed="false">
      <c r="A51" s="744"/>
      <c r="B51" s="566"/>
      <c r="C51" s="403"/>
      <c r="D51" s="403"/>
      <c r="E51" s="403"/>
      <c r="F51" s="403"/>
      <c r="G51" s="403"/>
      <c r="H51" s="403"/>
      <c r="I51" s="403"/>
      <c r="J51" s="403"/>
    </row>
    <row r="52" customFormat="false" ht="12.75" hidden="false" customHeight="false" outlineLevel="0" collapsed="false">
      <c r="A52" s="403"/>
      <c r="B52" s="403"/>
      <c r="C52" s="403"/>
      <c r="D52" s="403"/>
      <c r="E52" s="403"/>
      <c r="F52" s="403"/>
      <c r="G52" s="403"/>
      <c r="H52" s="403"/>
      <c r="I52" s="403"/>
      <c r="J52" s="403"/>
    </row>
    <row r="53" customFormat="false" ht="12.75" hidden="false" customHeight="false" outlineLevel="0" collapsed="false">
      <c r="A53" s="403"/>
      <c r="B53" s="566"/>
      <c r="C53" s="403"/>
      <c r="D53" s="403"/>
      <c r="E53" s="745"/>
      <c r="F53" s="403"/>
      <c r="G53" s="745"/>
      <c r="H53" s="745"/>
      <c r="I53" s="745"/>
      <c r="J53" s="403"/>
    </row>
    <row r="54" customFormat="false" ht="12.75" hidden="false" customHeight="false" outlineLevel="0" collapsed="false">
      <c r="A54" s="403"/>
      <c r="B54" s="403"/>
      <c r="C54" s="403"/>
      <c r="D54" s="403"/>
      <c r="E54" s="403"/>
      <c r="F54" s="403"/>
      <c r="G54" s="403"/>
      <c r="H54" s="403"/>
      <c r="I54" s="403"/>
      <c r="J54" s="403"/>
    </row>
    <row r="55" customFormat="false" ht="12.75" hidden="false" customHeight="false" outlineLevel="0" collapsed="false">
      <c r="A55" s="403"/>
      <c r="B55" s="746"/>
      <c r="C55" s="747"/>
      <c r="D55" s="748"/>
      <c r="E55" s="748"/>
      <c r="F55" s="748"/>
      <c r="G55" s="748"/>
      <c r="H55" s="748"/>
      <c r="I55" s="748"/>
      <c r="J55" s="403"/>
    </row>
    <row r="56" customFormat="false" ht="12.75" hidden="false" customHeight="false" outlineLevel="0" collapsed="false">
      <c r="A56" s="403"/>
      <c r="B56" s="749"/>
      <c r="C56" s="749"/>
      <c r="D56" s="403"/>
      <c r="E56" s="749"/>
      <c r="F56" s="749"/>
      <c r="G56" s="749"/>
      <c r="H56" s="749"/>
      <c r="I56" s="749"/>
      <c r="J56" s="403"/>
    </row>
    <row r="57" customFormat="false" ht="12.75" hidden="false" customHeight="false" outlineLevel="0" collapsed="false">
      <c r="A57" s="403"/>
      <c r="B57" s="403"/>
      <c r="C57" s="750"/>
      <c r="D57" s="751"/>
      <c r="E57" s="750"/>
      <c r="F57" s="752"/>
      <c r="G57" s="750"/>
      <c r="H57" s="753"/>
      <c r="I57" s="753"/>
      <c r="J57" s="403"/>
    </row>
    <row r="58" customFormat="false" ht="12.75" hidden="false" customHeight="false" outlineLevel="0" collapsed="false">
      <c r="A58" s="403"/>
      <c r="B58" s="403"/>
      <c r="C58" s="403"/>
      <c r="D58" s="403"/>
      <c r="E58" s="754"/>
      <c r="F58" s="403"/>
      <c r="G58" s="754"/>
      <c r="H58" s="754"/>
      <c r="I58" s="754"/>
      <c r="J58" s="403"/>
    </row>
    <row r="59" customFormat="false" ht="12.75" hidden="false" customHeight="false" outlineLevel="0" collapsed="false">
      <c r="A59" s="403"/>
      <c r="B59" s="403"/>
      <c r="C59" s="750"/>
      <c r="D59" s="751"/>
      <c r="E59" s="750"/>
      <c r="F59" s="752"/>
      <c r="G59" s="750"/>
      <c r="H59" s="753"/>
      <c r="I59" s="753"/>
      <c r="J59" s="403"/>
    </row>
    <row r="60" customFormat="false" ht="12.75" hidden="false" customHeight="false" outlineLevel="0" collapsed="false">
      <c r="A60" s="403"/>
      <c r="B60" s="403"/>
      <c r="C60" s="403"/>
      <c r="D60" s="403"/>
      <c r="E60" s="754"/>
      <c r="F60" s="403"/>
      <c r="G60" s="754"/>
      <c r="H60" s="754"/>
      <c r="I60" s="754"/>
      <c r="J60" s="403"/>
    </row>
    <row r="61" customFormat="false" ht="12.75" hidden="false" customHeight="false" outlineLevel="0" collapsed="false">
      <c r="A61" s="403"/>
      <c r="B61" s="403"/>
      <c r="C61" s="750"/>
      <c r="D61" s="751"/>
      <c r="E61" s="750"/>
      <c r="F61" s="752"/>
      <c r="G61" s="750"/>
      <c r="H61" s="753"/>
      <c r="I61" s="753"/>
      <c r="J61" s="403"/>
    </row>
    <row r="62" customFormat="false" ht="12.75" hidden="false" customHeight="false" outlineLevel="0" collapsed="false">
      <c r="A62" s="403"/>
      <c r="B62" s="403"/>
      <c r="C62" s="403"/>
      <c r="D62" s="403"/>
      <c r="E62" s="754"/>
      <c r="F62" s="403"/>
      <c r="G62" s="754"/>
      <c r="H62" s="754"/>
      <c r="I62" s="754"/>
      <c r="J62" s="403"/>
    </row>
    <row r="63" customFormat="false" ht="12.75" hidden="false" customHeight="false" outlineLevel="0" collapsed="false">
      <c r="A63" s="403"/>
      <c r="B63" s="403"/>
      <c r="C63" s="750"/>
      <c r="D63" s="751"/>
      <c r="E63" s="750"/>
      <c r="F63" s="752"/>
      <c r="G63" s="750"/>
      <c r="H63" s="753"/>
      <c r="I63" s="753"/>
      <c r="J63" s="403"/>
    </row>
    <row r="64" customFormat="false" ht="12.75" hidden="false" customHeight="false" outlineLevel="0" collapsed="false">
      <c r="A64" s="403"/>
      <c r="B64" s="403"/>
      <c r="C64" s="403"/>
      <c r="D64" s="403"/>
      <c r="E64" s="754"/>
      <c r="F64" s="403"/>
      <c r="G64" s="754"/>
      <c r="H64" s="754"/>
      <c r="I64" s="754"/>
      <c r="J64" s="403"/>
    </row>
    <row r="65" customFormat="false" ht="12.75" hidden="false" customHeight="false" outlineLevel="0" collapsed="false">
      <c r="A65" s="403"/>
      <c r="B65" s="403"/>
      <c r="C65" s="750"/>
      <c r="D65" s="751"/>
      <c r="E65" s="750"/>
      <c r="F65" s="752"/>
      <c r="G65" s="750"/>
      <c r="H65" s="753"/>
      <c r="I65" s="753"/>
      <c r="J65" s="403"/>
    </row>
    <row r="66" customFormat="false" ht="12.75" hidden="false" customHeight="false" outlineLevel="0" collapsed="false">
      <c r="A66" s="403"/>
      <c r="B66" s="755"/>
      <c r="C66" s="753"/>
      <c r="D66" s="756"/>
      <c r="E66" s="753"/>
      <c r="F66" s="753"/>
      <c r="G66" s="753"/>
      <c r="H66" s="753"/>
      <c r="I66" s="753"/>
      <c r="J66" s="403"/>
    </row>
    <row r="67" customFormat="false" ht="12.75" hidden="false" customHeight="false" outlineLevel="0" collapsed="false">
      <c r="A67" s="403"/>
      <c r="B67" s="403"/>
      <c r="C67" s="757"/>
      <c r="D67" s="757"/>
      <c r="E67" s="757"/>
      <c r="F67" s="757"/>
      <c r="G67" s="757"/>
      <c r="H67" s="757"/>
      <c r="I67" s="757"/>
      <c r="J67" s="403"/>
    </row>
    <row r="68" customFormat="false" ht="12.75" hidden="false" customHeight="false" outlineLevel="0" collapsed="false">
      <c r="A68" s="403"/>
      <c r="B68" s="403"/>
      <c r="C68" s="403"/>
      <c r="D68" s="403"/>
      <c r="E68" s="403"/>
      <c r="F68" s="403"/>
      <c r="G68" s="403"/>
      <c r="H68" s="403"/>
      <c r="I68" s="403"/>
      <c r="J68" s="403"/>
    </row>
    <row r="69" customFormat="false" ht="12.75" hidden="false" customHeight="false" outlineLevel="0" collapsed="false">
      <c r="A69" s="403"/>
      <c r="B69" s="403"/>
      <c r="C69" s="403"/>
      <c r="D69" s="403"/>
      <c r="E69" s="403"/>
      <c r="F69" s="403"/>
      <c r="G69" s="403"/>
      <c r="H69" s="403"/>
      <c r="I69" s="757"/>
      <c r="J69" s="403"/>
    </row>
    <row r="70" customFormat="false" ht="12.75" hidden="false" customHeight="false" outlineLevel="0" collapsed="false">
      <c r="A70" s="403"/>
      <c r="B70" s="403"/>
      <c r="C70" s="403"/>
      <c r="D70" s="403"/>
      <c r="E70" s="403"/>
      <c r="F70" s="403"/>
      <c r="G70" s="403"/>
      <c r="H70" s="403"/>
      <c r="I70" s="403"/>
      <c r="J70" s="4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7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C6" activeCellId="0" sqref="C6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266" width="16.42"/>
    <col collapsed="false" customWidth="true" hidden="false" outlineLevel="0" max="2" min="2" style="266" width="18.28"/>
    <col collapsed="false" customWidth="true" hidden="false" outlineLevel="0" max="3" min="3" style="317" width="19.41"/>
    <col collapsed="false" customWidth="true" hidden="false" outlineLevel="0" max="4" min="4" style="266" width="12.85"/>
    <col collapsed="false" customWidth="true" hidden="false" outlineLevel="0" max="5" min="5" style="266" width="19.41"/>
    <col collapsed="false" customWidth="true" hidden="false" outlineLevel="0" max="6" min="6" style="266" width="13.85"/>
    <col collapsed="false" customWidth="true" hidden="false" outlineLevel="0" max="7" min="7" style="266" width="10.13"/>
    <col collapsed="false" customWidth="false" hidden="false" outlineLevel="0" max="8" min="8" style="266" width="16.13"/>
    <col collapsed="false" customWidth="true" hidden="false" outlineLevel="0" max="9" min="9" style="266" width="20.56"/>
    <col collapsed="false" customWidth="true" hidden="false" outlineLevel="0" max="10" min="10" style="266" width="14.41"/>
    <col collapsed="false" customWidth="true" hidden="false" outlineLevel="0" max="11" min="11" style="266" width="10.13"/>
    <col collapsed="false" customWidth="false" hidden="false" outlineLevel="0" max="12" min="12" style="266" width="16.13"/>
    <col collapsed="false" customWidth="true" hidden="false" outlineLevel="0" max="13" min="13" style="266" width="19.56"/>
    <col collapsed="false" customWidth="true" hidden="false" outlineLevel="0" max="14" min="14" style="266" width="14.99"/>
    <col collapsed="false" customWidth="true" hidden="false" outlineLevel="0" max="15" min="15" style="266" width="11.42"/>
    <col collapsed="false" customWidth="true" hidden="false" outlineLevel="0" max="17" min="16" style="266" width="15.56"/>
    <col collapsed="false" customWidth="true" hidden="false" outlineLevel="0" max="18" min="18" style="266" width="13.99"/>
    <col collapsed="false" customWidth="true" hidden="false" outlineLevel="0" max="19" min="19" style="266" width="14.28"/>
    <col collapsed="false" customWidth="true" hidden="false" outlineLevel="0" max="20" min="20" style="266" width="15.7"/>
    <col collapsed="false" customWidth="true" hidden="false" outlineLevel="0" max="21" min="21" style="266" width="14.41"/>
    <col collapsed="false" customWidth="true" hidden="false" outlineLevel="0" max="22" min="22" style="266" width="15.13"/>
    <col collapsed="false" customWidth="true" hidden="false" outlineLevel="0" max="23" min="23" style="266" width="17.28"/>
    <col collapsed="false" customWidth="true" hidden="false" outlineLevel="0" max="24" min="24" style="266" width="14.28"/>
    <col collapsed="false" customWidth="true" hidden="false" outlineLevel="0" max="25" min="25" style="266" width="15.99"/>
    <col collapsed="false" customWidth="false" hidden="false" outlineLevel="0" max="257" min="26" style="266" width="16.13"/>
  </cols>
  <sheetData>
    <row r="2" customFormat="false" ht="12.75" hidden="false" customHeight="false" outlineLevel="0" collapsed="false">
      <c r="A2" s="267"/>
      <c r="B2" s="267"/>
    </row>
    <row r="3" customFormat="false" ht="12.75" hidden="false" customHeight="false" outlineLevel="0" collapsed="false">
      <c r="A3" s="267" t="s">
        <v>357</v>
      </c>
      <c r="B3" s="267"/>
    </row>
    <row r="5" customFormat="false" ht="13.5" hidden="false" customHeight="false" outlineLevel="0" collapsed="false"/>
    <row r="6" customFormat="false" ht="15.75" hidden="false" customHeight="false" outlineLevel="0" collapsed="false">
      <c r="A6" s="758" t="n">
        <v>37165</v>
      </c>
      <c r="B6" s="269"/>
      <c r="C6" s="759" t="n">
        <f aca="false">Y46</f>
        <v>2.06825040915668</v>
      </c>
      <c r="E6" s="269" t="s">
        <v>241</v>
      </c>
      <c r="I6" s="269" t="s">
        <v>242</v>
      </c>
      <c r="M6" s="269" t="s">
        <v>243</v>
      </c>
      <c r="Q6" s="269" t="s">
        <v>358</v>
      </c>
    </row>
    <row r="8" customFormat="false" ht="38.25" hidden="false" customHeight="false" outlineLevel="0" collapsed="false">
      <c r="A8" s="267" t="s">
        <v>55</v>
      </c>
      <c r="B8" s="267" t="s">
        <v>244</v>
      </c>
      <c r="C8" s="315" t="s">
        <v>120</v>
      </c>
      <c r="D8" s="547" t="s">
        <v>359</v>
      </c>
      <c r="E8" s="546" t="s">
        <v>247</v>
      </c>
      <c r="F8" s="547" t="s">
        <v>248</v>
      </c>
      <c r="G8" s="547" t="s">
        <v>249</v>
      </c>
      <c r="H8" s="547" t="s">
        <v>250</v>
      </c>
      <c r="I8" s="546" t="s">
        <v>247</v>
      </c>
      <c r="J8" s="547" t="s">
        <v>248</v>
      </c>
      <c r="K8" s="547" t="s">
        <v>249</v>
      </c>
      <c r="L8" s="547" t="s">
        <v>250</v>
      </c>
      <c r="M8" s="546" t="s">
        <v>247</v>
      </c>
      <c r="N8" s="547" t="s">
        <v>248</v>
      </c>
      <c r="O8" s="547" t="s">
        <v>249</v>
      </c>
      <c r="P8" s="547" t="s">
        <v>250</v>
      </c>
      <c r="Q8" s="547" t="s">
        <v>360</v>
      </c>
      <c r="R8" s="547" t="s">
        <v>361</v>
      </c>
      <c r="S8" s="547" t="s">
        <v>362</v>
      </c>
      <c r="T8" s="547" t="s">
        <v>363</v>
      </c>
      <c r="U8" s="547" t="s">
        <v>364</v>
      </c>
      <c r="V8" s="547" t="s">
        <v>365</v>
      </c>
      <c r="W8" s="545" t="s">
        <v>366</v>
      </c>
      <c r="X8" s="547" t="s">
        <v>367</v>
      </c>
      <c r="Y8" s="547" t="s">
        <v>368</v>
      </c>
    </row>
    <row r="9" customFormat="false" ht="12.75" hidden="false" customHeight="false" outlineLevel="0" collapsed="false">
      <c r="A9" s="266" t="s">
        <v>329</v>
      </c>
      <c r="B9" s="266" t="s">
        <v>369</v>
      </c>
      <c r="C9" s="317" t="s">
        <v>127</v>
      </c>
      <c r="D9" s="555" t="n">
        <f aca="false">'Input Gas Prices'!B10</f>
        <v>1.86</v>
      </c>
      <c r="E9" s="561" t="s">
        <v>297</v>
      </c>
      <c r="F9" s="588" t="n">
        <f aca="false">0.0278+0.0022+0.007</f>
        <v>0.037</v>
      </c>
      <c r="G9" s="589" t="n">
        <v>0.0381</v>
      </c>
      <c r="H9" s="553" t="n">
        <f aca="false">+D9/(1-G9)+F9</f>
        <v>1.97067293897495</v>
      </c>
      <c r="I9" s="561"/>
      <c r="J9" s="555" t="n">
        <v>0</v>
      </c>
      <c r="K9" s="556" t="n">
        <v>0</v>
      </c>
      <c r="L9" s="553" t="n">
        <f aca="false">+H9/(1-K9)+J9</f>
        <v>1.97067293897495</v>
      </c>
      <c r="M9" s="561"/>
      <c r="N9" s="555" t="n">
        <v>0</v>
      </c>
      <c r="O9" s="556" t="n">
        <v>0</v>
      </c>
      <c r="P9" s="553" t="n">
        <f aca="false">+L9/(1-O9)+N9</f>
        <v>1.97067293897495</v>
      </c>
      <c r="Q9" s="555" t="n">
        <v>0.042</v>
      </c>
      <c r="R9" s="556" t="n">
        <v>0.0412</v>
      </c>
      <c r="S9" s="553" t="n">
        <f aca="false">+P9/(1-R9)+Q9</f>
        <v>2.09735350331137</v>
      </c>
      <c r="T9" s="311" t="n">
        <f aca="false">+'[1]Tier 1 &amp; 2 Weightings'!L44</f>
        <v>311.827284105131</v>
      </c>
      <c r="U9" s="760" t="n">
        <f aca="false">+T9/T11</f>
        <v>1</v>
      </c>
      <c r="V9" s="553" t="n">
        <f aca="false">+U9*S9</f>
        <v>2.09735350331137</v>
      </c>
    </row>
    <row r="10" customFormat="false" ht="12.75" hidden="false" customHeight="false" outlineLevel="0" collapsed="false">
      <c r="D10" s="555"/>
      <c r="E10" s="561"/>
      <c r="F10" s="555"/>
      <c r="G10" s="562"/>
      <c r="H10" s="553"/>
      <c r="I10" s="561"/>
      <c r="J10" s="555"/>
      <c r="K10" s="556"/>
      <c r="L10" s="553"/>
      <c r="M10" s="561"/>
      <c r="N10" s="555"/>
      <c r="O10" s="556"/>
      <c r="P10" s="553"/>
      <c r="Q10" s="555"/>
      <c r="R10" s="556"/>
      <c r="S10" s="553"/>
      <c r="T10" s="311"/>
      <c r="U10" s="553"/>
    </row>
    <row r="11" customFormat="false" ht="12.75" hidden="false" customHeight="false" outlineLevel="0" collapsed="false">
      <c r="D11" s="555"/>
      <c r="E11" s="561"/>
      <c r="F11" s="555"/>
      <c r="G11" s="562"/>
      <c r="H11" s="553"/>
      <c r="I11" s="561"/>
      <c r="J11" s="555"/>
      <c r="K11" s="556"/>
      <c r="L11" s="553"/>
      <c r="M11" s="561"/>
      <c r="N11" s="555"/>
      <c r="O11" s="556"/>
      <c r="P11" s="553"/>
      <c r="Q11" s="555"/>
      <c r="R11" s="556"/>
      <c r="S11" s="553" t="s">
        <v>370</v>
      </c>
      <c r="T11" s="311" t="n">
        <f aca="false">+T9</f>
        <v>311.827284105131</v>
      </c>
      <c r="U11" s="553"/>
      <c r="V11" s="553" t="n">
        <f aca="false">+V9</f>
        <v>2.09735350331137</v>
      </c>
      <c r="W11" s="492" t="n">
        <f aca="false">'Strg Refill Quantity'!I42</f>
        <v>1752.5</v>
      </c>
      <c r="X11" s="760" t="n">
        <f aca="false">+W11/$W$46</f>
        <v>0.00230834671499377</v>
      </c>
      <c r="Y11" s="553" t="n">
        <f aca="false">+X11*V11</f>
        <v>0.00484141906954948</v>
      </c>
    </row>
    <row r="12" customFormat="false" ht="12.75" hidden="false" customHeight="false" outlineLevel="0" collapsed="false">
      <c r="D12" s="555"/>
      <c r="E12" s="561"/>
      <c r="F12" s="555"/>
      <c r="G12" s="562"/>
      <c r="H12" s="553"/>
      <c r="I12" s="561"/>
      <c r="J12" s="555"/>
      <c r="K12" s="556"/>
      <c r="L12" s="553"/>
      <c r="M12" s="561"/>
      <c r="N12" s="555"/>
      <c r="O12" s="556"/>
      <c r="P12" s="553"/>
      <c r="Q12" s="555"/>
      <c r="R12" s="556"/>
      <c r="S12" s="553"/>
      <c r="T12" s="311"/>
      <c r="U12" s="553"/>
      <c r="W12" s="761"/>
    </row>
    <row r="13" customFormat="false" ht="12.75" hidden="false" customHeight="false" outlineLevel="0" collapsed="false">
      <c r="A13" s="267"/>
      <c r="B13" s="267"/>
      <c r="C13" s="315"/>
      <c r="D13" s="547"/>
      <c r="E13" s="546"/>
      <c r="F13" s="547"/>
      <c r="G13" s="547"/>
      <c r="H13" s="762"/>
      <c r="I13" s="546"/>
      <c r="J13" s="547"/>
      <c r="K13" s="547"/>
      <c r="L13" s="547"/>
      <c r="M13" s="546"/>
      <c r="N13" s="547"/>
      <c r="O13" s="547"/>
      <c r="P13" s="547"/>
      <c r="Q13" s="547"/>
      <c r="R13" s="547"/>
      <c r="S13" s="547"/>
      <c r="T13" s="547"/>
      <c r="U13" s="547"/>
      <c r="W13" s="761"/>
    </row>
    <row r="14" customFormat="false" ht="12.75" hidden="false" customHeight="false" outlineLevel="0" collapsed="false">
      <c r="A14" s="266" t="s">
        <v>371</v>
      </c>
      <c r="B14" s="266" t="s">
        <v>211</v>
      </c>
      <c r="C14" s="317" t="s">
        <v>372</v>
      </c>
      <c r="D14" s="555" t="n">
        <f aca="false">'Input Gas Prices'!B11</f>
        <v>1.81</v>
      </c>
      <c r="E14" s="561" t="s">
        <v>269</v>
      </c>
      <c r="F14" s="588" t="n">
        <f aca="false">0.0366+0.0022</f>
        <v>0.0388</v>
      </c>
      <c r="G14" s="589" t="n">
        <v>0.00697</v>
      </c>
      <c r="H14" s="553" t="n">
        <f aca="false">+D14/(1-G14)+F14</f>
        <v>1.86150424861283</v>
      </c>
      <c r="I14" s="561" t="s">
        <v>270</v>
      </c>
      <c r="J14" s="555" t="n">
        <f aca="false">0.017+0.0022</f>
        <v>0.0192</v>
      </c>
      <c r="K14" s="589" t="n">
        <v>0.02902</v>
      </c>
      <c r="L14" s="553" t="n">
        <f aca="false">+H14/(1-K14)+J14</f>
        <v>1.93633964099449</v>
      </c>
      <c r="M14" s="561" t="s">
        <v>373</v>
      </c>
      <c r="N14" s="555" t="n">
        <f aca="false">0.0132+0.0022</f>
        <v>0.0154</v>
      </c>
      <c r="O14" s="589" t="n">
        <v>0.02776</v>
      </c>
      <c r="P14" s="553" t="n">
        <f aca="false">+L14/(1-O14)+N14</f>
        <v>2.00702721241102</v>
      </c>
      <c r="Q14" s="555" t="n">
        <v>0.0153</v>
      </c>
      <c r="R14" s="556" t="n">
        <v>0.0017</v>
      </c>
      <c r="S14" s="553" t="n">
        <f aca="false">+P14/(1-R14)+Q14</f>
        <v>2.02574496885808</v>
      </c>
      <c r="T14" s="311" t="n">
        <f aca="false">+'[1]Tier 1 &amp; 2 Weightings'!L40</f>
        <v>27084.5177490574</v>
      </c>
      <c r="U14" s="760" t="n">
        <f aca="false">+T14/$T$17</f>
        <v>0.848199721503879</v>
      </c>
      <c r="V14" s="553" t="n">
        <f aca="false">+U14*S14</f>
        <v>1.71823631842331</v>
      </c>
      <c r="W14" s="761"/>
    </row>
    <row r="15" customFormat="false" ht="12.75" hidden="false" customHeight="false" outlineLevel="0" collapsed="false">
      <c r="A15" s="267"/>
      <c r="B15" s="266" t="s">
        <v>212</v>
      </c>
      <c r="C15" s="317" t="s">
        <v>129</v>
      </c>
      <c r="D15" s="555" t="n">
        <f aca="false">'Input Gas Prices'!B12</f>
        <v>2.05</v>
      </c>
      <c r="E15" s="561" t="s">
        <v>374</v>
      </c>
      <c r="F15" s="588" t="n">
        <f aca="false">0.0134+0.0022+0.007</f>
        <v>0.0226</v>
      </c>
      <c r="G15" s="589" t="n">
        <v>0.02776</v>
      </c>
      <c r="H15" s="553" t="n">
        <f aca="false">+D15/(1-G15)+F15</f>
        <v>2.13113287254176</v>
      </c>
      <c r="I15" s="561"/>
      <c r="J15" s="555" t="n">
        <v>0</v>
      </c>
      <c r="K15" s="556" t="n">
        <v>0</v>
      </c>
      <c r="L15" s="553" t="n">
        <f aca="false">+H15/(1-K15)+J15</f>
        <v>2.13113287254176</v>
      </c>
      <c r="M15" s="561"/>
      <c r="N15" s="555" t="n">
        <v>0</v>
      </c>
      <c r="O15" s="556" t="n">
        <v>0</v>
      </c>
      <c r="P15" s="553" t="n">
        <f aca="false">+L15/(1-O15)+N15</f>
        <v>2.13113287254176</v>
      </c>
      <c r="Q15" s="555" t="n">
        <v>0.0153</v>
      </c>
      <c r="R15" s="556" t="n">
        <v>0.0017</v>
      </c>
      <c r="S15" s="553" t="n">
        <f aca="false">+P15/(1-R15)+Q15</f>
        <v>2.15006196788717</v>
      </c>
      <c r="T15" s="311" t="n">
        <f aca="false">+'[1]Tier 1 &amp; 2 Weightings'!L41</f>
        <v>4847.25145859559</v>
      </c>
      <c r="U15" s="760" t="n">
        <f aca="false">+T15/$T$17</f>
        <v>0.151800278496121</v>
      </c>
      <c r="V15" s="553" t="n">
        <f aca="false">+U15*S15</f>
        <v>0.32638000550919</v>
      </c>
      <c r="W15" s="761"/>
    </row>
    <row r="16" customFormat="false" ht="12.75" hidden="false" customHeight="false" outlineLevel="0" collapsed="false">
      <c r="A16" s="267"/>
      <c r="D16" s="555"/>
      <c r="E16" s="561"/>
      <c r="F16" s="555"/>
      <c r="G16" s="562"/>
      <c r="H16" s="553"/>
      <c r="I16" s="561"/>
      <c r="J16" s="555"/>
      <c r="K16" s="556"/>
      <c r="L16" s="553"/>
      <c r="M16" s="561"/>
      <c r="N16" s="555"/>
      <c r="O16" s="556"/>
      <c r="P16" s="553"/>
      <c r="Q16" s="555"/>
      <c r="R16" s="556"/>
      <c r="S16" s="553"/>
      <c r="T16" s="311"/>
      <c r="U16" s="553"/>
      <c r="W16" s="761"/>
    </row>
    <row r="17" customFormat="false" ht="12.75" hidden="false" customHeight="false" outlineLevel="0" collapsed="false">
      <c r="A17" s="267"/>
      <c r="D17" s="555"/>
      <c r="E17" s="561"/>
      <c r="F17" s="555"/>
      <c r="G17" s="562"/>
      <c r="H17" s="553"/>
      <c r="I17" s="561"/>
      <c r="J17" s="555"/>
      <c r="K17" s="556"/>
      <c r="L17" s="553"/>
      <c r="M17" s="561"/>
      <c r="N17" s="555"/>
      <c r="O17" s="556"/>
      <c r="P17" s="553"/>
      <c r="Q17" s="555"/>
      <c r="R17" s="556"/>
      <c r="S17" s="553" t="s">
        <v>370</v>
      </c>
      <c r="T17" s="311" t="n">
        <f aca="false">SUM(T14:T15)</f>
        <v>31931.769207653</v>
      </c>
      <c r="U17" s="553"/>
      <c r="V17" s="553" t="n">
        <f aca="false">SUM(V14:V15)</f>
        <v>2.0446163239325</v>
      </c>
      <c r="W17" s="492" t="n">
        <f aca="false">'Strg Refill Quantity'!I38</f>
        <v>385131.291666667</v>
      </c>
      <c r="X17" s="760" t="n">
        <f aca="false">+W17/$W$46</f>
        <v>0.507284765740403</v>
      </c>
      <c r="Y17" s="553" t="n">
        <f aca="false">+X17*V17</f>
        <v>1.0372027129151</v>
      </c>
    </row>
    <row r="18" customFormat="false" ht="12.75" hidden="false" customHeight="false" outlineLevel="0" collapsed="false">
      <c r="A18" s="267"/>
      <c r="D18" s="555"/>
      <c r="E18" s="561"/>
      <c r="F18" s="555"/>
      <c r="G18" s="562"/>
      <c r="H18" s="553"/>
      <c r="I18" s="561"/>
      <c r="J18" s="555"/>
      <c r="K18" s="556"/>
      <c r="L18" s="553"/>
      <c r="M18" s="561"/>
      <c r="N18" s="555"/>
      <c r="O18" s="556"/>
      <c r="P18" s="553"/>
      <c r="Q18" s="555"/>
      <c r="R18" s="556"/>
      <c r="S18" s="553"/>
      <c r="T18" s="311"/>
      <c r="U18" s="553"/>
      <c r="W18" s="761"/>
    </row>
    <row r="19" customFormat="false" ht="12.75" hidden="false" customHeight="false" outlineLevel="0" collapsed="false">
      <c r="A19" s="267"/>
      <c r="B19" s="267"/>
      <c r="C19" s="315"/>
      <c r="D19" s="547"/>
      <c r="E19" s="546"/>
      <c r="F19" s="547"/>
      <c r="G19" s="547"/>
      <c r="H19" s="547"/>
      <c r="I19" s="546"/>
      <c r="J19" s="547"/>
      <c r="K19" s="547"/>
      <c r="L19" s="547"/>
      <c r="M19" s="546"/>
      <c r="N19" s="547"/>
      <c r="O19" s="547"/>
      <c r="P19" s="547"/>
      <c r="Q19" s="547"/>
      <c r="R19" s="547"/>
      <c r="S19" s="547"/>
      <c r="T19" s="547"/>
      <c r="U19" s="547"/>
      <c r="W19" s="761"/>
    </row>
    <row r="20" customFormat="false" ht="12.75" hidden="false" customHeight="false" outlineLevel="0" collapsed="false">
      <c r="A20" s="266" t="s">
        <v>375</v>
      </c>
      <c r="B20" s="266" t="s">
        <v>211</v>
      </c>
      <c r="C20" s="317" t="s">
        <v>372</v>
      </c>
      <c r="D20" s="555" t="n">
        <f aca="false">'Input Gas Prices'!B11</f>
        <v>1.81</v>
      </c>
      <c r="E20" s="561" t="s">
        <v>269</v>
      </c>
      <c r="F20" s="588" t="n">
        <f aca="false">0.0366+0.0022</f>
        <v>0.0388</v>
      </c>
      <c r="G20" s="589" t="n">
        <v>0.00697</v>
      </c>
      <c r="H20" s="553" t="n">
        <f aca="false">+D20/(1-G20)+F20</f>
        <v>1.86150424861283</v>
      </c>
      <c r="I20" s="561" t="s">
        <v>270</v>
      </c>
      <c r="J20" s="555" t="n">
        <f aca="false">0.017+0.0022</f>
        <v>0.0192</v>
      </c>
      <c r="K20" s="589" t="n">
        <v>0.02902</v>
      </c>
      <c r="L20" s="553" t="n">
        <f aca="false">+H20/(1-K20)+J20</f>
        <v>1.93633964099449</v>
      </c>
      <c r="M20" s="561" t="s">
        <v>373</v>
      </c>
      <c r="N20" s="555" t="n">
        <f aca="false">0.0132+0.0022</f>
        <v>0.0154</v>
      </c>
      <c r="O20" s="589" t="n">
        <v>0.02776</v>
      </c>
      <c r="P20" s="553" t="n">
        <f aca="false">+L20/(1-O20)+N20</f>
        <v>2.00702721241102</v>
      </c>
      <c r="Q20" s="763" t="n">
        <v>0</v>
      </c>
      <c r="R20" s="764" t="n">
        <v>0</v>
      </c>
      <c r="S20" s="553" t="n">
        <f aca="false">+P20/(1-R20)+Q20</f>
        <v>2.00702721241102</v>
      </c>
      <c r="T20" s="311" t="n">
        <f aca="false">+T14</f>
        <v>27084.5177490574</v>
      </c>
      <c r="U20" s="760" t="n">
        <f aca="false">+T20/$T$23</f>
        <v>0.848199721503879</v>
      </c>
      <c r="V20" s="553" t="n">
        <f aca="false">+U20*S20</f>
        <v>1.70235992261774</v>
      </c>
      <c r="W20" s="761"/>
    </row>
    <row r="21" customFormat="false" ht="12.75" hidden="false" customHeight="false" outlineLevel="0" collapsed="false">
      <c r="A21" s="267"/>
      <c r="B21" s="266" t="s">
        <v>212</v>
      </c>
      <c r="C21" s="317" t="s">
        <v>129</v>
      </c>
      <c r="D21" s="555" t="n">
        <f aca="false">'Input Gas Prices'!B12</f>
        <v>2.05</v>
      </c>
      <c r="E21" s="561" t="s">
        <v>374</v>
      </c>
      <c r="F21" s="588" t="n">
        <f aca="false">0.0134+0.0022+0.007</f>
        <v>0.0226</v>
      </c>
      <c r="G21" s="589" t="n">
        <v>0.02776</v>
      </c>
      <c r="H21" s="553" t="n">
        <f aca="false">+D21/(1-G21)+F21</f>
        <v>2.13113287254176</v>
      </c>
      <c r="I21" s="561"/>
      <c r="J21" s="555" t="n">
        <v>0</v>
      </c>
      <c r="K21" s="556" t="n">
        <v>0</v>
      </c>
      <c r="L21" s="553" t="n">
        <f aca="false">+H21/(1-K21)+J21</f>
        <v>2.13113287254176</v>
      </c>
      <c r="M21" s="561"/>
      <c r="N21" s="555" t="n">
        <v>0</v>
      </c>
      <c r="O21" s="556" t="n">
        <v>0</v>
      </c>
      <c r="P21" s="553" t="n">
        <f aca="false">+L21/(1-O21)+N21</f>
        <v>2.13113287254176</v>
      </c>
      <c r="Q21" s="763" t="n">
        <v>0</v>
      </c>
      <c r="R21" s="764" t="n">
        <v>0</v>
      </c>
      <c r="S21" s="553" t="n">
        <f aca="false">+P21/(1-R21)+Q21</f>
        <v>2.13113287254176</v>
      </c>
      <c r="T21" s="311" t="n">
        <f aca="false">+T15</f>
        <v>4847.25145859559</v>
      </c>
      <c r="U21" s="760" t="n">
        <f aca="false">+T21/$T$23</f>
        <v>0.151800278496121</v>
      </c>
      <c r="V21" s="553" t="n">
        <f aca="false">+U21*S21</f>
        <v>0.323506563564077</v>
      </c>
      <c r="W21" s="761"/>
    </row>
    <row r="22" customFormat="false" ht="12.75" hidden="false" customHeight="false" outlineLevel="0" collapsed="false">
      <c r="A22" s="267"/>
      <c r="D22" s="555"/>
      <c r="E22" s="561"/>
      <c r="F22" s="555"/>
      <c r="G22" s="562"/>
      <c r="H22" s="553"/>
      <c r="I22" s="561"/>
      <c r="J22" s="555"/>
      <c r="K22" s="556"/>
      <c r="L22" s="553"/>
      <c r="M22" s="561"/>
      <c r="N22" s="555"/>
      <c r="O22" s="556"/>
      <c r="P22" s="553"/>
      <c r="Q22" s="763"/>
      <c r="R22" s="764"/>
      <c r="S22" s="553"/>
      <c r="T22" s="311"/>
      <c r="U22" s="547"/>
      <c r="W22" s="761"/>
    </row>
    <row r="23" customFormat="false" ht="12.75" hidden="false" customHeight="false" outlineLevel="0" collapsed="false">
      <c r="A23" s="267"/>
      <c r="D23" s="555"/>
      <c r="E23" s="561"/>
      <c r="F23" s="555"/>
      <c r="G23" s="562"/>
      <c r="H23" s="553"/>
      <c r="I23" s="561"/>
      <c r="J23" s="555"/>
      <c r="K23" s="556"/>
      <c r="L23" s="553"/>
      <c r="M23" s="561"/>
      <c r="N23" s="555"/>
      <c r="O23" s="556"/>
      <c r="P23" s="553"/>
      <c r="Q23" s="763"/>
      <c r="R23" s="764"/>
      <c r="S23" s="553" t="s">
        <v>370</v>
      </c>
      <c r="T23" s="311" t="n">
        <f aca="false">SUM(T20:T21)</f>
        <v>31931.769207653</v>
      </c>
      <c r="U23" s="547"/>
      <c r="V23" s="553" t="n">
        <f aca="false">SUM(V20:V21)</f>
        <v>2.02586648618181</v>
      </c>
      <c r="W23" s="492" t="n">
        <f aca="false">'Strg Refill Quantity'!I40</f>
        <v>65904</v>
      </c>
      <c r="X23" s="760" t="n">
        <f aca="false">+W23/$W$46</f>
        <v>0.0868070082196571</v>
      </c>
      <c r="Y23" s="553" t="n">
        <f aca="false">+X23*V23</f>
        <v>0.175859408717913</v>
      </c>
    </row>
    <row r="24" customFormat="false" ht="12.75" hidden="false" customHeight="false" outlineLevel="0" collapsed="false">
      <c r="A24" s="267"/>
      <c r="D24" s="555"/>
      <c r="E24" s="561"/>
      <c r="F24" s="555"/>
      <c r="G24" s="562"/>
      <c r="H24" s="553"/>
      <c r="I24" s="561"/>
      <c r="J24" s="555"/>
      <c r="K24" s="556"/>
      <c r="L24" s="553"/>
      <c r="M24" s="561"/>
      <c r="N24" s="555"/>
      <c r="O24" s="556"/>
      <c r="P24" s="553"/>
      <c r="Q24" s="763"/>
      <c r="R24" s="764"/>
      <c r="S24" s="553"/>
      <c r="T24" s="311"/>
      <c r="U24" s="547"/>
      <c r="W24" s="761"/>
    </row>
    <row r="25" customFormat="false" ht="12.75" hidden="false" customHeight="false" outlineLevel="0" collapsed="false">
      <c r="A25" s="267"/>
      <c r="B25" s="267"/>
      <c r="C25" s="315"/>
      <c r="D25" s="547"/>
      <c r="E25" s="546"/>
      <c r="F25" s="547"/>
      <c r="G25" s="547"/>
      <c r="H25" s="547"/>
      <c r="I25" s="546"/>
      <c r="J25" s="547"/>
      <c r="K25" s="547"/>
      <c r="L25" s="547"/>
      <c r="M25" s="546"/>
      <c r="N25" s="547"/>
      <c r="O25" s="547"/>
      <c r="P25" s="547"/>
      <c r="Q25" s="547"/>
      <c r="R25" s="547"/>
      <c r="S25" s="547"/>
      <c r="T25" s="547"/>
      <c r="U25" s="547"/>
      <c r="W25" s="761"/>
    </row>
    <row r="26" customFormat="false" ht="12.75" hidden="false" customHeight="false" outlineLevel="0" collapsed="false">
      <c r="A26" s="266" t="s">
        <v>376</v>
      </c>
      <c r="B26" s="266" t="s">
        <v>377</v>
      </c>
      <c r="C26" s="317" t="s">
        <v>121</v>
      </c>
      <c r="D26" s="555" t="n">
        <f aca="false">'Input Gas Prices'!B4</f>
        <v>1.75</v>
      </c>
      <c r="E26" s="561" t="s">
        <v>254</v>
      </c>
      <c r="F26" s="555" t="n">
        <v>0.0522</v>
      </c>
      <c r="G26" s="589" t="n">
        <v>0.0506</v>
      </c>
      <c r="H26" s="553" t="n">
        <f aca="false">+D26/(1-G26)+F26</f>
        <v>1.89546943332631</v>
      </c>
      <c r="I26" s="561" t="s">
        <v>378</v>
      </c>
      <c r="J26" s="555" t="n">
        <v>0</v>
      </c>
      <c r="K26" s="556" t="n">
        <v>0</v>
      </c>
      <c r="L26" s="553" t="n">
        <f aca="false">+H26/(1-K26)+J26</f>
        <v>1.89546943332631</v>
      </c>
      <c r="M26" s="561"/>
      <c r="N26" s="555" t="n">
        <v>0</v>
      </c>
      <c r="O26" s="556" t="n">
        <v>0</v>
      </c>
      <c r="P26" s="553" t="n">
        <f aca="false">+L26/(1-O26)+N26</f>
        <v>1.89546943332631</v>
      </c>
      <c r="Q26" s="555" t="n">
        <v>0.0289</v>
      </c>
      <c r="R26" s="556" t="n">
        <v>0.0278</v>
      </c>
      <c r="S26" s="553" t="n">
        <f aca="false">+P26/(1-R26)+Q26</f>
        <v>1.97857026674173</v>
      </c>
      <c r="T26" s="765" t="n">
        <f aca="false">+'[1]Tier 1 &amp; 2 Weightings'!L31</f>
        <v>999.957085127233</v>
      </c>
      <c r="U26" s="760" t="n">
        <f aca="false">+T26/$T$33</f>
        <v>0.0462974903382485</v>
      </c>
      <c r="V26" s="553" t="n">
        <f aca="false">+U26*S26</f>
        <v>0.0916028378080211</v>
      </c>
      <c r="W26" s="761"/>
    </row>
    <row r="27" customFormat="false" ht="12.75" hidden="false" customHeight="false" outlineLevel="0" collapsed="false">
      <c r="A27" s="267"/>
      <c r="B27" s="266" t="s">
        <v>379</v>
      </c>
      <c r="C27" s="317" t="s">
        <v>122</v>
      </c>
      <c r="D27" s="555" t="n">
        <f aca="false">'Input Gas Prices'!B5</f>
        <v>1.73</v>
      </c>
      <c r="E27" s="561" t="s">
        <v>258</v>
      </c>
      <c r="F27" s="555" t="n">
        <v>0.0522</v>
      </c>
      <c r="G27" s="589" t="n">
        <v>0.058</v>
      </c>
      <c r="H27" s="553" t="n">
        <f aca="false">+D27/(1-G27)+F27</f>
        <v>1.88871804670913</v>
      </c>
      <c r="I27" s="561" t="s">
        <v>378</v>
      </c>
      <c r="J27" s="555" t="n">
        <v>0</v>
      </c>
      <c r="K27" s="556" t="n">
        <v>0</v>
      </c>
      <c r="L27" s="553" t="n">
        <f aca="false">+H27/(1-K27)+J27</f>
        <v>1.88871804670913</v>
      </c>
      <c r="M27" s="561"/>
      <c r="N27" s="555" t="n">
        <v>0</v>
      </c>
      <c r="O27" s="556" t="n">
        <v>0</v>
      </c>
      <c r="P27" s="553" t="n">
        <f aca="false">+L27/(1-O27)+N27</f>
        <v>1.88871804670913</v>
      </c>
      <c r="Q27" s="555" t="n">
        <v>0.0289</v>
      </c>
      <c r="R27" s="556" t="n">
        <v>0.0278</v>
      </c>
      <c r="S27" s="553" t="n">
        <f aca="false">+P27/(1-R27)+Q27</f>
        <v>1.97162582463395</v>
      </c>
      <c r="T27" s="765" t="n">
        <f aca="false">+'[1]Tier 1 &amp; 2 Weightings'!L32</f>
        <v>1222.53576807555</v>
      </c>
      <c r="U27" s="760" t="n">
        <f aca="false">+T27/$T$33</f>
        <v>0.0566027670111857</v>
      </c>
      <c r="V27" s="553" t="n">
        <f aca="false">+U27*S27</f>
        <v>0.111599477184993</v>
      </c>
      <c r="W27" s="761"/>
    </row>
    <row r="28" customFormat="false" ht="12.75" hidden="false" customHeight="false" outlineLevel="0" collapsed="false">
      <c r="A28" s="267"/>
      <c r="B28" s="266" t="s">
        <v>259</v>
      </c>
      <c r="C28" s="317" t="s">
        <v>123</v>
      </c>
      <c r="D28" s="555" t="n">
        <f aca="false">'Input Gas Prices'!B6</f>
        <v>2.02</v>
      </c>
      <c r="E28" s="561" t="s">
        <v>380</v>
      </c>
      <c r="F28" s="555" t="n">
        <v>0</v>
      </c>
      <c r="G28" s="562" t="n">
        <v>0</v>
      </c>
      <c r="H28" s="553" t="n">
        <f aca="false">+D28/(1-G28)+F28</f>
        <v>2.02</v>
      </c>
      <c r="I28" s="561"/>
      <c r="J28" s="555" t="n">
        <v>0</v>
      </c>
      <c r="K28" s="556" t="n">
        <v>0</v>
      </c>
      <c r="L28" s="553" t="n">
        <f aca="false">+H28/(1-K28)+J28</f>
        <v>2.02</v>
      </c>
      <c r="M28" s="561"/>
      <c r="N28" s="555" t="n">
        <v>0</v>
      </c>
      <c r="O28" s="556" t="n">
        <v>0</v>
      </c>
      <c r="P28" s="553" t="n">
        <f aca="false">+L28/(1-O28)+N28</f>
        <v>2.02</v>
      </c>
      <c r="Q28" s="555" t="n">
        <v>0.0289</v>
      </c>
      <c r="R28" s="556" t="n">
        <v>0.0278</v>
      </c>
      <c r="S28" s="553" t="n">
        <f aca="false">+P28/(1-R28)+Q28</f>
        <v>2.10666177741206</v>
      </c>
      <c r="T28" s="765" t="n">
        <f aca="false">+'[1]Tier 1 &amp; 2 Weightings'!L33</f>
        <v>18492.2281652741</v>
      </c>
      <c r="U28" s="760" t="n">
        <f aca="false">+T28/$T$33</f>
        <v>0.856180497691589</v>
      </c>
      <c r="V28" s="553" t="n">
        <f aca="false">+U28*S28</f>
        <v>1.8036827290525</v>
      </c>
      <c r="W28" s="761"/>
    </row>
    <row r="29" customFormat="false" ht="12.75" hidden="false" customHeight="false" outlineLevel="0" collapsed="false">
      <c r="A29" s="267"/>
      <c r="B29" s="266" t="s">
        <v>261</v>
      </c>
      <c r="C29" s="317" t="s">
        <v>124</v>
      </c>
      <c r="D29" s="555" t="n">
        <f aca="false">'Input Gas Prices'!B7</f>
        <v>2.02</v>
      </c>
      <c r="E29" s="561" t="s">
        <v>381</v>
      </c>
      <c r="F29" s="555" t="n">
        <v>0</v>
      </c>
      <c r="G29" s="562" t="n">
        <v>0</v>
      </c>
      <c r="H29" s="553" t="n">
        <f aca="false">+D29/(1-G29)+F29</f>
        <v>2.02</v>
      </c>
      <c r="I29" s="561"/>
      <c r="J29" s="555" t="n">
        <v>0</v>
      </c>
      <c r="K29" s="556" t="n">
        <v>0</v>
      </c>
      <c r="L29" s="553" t="n">
        <f aca="false">+H29/(1-K29)+J29</f>
        <v>2.02</v>
      </c>
      <c r="M29" s="561"/>
      <c r="N29" s="555" t="n">
        <v>0</v>
      </c>
      <c r="O29" s="556" t="n">
        <v>0</v>
      </c>
      <c r="P29" s="553" t="n">
        <f aca="false">+L29/(1-O29)+N29</f>
        <v>2.02</v>
      </c>
      <c r="Q29" s="555" t="n">
        <v>0.0289</v>
      </c>
      <c r="R29" s="556" t="n">
        <v>0.0278</v>
      </c>
      <c r="S29" s="553" t="n">
        <f aca="false">+P29/(1-R29)+Q29</f>
        <v>2.10666177741206</v>
      </c>
      <c r="T29" s="765" t="n">
        <f aca="false">+'[1]Tier 1 &amp; 2 Weightings'!L34</f>
        <v>622.159136059515</v>
      </c>
      <c r="U29" s="760" t="n">
        <f aca="false">+T29/$T$33</f>
        <v>0.0288056427810633</v>
      </c>
      <c r="V29" s="553" t="n">
        <f aca="false">+U29*S29</f>
        <v>0.0606837466206517</v>
      </c>
      <c r="W29" s="761"/>
    </row>
    <row r="30" customFormat="false" ht="12.75" hidden="false" customHeight="false" outlineLevel="0" collapsed="false">
      <c r="A30" s="267"/>
      <c r="B30" s="266" t="s">
        <v>206</v>
      </c>
      <c r="C30" s="317" t="s">
        <v>126</v>
      </c>
      <c r="D30" s="555" t="n">
        <f aca="false">'Input Gas Prices'!B9</f>
        <v>1.78</v>
      </c>
      <c r="E30" s="561" t="s">
        <v>290</v>
      </c>
      <c r="F30" s="588" t="n">
        <f aca="false">0.0367+0.0022</f>
        <v>0.0389</v>
      </c>
      <c r="G30" s="589" t="n">
        <v>0.0504</v>
      </c>
      <c r="H30" s="553" t="n">
        <f aca="false">+D30/(1-G30)+F30</f>
        <v>1.91337346251053</v>
      </c>
      <c r="I30" s="561" t="s">
        <v>378</v>
      </c>
      <c r="J30" s="555" t="n">
        <v>0</v>
      </c>
      <c r="K30" s="556" t="n">
        <v>0</v>
      </c>
      <c r="L30" s="553" t="n">
        <f aca="false">+H30/(1-K30)+J30</f>
        <v>1.91337346251053</v>
      </c>
      <c r="M30" s="561"/>
      <c r="N30" s="555" t="n">
        <v>0</v>
      </c>
      <c r="O30" s="556" t="n">
        <v>0</v>
      </c>
      <c r="P30" s="553" t="n">
        <f aca="false">+L30/(1-O30)+N30</f>
        <v>1.91337346251053</v>
      </c>
      <c r="Q30" s="555" t="n">
        <v>0.0289</v>
      </c>
      <c r="R30" s="556" t="n">
        <v>0.0278</v>
      </c>
      <c r="S30" s="553" t="n">
        <f aca="false">+P30/(1-R30)+Q30</f>
        <v>1.99698626055393</v>
      </c>
      <c r="T30" s="765" t="n">
        <f aca="false">+'[1]Tier 1 &amp; 2 Weightings'!L35</f>
        <v>255.518445752512</v>
      </c>
      <c r="U30" s="760" t="n">
        <f aca="false">+T30/$T$33</f>
        <v>0.0118303704723148</v>
      </c>
      <c r="V30" s="553" t="n">
        <f aca="false">+U30*S30</f>
        <v>0.0236250872904756</v>
      </c>
      <c r="W30" s="761"/>
    </row>
    <row r="31" customFormat="false" ht="12.75" hidden="false" customHeight="false" outlineLevel="0" collapsed="false">
      <c r="A31" s="267"/>
      <c r="B31" s="266" t="s">
        <v>207</v>
      </c>
      <c r="C31" s="317" t="s">
        <v>127</v>
      </c>
      <c r="D31" s="555" t="n">
        <f aca="false">'Input Gas Prices'!B10</f>
        <v>1.86</v>
      </c>
      <c r="E31" s="561" t="s">
        <v>291</v>
      </c>
      <c r="F31" s="588" t="n">
        <f aca="false">0.0366+0.0022</f>
        <v>0.0388</v>
      </c>
      <c r="G31" s="589" t="n">
        <v>0.0462</v>
      </c>
      <c r="H31" s="553" t="n">
        <f aca="false">+D31/(1-G31)+F31</f>
        <v>1.98889435940449</v>
      </c>
      <c r="I31" s="561" t="s">
        <v>378</v>
      </c>
      <c r="J31" s="555" t="n">
        <v>0</v>
      </c>
      <c r="K31" s="556" t="n">
        <v>0</v>
      </c>
      <c r="L31" s="553" t="n">
        <f aca="false">+H31/(1-K31)+J31</f>
        <v>1.98889435940449</v>
      </c>
      <c r="M31" s="561"/>
      <c r="N31" s="555" t="n">
        <v>0</v>
      </c>
      <c r="O31" s="556" t="n">
        <v>0</v>
      </c>
      <c r="P31" s="553" t="n">
        <f aca="false">+L31/(1-O31)+N31</f>
        <v>1.98889435940449</v>
      </c>
      <c r="Q31" s="555" t="n">
        <v>0.0289</v>
      </c>
      <c r="R31" s="556" t="n">
        <v>0.0278</v>
      </c>
      <c r="S31" s="553" t="n">
        <f aca="false">+P31/(1-R31)+Q31</f>
        <v>2.07466667291143</v>
      </c>
      <c r="T31" s="765" t="n">
        <f aca="false">+'[1]Tier 1 &amp; 2 Weightings'!L36</f>
        <v>6.11738452077837</v>
      </c>
      <c r="U31" s="760" t="n">
        <f aca="false">+T31/$T$33</f>
        <v>0.000283231705598697</v>
      </c>
      <c r="V31" s="553" t="n">
        <f aca="false">+U31*S31</f>
        <v>0.000587611380317477</v>
      </c>
      <c r="W31" s="761"/>
    </row>
    <row r="32" customFormat="false" ht="12.75" hidden="false" customHeight="false" outlineLevel="0" collapsed="false">
      <c r="A32" s="267"/>
      <c r="D32" s="555"/>
      <c r="E32" s="561"/>
      <c r="F32" s="555"/>
      <c r="G32" s="562"/>
      <c r="H32" s="553"/>
      <c r="I32" s="561"/>
      <c r="J32" s="555"/>
      <c r="K32" s="556"/>
      <c r="L32" s="553"/>
      <c r="M32" s="561"/>
      <c r="N32" s="555"/>
      <c r="O32" s="556"/>
      <c r="P32" s="553"/>
      <c r="Q32" s="555"/>
      <c r="R32" s="556"/>
      <c r="S32" s="553"/>
      <c r="T32" s="765"/>
      <c r="U32" s="547"/>
      <c r="W32" s="761"/>
    </row>
    <row r="33" customFormat="false" ht="12.75" hidden="false" customHeight="false" outlineLevel="0" collapsed="false">
      <c r="A33" s="267"/>
      <c r="D33" s="555"/>
      <c r="E33" s="561"/>
      <c r="F33" s="555"/>
      <c r="G33" s="562"/>
      <c r="H33" s="553"/>
      <c r="I33" s="561"/>
      <c r="J33" s="555"/>
      <c r="K33" s="556"/>
      <c r="L33" s="553"/>
      <c r="M33" s="561"/>
      <c r="N33" s="555"/>
      <c r="O33" s="556"/>
      <c r="P33" s="553"/>
      <c r="Q33" s="555"/>
      <c r="R33" s="556"/>
      <c r="S33" s="553" t="s">
        <v>370</v>
      </c>
      <c r="T33" s="311" t="n">
        <f aca="false">SUM(T26:T31)</f>
        <v>21598.5159848097</v>
      </c>
      <c r="U33" s="547"/>
      <c r="V33" s="553" t="n">
        <f aca="false">SUM(V26:V31)</f>
        <v>2.09178148933696</v>
      </c>
      <c r="W33" s="492" t="n">
        <f aca="false">'Strg Refill Quantity'!I36</f>
        <v>298244.083333333</v>
      </c>
      <c r="X33" s="760" t="n">
        <f aca="false">+W33/$W$46</f>
        <v>0.392839229688346</v>
      </c>
      <c r="Y33" s="553" t="n">
        <f aca="false">+X33*V33</f>
        <v>0.821733828947473</v>
      </c>
    </row>
    <row r="34" customFormat="false" ht="12.75" hidden="false" customHeight="false" outlineLevel="0" collapsed="false">
      <c r="A34" s="267"/>
      <c r="D34" s="555"/>
      <c r="E34" s="561"/>
      <c r="F34" s="555"/>
      <c r="G34" s="562"/>
      <c r="H34" s="553"/>
      <c r="I34" s="561"/>
      <c r="J34" s="555"/>
      <c r="K34" s="556"/>
      <c r="L34" s="553"/>
      <c r="M34" s="561"/>
      <c r="N34" s="555"/>
      <c r="O34" s="556"/>
      <c r="P34" s="553"/>
      <c r="Q34" s="555"/>
      <c r="R34" s="556"/>
      <c r="S34" s="553"/>
      <c r="T34" s="311"/>
      <c r="U34" s="547"/>
      <c r="W34" s="761"/>
    </row>
    <row r="35" customFormat="false" ht="12.75" hidden="false" customHeight="false" outlineLevel="0" collapsed="false">
      <c r="A35" s="267"/>
      <c r="B35" s="267"/>
      <c r="C35" s="315"/>
      <c r="D35" s="547"/>
      <c r="E35" s="546"/>
      <c r="F35" s="547"/>
      <c r="G35" s="547"/>
      <c r="H35" s="547"/>
      <c r="I35" s="546"/>
      <c r="J35" s="547"/>
      <c r="K35" s="547"/>
      <c r="L35" s="547"/>
      <c r="M35" s="546"/>
      <c r="N35" s="547"/>
      <c r="O35" s="547"/>
      <c r="P35" s="547"/>
      <c r="Q35" s="547"/>
      <c r="R35" s="547"/>
      <c r="S35" s="547"/>
      <c r="T35" s="547"/>
      <c r="U35" s="547"/>
      <c r="W35" s="761"/>
    </row>
    <row r="36" customFormat="false" ht="12.75" hidden="false" customHeight="false" outlineLevel="0" collapsed="false">
      <c r="A36" s="266" t="s">
        <v>382</v>
      </c>
      <c r="B36" s="266" t="s">
        <v>377</v>
      </c>
      <c r="C36" s="317" t="s">
        <v>121</v>
      </c>
      <c r="D36" s="555" t="n">
        <f aca="false">'Input Gas Prices'!B4</f>
        <v>1.75</v>
      </c>
      <c r="E36" s="561" t="s">
        <v>254</v>
      </c>
      <c r="F36" s="555" t="n">
        <v>0.0522</v>
      </c>
      <c r="G36" s="562" t="n">
        <v>0.0506</v>
      </c>
      <c r="H36" s="553" t="n">
        <f aca="false">+D36/(1-G36)+F36</f>
        <v>1.89546943332631</v>
      </c>
      <c r="I36" s="561" t="s">
        <v>378</v>
      </c>
      <c r="J36" s="588" t="n">
        <f aca="false">0.0951+0.0022+0.007</f>
        <v>0.1043</v>
      </c>
      <c r="K36" s="556" t="n">
        <v>0.0228</v>
      </c>
      <c r="L36" s="553" t="n">
        <f aca="false">+H36/(1-K36)+J36</f>
        <v>2.04399446717797</v>
      </c>
      <c r="M36" s="561"/>
      <c r="N36" s="555" t="n">
        <v>0</v>
      </c>
      <c r="O36" s="556" t="n">
        <v>0</v>
      </c>
      <c r="P36" s="553" t="n">
        <f aca="false">+L36/(1-O36)+N36</f>
        <v>2.04399446717797</v>
      </c>
      <c r="Q36" s="555" t="n">
        <f aca="false">0.0009+0.0022</f>
        <v>0.0031</v>
      </c>
      <c r="R36" s="556" t="n">
        <v>0.188</v>
      </c>
      <c r="S36" s="553" t="n">
        <f aca="false">+P36/(1-R36)+Q36</f>
        <v>2.52033456549011</v>
      </c>
      <c r="T36" s="275" t="n">
        <f aca="false">+T26</f>
        <v>999.957085127233</v>
      </c>
      <c r="U36" s="760" t="n">
        <f aca="false">+T36/$T$43</f>
        <v>0.0462974903382485</v>
      </c>
      <c r="V36" s="553" t="n">
        <f aca="false">+U36*S36</f>
        <v>0.116685165194932</v>
      </c>
      <c r="W36" s="766"/>
    </row>
    <row r="37" customFormat="false" ht="12.75" hidden="false" customHeight="false" outlineLevel="0" collapsed="false">
      <c r="A37" s="267"/>
      <c r="B37" s="266" t="s">
        <v>379</v>
      </c>
      <c r="C37" s="317" t="s">
        <v>122</v>
      </c>
      <c r="D37" s="555" t="n">
        <f aca="false">'Input Gas Prices'!B5</f>
        <v>1.73</v>
      </c>
      <c r="E37" s="561" t="s">
        <v>258</v>
      </c>
      <c r="F37" s="555" t="n">
        <v>0.0522</v>
      </c>
      <c r="G37" s="562" t="n">
        <v>0.058</v>
      </c>
      <c r="H37" s="553" t="n">
        <f aca="false">+D37/(1-G37)+F37</f>
        <v>1.88871804670913</v>
      </c>
      <c r="I37" s="561" t="s">
        <v>378</v>
      </c>
      <c r="J37" s="588" t="n">
        <f aca="false">0.0951+0.0022+0.007</f>
        <v>0.1043</v>
      </c>
      <c r="K37" s="556" t="n">
        <v>0.0228</v>
      </c>
      <c r="L37" s="553" t="n">
        <f aca="false">+H37/(1-K37)+J37</f>
        <v>2.03708555741827</v>
      </c>
      <c r="M37" s="561"/>
      <c r="N37" s="555" t="n">
        <v>0</v>
      </c>
      <c r="O37" s="556" t="n">
        <v>0</v>
      </c>
      <c r="P37" s="553" t="n">
        <f aca="false">+L37/(1-O37)+N37</f>
        <v>2.03708555741827</v>
      </c>
      <c r="Q37" s="555" t="n">
        <f aca="false">0.0009+0.0022</f>
        <v>0.0031</v>
      </c>
      <c r="R37" s="556" t="n">
        <v>0.188</v>
      </c>
      <c r="S37" s="553" t="n">
        <f aca="false">+P37/(1-R37)+Q37</f>
        <v>2.51182605593383</v>
      </c>
      <c r="T37" s="275" t="n">
        <f aca="false">+T27</f>
        <v>1222.53576807555</v>
      </c>
      <c r="U37" s="760" t="n">
        <f aca="false">+T37/$T$43</f>
        <v>0.0566027670111857</v>
      </c>
      <c r="V37" s="553" t="n">
        <f aca="false">+U37*S37</f>
        <v>0.142176305016648</v>
      </c>
      <c r="W37" s="766"/>
    </row>
    <row r="38" customFormat="false" ht="12.75" hidden="false" customHeight="false" outlineLevel="0" collapsed="false">
      <c r="A38" s="267"/>
      <c r="B38" s="266" t="s">
        <v>259</v>
      </c>
      <c r="C38" s="317" t="s">
        <v>123</v>
      </c>
      <c r="D38" s="555" t="n">
        <f aca="false">'Input Gas Prices'!B6</f>
        <v>2.02</v>
      </c>
      <c r="E38" s="561" t="s">
        <v>380</v>
      </c>
      <c r="F38" s="588" t="n">
        <f aca="false">0.0951+0.0022+0.007</f>
        <v>0.1043</v>
      </c>
      <c r="G38" s="556" t="n">
        <v>0.0228</v>
      </c>
      <c r="H38" s="553" t="n">
        <f aca="false">+D38/(1-G38)+F38</f>
        <v>2.17143057715923</v>
      </c>
      <c r="I38" s="561"/>
      <c r="J38" s="555" t="n">
        <v>0</v>
      </c>
      <c r="K38" s="556" t="n">
        <v>0</v>
      </c>
      <c r="L38" s="553" t="n">
        <f aca="false">+H38/(1-K38)+J38</f>
        <v>2.17143057715923</v>
      </c>
      <c r="M38" s="561"/>
      <c r="N38" s="555" t="n">
        <v>0</v>
      </c>
      <c r="O38" s="556" t="n">
        <v>0</v>
      </c>
      <c r="P38" s="553" t="n">
        <f aca="false">+L38/(1-O38)+N38</f>
        <v>2.17143057715923</v>
      </c>
      <c r="Q38" s="555" t="n">
        <f aca="false">0.0009+0.0022</f>
        <v>0.0031</v>
      </c>
      <c r="R38" s="556" t="n">
        <v>0.188</v>
      </c>
      <c r="S38" s="553" t="n">
        <f aca="false">+P38/(1-R38)+Q38</f>
        <v>2.67727558763452</v>
      </c>
      <c r="T38" s="275" t="n">
        <f aca="false">+T28</f>
        <v>18492.2281652741</v>
      </c>
      <c r="U38" s="760" t="n">
        <f aca="false">+T38/$T$43</f>
        <v>0.856180497691589</v>
      </c>
      <c r="V38" s="553" t="n">
        <f aca="false">+U38*S38</f>
        <v>2.29223114507846</v>
      </c>
      <c r="W38" s="766"/>
    </row>
    <row r="39" customFormat="false" ht="12.75" hidden="false" customHeight="false" outlineLevel="0" collapsed="false">
      <c r="A39" s="267"/>
      <c r="B39" s="266" t="s">
        <v>261</v>
      </c>
      <c r="C39" s="317" t="s">
        <v>124</v>
      </c>
      <c r="D39" s="555" t="n">
        <f aca="false">'Input Gas Prices'!B7</f>
        <v>2.02</v>
      </c>
      <c r="E39" s="561" t="s">
        <v>381</v>
      </c>
      <c r="F39" s="588" t="n">
        <f aca="false">0.0951+0.0022+0.007</f>
        <v>0.1043</v>
      </c>
      <c r="G39" s="556" t="n">
        <v>0.0228</v>
      </c>
      <c r="H39" s="553" t="n">
        <f aca="false">+D39/(1-G39)+F39</f>
        <v>2.17143057715923</v>
      </c>
      <c r="I39" s="561"/>
      <c r="J39" s="555" t="n">
        <v>0</v>
      </c>
      <c r="K39" s="556" t="n">
        <v>0</v>
      </c>
      <c r="L39" s="553" t="n">
        <f aca="false">+H39/(1-K39)+J39</f>
        <v>2.17143057715923</v>
      </c>
      <c r="M39" s="561"/>
      <c r="N39" s="555" t="n">
        <v>0</v>
      </c>
      <c r="O39" s="556" t="n">
        <v>0</v>
      </c>
      <c r="P39" s="553" t="n">
        <f aca="false">+L39/(1-O39)+N39</f>
        <v>2.17143057715923</v>
      </c>
      <c r="Q39" s="555" t="n">
        <f aca="false">0.0009+0.0022</f>
        <v>0.0031</v>
      </c>
      <c r="R39" s="556" t="n">
        <v>0.188</v>
      </c>
      <c r="S39" s="553" t="n">
        <f aca="false">+P39/(1-R39)+Q39</f>
        <v>2.67727558763452</v>
      </c>
      <c r="T39" s="275" t="n">
        <f aca="false">+T29</f>
        <v>622.159136059515</v>
      </c>
      <c r="U39" s="760" t="n">
        <f aca="false">+T39/$T$43</f>
        <v>0.0288056427810633</v>
      </c>
      <c r="V39" s="553" t="n">
        <f aca="false">+U39*S39</f>
        <v>0.0771206442038614</v>
      </c>
      <c r="W39" s="766"/>
    </row>
    <row r="40" customFormat="false" ht="12.75" hidden="false" customHeight="false" outlineLevel="0" collapsed="false">
      <c r="A40" s="267"/>
      <c r="B40" s="266" t="s">
        <v>206</v>
      </c>
      <c r="C40" s="317" t="s">
        <v>126</v>
      </c>
      <c r="D40" s="555" t="n">
        <f aca="false">'Input Gas Prices'!B9</f>
        <v>1.78</v>
      </c>
      <c r="E40" s="561" t="s">
        <v>290</v>
      </c>
      <c r="F40" s="588" t="n">
        <f aca="false">0.0367+0.0022</f>
        <v>0.0389</v>
      </c>
      <c r="G40" s="589" t="n">
        <v>0.0504</v>
      </c>
      <c r="H40" s="553" t="n">
        <f aca="false">+D40/(1-G40)+F40</f>
        <v>1.91337346251053</v>
      </c>
      <c r="I40" s="561" t="s">
        <v>378</v>
      </c>
      <c r="J40" s="588" t="n">
        <f aca="false">0.0951+0.0022+0.007</f>
        <v>0.1043</v>
      </c>
      <c r="K40" s="556" t="n">
        <v>0.0228</v>
      </c>
      <c r="L40" s="553" t="n">
        <f aca="false">+H40/(1-K40)+J40</f>
        <v>2.06231623261413</v>
      </c>
      <c r="M40" s="561"/>
      <c r="N40" s="555" t="n">
        <v>0</v>
      </c>
      <c r="O40" s="556" t="n">
        <v>0</v>
      </c>
      <c r="P40" s="553" t="n">
        <f aca="false">+L40/(1-O40)+N40</f>
        <v>2.06231623261413</v>
      </c>
      <c r="Q40" s="555" t="n">
        <f aca="false">0.0009+0.0022</f>
        <v>0.0031</v>
      </c>
      <c r="R40" s="556" t="n">
        <v>0.188</v>
      </c>
      <c r="S40" s="553" t="n">
        <f aca="false">+P40/(1-R40)+Q40</f>
        <v>2.54289831602726</v>
      </c>
      <c r="T40" s="275" t="n">
        <f aca="false">+T30</f>
        <v>255.518445752512</v>
      </c>
      <c r="U40" s="760" t="n">
        <f aca="false">+T40/$T$43</f>
        <v>0.0118303704723148</v>
      </c>
      <c r="V40" s="553" t="n">
        <f aca="false">+U40*S40</f>
        <v>0.0300834291520279</v>
      </c>
      <c r="W40" s="766"/>
    </row>
    <row r="41" customFormat="false" ht="12.75" hidden="false" customHeight="false" outlineLevel="0" collapsed="false">
      <c r="A41" s="267"/>
      <c r="B41" s="266" t="s">
        <v>207</v>
      </c>
      <c r="C41" s="317" t="s">
        <v>127</v>
      </c>
      <c r="D41" s="555" t="n">
        <f aca="false">'Input Gas Prices'!B10</f>
        <v>1.86</v>
      </c>
      <c r="E41" s="561" t="s">
        <v>291</v>
      </c>
      <c r="F41" s="588" t="n">
        <f aca="false">0.0366+0.0022</f>
        <v>0.0388</v>
      </c>
      <c r="G41" s="589" t="n">
        <v>0.0462</v>
      </c>
      <c r="H41" s="553" t="n">
        <f aca="false">+D41/(1-G41)+F41</f>
        <v>1.98889435940449</v>
      </c>
      <c r="I41" s="561" t="s">
        <v>378</v>
      </c>
      <c r="J41" s="588" t="n">
        <f aca="false">0.0951+0.0022+0.007</f>
        <v>0.1043</v>
      </c>
      <c r="K41" s="556" t="n">
        <v>0.0228</v>
      </c>
      <c r="L41" s="553" t="n">
        <f aca="false">+H41/(1-K41)+J41</f>
        <v>2.13959918072502</v>
      </c>
      <c r="M41" s="561"/>
      <c r="N41" s="555" t="n">
        <v>0</v>
      </c>
      <c r="O41" s="556" t="n">
        <v>0</v>
      </c>
      <c r="P41" s="553" t="n">
        <f aca="false">+L41/(1-O41)+N41</f>
        <v>2.13959918072502</v>
      </c>
      <c r="Q41" s="555" t="n">
        <f aca="false">0.0009+0.0022</f>
        <v>0.0031</v>
      </c>
      <c r="R41" s="556" t="n">
        <v>0.188</v>
      </c>
      <c r="S41" s="553" t="n">
        <f aca="false">+P41/(1-R41)+Q41</f>
        <v>2.63807436049879</v>
      </c>
      <c r="T41" s="275" t="n">
        <f aca="false">+T31</f>
        <v>6.11738452077837</v>
      </c>
      <c r="U41" s="760" t="n">
        <f aca="false">+T41/$T$43</f>
        <v>0.000283231705598697</v>
      </c>
      <c r="V41" s="553" t="n">
        <f aca="false">+U41*S41</f>
        <v>0.000747186300620264</v>
      </c>
      <c r="W41" s="766"/>
    </row>
    <row r="42" customFormat="false" ht="12.75" hidden="false" customHeight="false" outlineLevel="0" collapsed="false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766"/>
    </row>
    <row r="43" customFormat="false" ht="12.75" hidden="false" customHeight="false" outlineLevel="0" collapsed="false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553" t="s">
        <v>370</v>
      </c>
      <c r="T43" s="311" t="n">
        <f aca="false">SUM(T36:T41)</f>
        <v>21598.5159848097</v>
      </c>
      <c r="U43" s="267"/>
      <c r="V43" s="553" t="n">
        <f aca="false">SUM(V36:V41)</f>
        <v>2.65904387494655</v>
      </c>
      <c r="W43" s="492" t="n">
        <f aca="false">'Strg Refill Quantity'!I34</f>
        <v>8169.5</v>
      </c>
      <c r="X43" s="760" t="n">
        <f aca="false">+W43/$W$46</f>
        <v>0.0107606496366</v>
      </c>
      <c r="Y43" s="553" t="n">
        <f aca="false">+X43*V43</f>
        <v>0.0286130395066472</v>
      </c>
    </row>
    <row r="44" customFormat="false" ht="12.75" hidden="false" customHeight="false" outlineLevel="0" collapsed="false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</row>
    <row r="45" customFormat="false" ht="13.5" hidden="false" customHeight="false" outlineLevel="0" collapsed="false">
      <c r="A45" s="267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</row>
    <row r="46" customFormat="false" ht="13.5" hidden="false" customHeight="false" outlineLevel="0" collapsed="false">
      <c r="A46" s="267"/>
      <c r="B46" s="767" t="s">
        <v>383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768" t="s">
        <v>384</v>
      </c>
      <c r="W46" s="769" t="n">
        <f aca="false">SUM(W9:W43)</f>
        <v>759201.375</v>
      </c>
      <c r="X46" s="770" t="n">
        <f aca="false">+W46/$W$46</f>
        <v>1</v>
      </c>
      <c r="Y46" s="771" t="n">
        <f aca="false">SUM(Y9:Y43)</f>
        <v>2.06825040915668</v>
      </c>
    </row>
    <row r="47" customFormat="false" ht="12.75" hidden="false" customHeight="false" outlineLevel="0" collapsed="false">
      <c r="A47" s="267"/>
      <c r="B47" s="266" t="s">
        <v>385</v>
      </c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</row>
    <row r="48" customFormat="false" ht="12.75" hidden="false" customHeight="false" outlineLevel="0" collapsed="false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</row>
    <row r="49" customFormat="false" ht="12.75" hidden="false" customHeight="false" outlineLevel="0" collapsed="false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</row>
    <row r="50" customFormat="false" ht="12.75" hidden="false" customHeight="false" outlineLevel="0" collapsed="false">
      <c r="A50" s="267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</row>
    <row r="51" customFormat="false" ht="12.75" hidden="false" customHeight="false" outlineLevel="0" collapsed="false">
      <c r="A51" s="267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</row>
    <row r="52" customFormat="false" ht="12.75" hidden="false" customHeight="false" outlineLevel="0" collapsed="false">
      <c r="A52" s="267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</row>
    <row r="53" customFormat="false" ht="12.75" hidden="false" customHeight="false" outlineLevel="0" collapsed="false">
      <c r="A53" s="267"/>
      <c r="B53" s="267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</row>
    <row r="54" customFormat="false" ht="12.75" hidden="false" customHeight="false" outlineLevel="0" collapsed="false">
      <c r="A54" s="267"/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</row>
    <row r="55" customFormat="false" ht="12.75" hidden="false" customHeight="false" outlineLevel="0" collapsed="false">
      <c r="A55" s="267"/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</row>
    <row r="56" customFormat="false" ht="12.75" hidden="false" customHeight="false" outlineLevel="0" collapsed="false">
      <c r="A56" s="267"/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</row>
    <row r="57" customFormat="false" ht="12.75" hidden="false" customHeight="false" outlineLevel="0" collapsed="false">
      <c r="A57" s="267"/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</row>
    <row r="58" customFormat="false" ht="12.75" hidden="false" customHeight="false" outlineLevel="0" collapsed="false">
      <c r="A58" s="267"/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</row>
    <row r="59" customFormat="false" ht="12.75" hidden="false" customHeight="false" outlineLevel="0" collapsed="false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</row>
    <row r="60" customFormat="false" ht="12.75" hidden="false" customHeight="false" outlineLevel="0" collapsed="false">
      <c r="A60" s="267"/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</row>
    <row r="61" customFormat="false" ht="12.75" hidden="false" customHeight="false" outlineLevel="0" collapsed="false">
      <c r="A61" s="267"/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</row>
    <row r="62" customFormat="false" ht="12.75" hidden="false" customHeight="false" outlineLevel="0" collapsed="false">
      <c r="A62" s="267"/>
      <c r="B62" s="267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</row>
    <row r="63" customFormat="false" ht="12.75" hidden="false" customHeight="false" outlineLevel="0" collapsed="false">
      <c r="A63" s="267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</row>
    <row r="64" customFormat="false" ht="12.75" hidden="false" customHeight="false" outlineLevel="0" collapsed="false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</row>
    <row r="65" customFormat="false" ht="12.75" hidden="false" customHeight="false" outlineLevel="0" collapsed="false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</row>
    <row r="66" customFormat="false" ht="12.75" hidden="false" customHeight="false" outlineLevel="0" collapsed="false">
      <c r="A66" s="267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</row>
    <row r="67" customFormat="false" ht="12.75" hidden="false" customHeight="false" outlineLevel="0" collapsed="false">
      <c r="A67" s="267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</row>
    <row r="68" customFormat="false" ht="12.75" hidden="false" customHeight="false" outlineLevel="0" collapsed="false">
      <c r="A68" s="267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</row>
    <row r="69" customFormat="false" ht="12.75" hidden="false" customHeight="false" outlineLevel="0" collapsed="false">
      <c r="A69" s="267"/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</row>
    <row r="70" customFormat="false" ht="12.75" hidden="false" customHeight="false" outlineLevel="0" collapsed="false">
      <c r="A70" s="267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</row>
    <row r="71" customFormat="false" ht="12.75" hidden="false" customHeight="false" outlineLevel="0" collapsed="false">
      <c r="A71" s="267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</row>
    <row r="72" customFormat="false" ht="12.75" hidden="false" customHeight="false" outlineLevel="0" collapsed="false">
      <c r="A72" s="267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</row>
    <row r="73" customFormat="false" ht="12.75" hidden="false" customHeight="false" outlineLevel="0" collapsed="false">
      <c r="A73" s="267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</row>
    <row r="74" customFormat="false" ht="12.75" hidden="false" customHeight="false" outlineLevel="0" collapsed="false">
      <c r="A74" s="267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</row>
    <row r="75" customFormat="false" ht="12.75" hidden="false" customHeight="false" outlineLevel="0" collapsed="false">
      <c r="A75" s="267"/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</row>
    <row r="76" customFormat="false" ht="12.75" hidden="false" customHeight="false" outlineLevel="0" collapsed="false">
      <c r="A76" s="267"/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</row>
    <row r="77" customFormat="false" ht="12.75" hidden="false" customHeight="false" outlineLevel="0" collapsed="false">
      <c r="A77" s="267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</row>
    <row r="78" customFormat="false" ht="12.75" hidden="false" customHeight="false" outlineLevel="0" collapsed="false">
      <c r="A78" s="267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</row>
  </sheetData>
  <printOptions headings="false" gridLines="false" gridLinesSet="true" horizontalCentered="false" verticalCentered="false"/>
  <pageMargins left="0.440277777777778" right="0.3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7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2" ySplit="13" topLeftCell="C34" activePane="bottomRight" state="frozen"/>
      <selection pane="topLeft" activeCell="A1" activeCellId="0" sqref="A1"/>
      <selection pane="topRight" activeCell="C1" activeCellId="0" sqref="C1"/>
      <selection pane="bottomLeft" activeCell="A34" activeCellId="0" sqref="A34"/>
      <selection pane="bottomRight" activeCell="A62" activeCellId="0" sqref="A62"/>
    </sheetView>
  </sheetViews>
  <sheetFormatPr defaultColWidth="13.70703125" defaultRowHeight="15" customHeight="true" zeroHeight="false" outlineLevelRow="0" outlineLevelCol="0"/>
  <cols>
    <col collapsed="false" customWidth="true" hidden="false" outlineLevel="0" max="1" min="1" style="74" width="4.7"/>
    <col collapsed="false" customWidth="true" hidden="false" outlineLevel="0" max="2" min="2" style="74" width="9.85"/>
    <col collapsed="false" customWidth="true" hidden="false" outlineLevel="0" max="3" min="3" style="74" width="18.85"/>
    <col collapsed="false" customWidth="true" hidden="false" outlineLevel="0" max="4" min="4" style="74" width="14.99"/>
    <col collapsed="false" customWidth="true" hidden="false" outlineLevel="0" max="5" min="5" style="74" width="16.84"/>
    <col collapsed="false" customWidth="true" hidden="false" outlineLevel="0" max="8" min="6" style="74" width="14.99"/>
    <col collapsed="false" customWidth="true" hidden="false" outlineLevel="0" max="9" min="9" style="74" width="23.99"/>
    <col collapsed="false" customWidth="true" hidden="false" outlineLevel="0" max="17" min="10" style="74" width="14.99"/>
    <col collapsed="false" customWidth="true" hidden="false" outlineLevel="0" max="19" min="18" style="74" width="16.28"/>
    <col collapsed="false" customWidth="true" hidden="false" outlineLevel="0" max="24" min="20" style="74" width="14.99"/>
    <col collapsed="false" customWidth="true" hidden="false" outlineLevel="0" max="26" min="25" style="75" width="10.41"/>
    <col collapsed="false" customWidth="true" hidden="false" outlineLevel="0" max="27" min="27" style="74" width="16.13"/>
    <col collapsed="false" customWidth="false" hidden="false" outlineLevel="0" max="30" min="28" style="74" width="13.7"/>
    <col collapsed="false" customWidth="true" hidden="false" outlineLevel="0" max="31" min="31" style="74" width="4.7"/>
    <col collapsed="false" customWidth="false" hidden="false" outlineLevel="0" max="33" min="32" style="74" width="13.7"/>
    <col collapsed="false" customWidth="true" hidden="false" outlineLevel="0" max="34" min="34" style="74" width="3.42"/>
    <col collapsed="false" customWidth="false" hidden="false" outlineLevel="0" max="36" min="35" style="74" width="13.7"/>
    <col collapsed="false" customWidth="true" hidden="false" outlineLevel="0" max="37" min="37" style="74" width="4.7"/>
    <col collapsed="false" customWidth="true" hidden="false" outlineLevel="0" max="38" min="38" style="74" width="17.99"/>
    <col collapsed="false" customWidth="true" hidden="false" outlineLevel="0" max="39" min="39" style="74" width="14.85"/>
    <col collapsed="false" customWidth="true" hidden="false" outlineLevel="0" max="40" min="40" style="74" width="4.56"/>
    <col collapsed="false" customWidth="false" hidden="false" outlineLevel="0" max="41" min="41" style="74" width="13.7"/>
    <col collapsed="false" customWidth="true" hidden="false" outlineLevel="0" max="42" min="42" style="74" width="16.99"/>
    <col collapsed="false" customWidth="false" hidden="false" outlineLevel="0" max="43" min="43" style="74" width="13.7"/>
    <col collapsed="false" customWidth="true" hidden="false" outlineLevel="0" max="44" min="44" style="76" width="18.99"/>
    <col collapsed="false" customWidth="false" hidden="false" outlineLevel="0" max="45" min="45" style="76" width="13.7"/>
    <col collapsed="false" customWidth="false" hidden="false" outlineLevel="0" max="257" min="46" style="74" width="13.7"/>
  </cols>
  <sheetData>
    <row r="1" customFormat="false" ht="30" hidden="false" customHeight="false" outlineLevel="0" collapsed="false">
      <c r="A1" s="77"/>
      <c r="B1" s="78" t="s">
        <v>14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7"/>
      <c r="Z1" s="77"/>
      <c r="AA1" s="79"/>
    </row>
    <row r="2" customFormat="false" ht="30" hidden="false" customHeight="false" outlineLevel="0" collapsed="false">
      <c r="A2" s="77"/>
      <c r="B2" s="80" t="n">
        <f aca="false">C6</f>
        <v>37165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77"/>
      <c r="Z2" s="77"/>
      <c r="AA2" s="79"/>
      <c r="AQ2" s="81" t="n">
        <v>15771</v>
      </c>
      <c r="AR2" s="82" t="s">
        <v>15</v>
      </c>
    </row>
    <row r="3" customFormat="false" ht="30" hidden="false" customHeight="false" outlineLevel="0" collapsed="false">
      <c r="A3" s="77"/>
      <c r="B3" s="78" t="s">
        <v>16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7"/>
      <c r="Z3" s="77"/>
      <c r="AA3" s="79"/>
      <c r="AQ3" s="81" t="n">
        <v>2257</v>
      </c>
      <c r="AR3" s="82" t="s">
        <v>17</v>
      </c>
    </row>
    <row r="4" customFormat="false" ht="30.75" hidden="false" customHeight="false" outlineLevel="0" collapsed="false">
      <c r="A4" s="77"/>
      <c r="B4" s="78" t="s">
        <v>18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7"/>
      <c r="Z4" s="77"/>
      <c r="AA4" s="79"/>
      <c r="AQ4" s="81" t="n">
        <v>110554</v>
      </c>
      <c r="AR4" s="82" t="s">
        <v>19</v>
      </c>
    </row>
    <row r="5" customFormat="false" ht="15" hidden="false" customHeight="false" outlineLevel="0" collapsed="false">
      <c r="A5" s="77"/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5"/>
      <c r="W5" s="86"/>
      <c r="X5" s="87"/>
      <c r="Y5" s="77"/>
      <c r="Z5" s="77"/>
      <c r="AA5" s="79"/>
    </row>
    <row r="6" customFormat="false" ht="15.75" hidden="false" customHeight="false" outlineLevel="0" collapsed="false">
      <c r="A6" s="77"/>
      <c r="B6" s="83"/>
      <c r="C6" s="88" t="n">
        <v>37165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9"/>
      <c r="Y6" s="77"/>
      <c r="Z6" s="77"/>
      <c r="AA6" s="79"/>
    </row>
    <row r="7" customFormat="false" ht="15.75" hidden="false" customHeight="false" outlineLevel="0" collapsed="false">
      <c r="A7" s="77"/>
      <c r="B7" s="90"/>
      <c r="C7" s="91"/>
      <c r="D7" s="92"/>
      <c r="E7" s="92"/>
      <c r="F7" s="92"/>
      <c r="G7" s="91"/>
      <c r="H7" s="92"/>
      <c r="I7" s="92"/>
      <c r="J7" s="92"/>
      <c r="K7" s="92"/>
      <c r="L7" s="91"/>
      <c r="M7" s="92"/>
      <c r="N7" s="92"/>
      <c r="O7" s="92"/>
      <c r="P7" s="92"/>
      <c r="Q7" s="91"/>
      <c r="R7" s="93"/>
      <c r="S7" s="94"/>
      <c r="T7" s="91"/>
      <c r="U7" s="92"/>
      <c r="V7" s="92"/>
      <c r="W7" s="92"/>
      <c r="X7" s="91"/>
      <c r="Y7" s="95"/>
      <c r="Z7" s="96"/>
      <c r="AA7" s="79"/>
      <c r="AQ7" s="97" t="s">
        <v>20</v>
      </c>
    </row>
    <row r="8" customFormat="false" ht="17.1" hidden="false" customHeight="true" outlineLevel="0" collapsed="false">
      <c r="A8" s="77"/>
      <c r="B8" s="98" t="s">
        <v>21</v>
      </c>
      <c r="C8" s="99" t="s">
        <v>22</v>
      </c>
      <c r="D8" s="99"/>
      <c r="E8" s="99"/>
      <c r="F8" s="99"/>
      <c r="G8" s="99" t="s">
        <v>23</v>
      </c>
      <c r="H8" s="99"/>
      <c r="I8" s="99"/>
      <c r="J8" s="99"/>
      <c r="K8" s="99"/>
      <c r="L8" s="98" t="s">
        <v>24</v>
      </c>
      <c r="M8" s="98"/>
      <c r="N8" s="98"/>
      <c r="O8" s="98"/>
      <c r="P8" s="98"/>
      <c r="Q8" s="98" t="s">
        <v>25</v>
      </c>
      <c r="R8" s="100" t="s">
        <v>26</v>
      </c>
      <c r="S8" s="101" t="s">
        <v>26</v>
      </c>
      <c r="T8" s="99" t="s">
        <v>27</v>
      </c>
      <c r="U8" s="99"/>
      <c r="V8" s="99"/>
      <c r="W8" s="99"/>
      <c r="X8" s="98" t="s">
        <v>28</v>
      </c>
      <c r="Y8" s="95"/>
      <c r="Z8" s="96"/>
      <c r="AA8" s="79"/>
      <c r="AQ8" s="102" t="n">
        <f aca="false">AQ2+AQ3+AQ4</f>
        <v>128582</v>
      </c>
    </row>
    <row r="9" customFormat="false" ht="17.1" hidden="false" customHeight="true" outlineLevel="0" collapsed="false">
      <c r="A9" s="77"/>
      <c r="B9" s="98"/>
      <c r="C9" s="103"/>
      <c r="D9" s="84"/>
      <c r="E9" s="84"/>
      <c r="F9" s="84"/>
      <c r="G9" s="103"/>
      <c r="H9" s="84"/>
      <c r="I9" s="84"/>
      <c r="J9" s="84"/>
      <c r="K9" s="84"/>
      <c r="L9" s="103"/>
      <c r="M9" s="84"/>
      <c r="N9" s="84"/>
      <c r="O9" s="84"/>
      <c r="P9" s="84"/>
      <c r="Q9" s="103"/>
      <c r="R9" s="100" t="s">
        <v>29</v>
      </c>
      <c r="S9" s="101" t="s">
        <v>30</v>
      </c>
      <c r="T9" s="103"/>
      <c r="U9" s="84"/>
      <c r="V9" s="84"/>
      <c r="W9" s="84"/>
      <c r="X9" s="98" t="s">
        <v>31</v>
      </c>
      <c r="Y9" s="95"/>
      <c r="Z9" s="96"/>
      <c r="AA9" s="79"/>
      <c r="AO9" s="76"/>
    </row>
    <row r="10" customFormat="false" ht="17.1" hidden="false" customHeight="true" outlineLevel="0" collapsed="false">
      <c r="A10" s="77"/>
      <c r="B10" s="98"/>
      <c r="C10" s="104"/>
      <c r="D10" s="105"/>
      <c r="E10" s="105"/>
      <c r="F10" s="105"/>
      <c r="G10" s="104"/>
      <c r="H10" s="105"/>
      <c r="I10" s="105"/>
      <c r="J10" s="105"/>
      <c r="K10" s="92"/>
      <c r="L10" s="90"/>
      <c r="M10" s="106"/>
      <c r="N10" s="105"/>
      <c r="O10" s="105"/>
      <c r="P10" s="92"/>
      <c r="Q10" s="90"/>
      <c r="R10" s="107" t="s">
        <v>32</v>
      </c>
      <c r="S10" s="108" t="s">
        <v>33</v>
      </c>
      <c r="T10" s="103"/>
      <c r="U10" s="84"/>
      <c r="V10" s="84"/>
      <c r="W10" s="84"/>
      <c r="X10" s="98" t="s">
        <v>34</v>
      </c>
      <c r="Y10" s="95"/>
      <c r="Z10" s="96"/>
      <c r="AA10" s="77"/>
      <c r="AO10" s="76"/>
    </row>
    <row r="11" customFormat="false" ht="17.1" hidden="false" customHeight="true" outlineLevel="0" collapsed="false">
      <c r="A11" s="77"/>
      <c r="B11" s="98"/>
      <c r="C11" s="99"/>
      <c r="D11" s="109"/>
      <c r="E11" s="110" t="s">
        <v>35</v>
      </c>
      <c r="F11" s="111"/>
      <c r="G11" s="99"/>
      <c r="H11" s="109"/>
      <c r="I11" s="110" t="s">
        <v>35</v>
      </c>
      <c r="J11" s="111"/>
      <c r="K11" s="84"/>
      <c r="L11" s="98"/>
      <c r="M11" s="109"/>
      <c r="N11" s="111"/>
      <c r="O11" s="111"/>
      <c r="P11" s="84"/>
      <c r="Q11" s="112"/>
      <c r="R11" s="100" t="s">
        <v>36</v>
      </c>
      <c r="S11" s="101" t="s">
        <v>37</v>
      </c>
      <c r="T11" s="103"/>
      <c r="U11" s="84"/>
      <c r="V11" s="84"/>
      <c r="W11" s="84"/>
      <c r="X11" s="98" t="s">
        <v>38</v>
      </c>
      <c r="Y11" s="95"/>
      <c r="Z11" s="96"/>
      <c r="AA11" s="77"/>
      <c r="AO11" s="76"/>
    </row>
    <row r="12" customFormat="false" ht="16.5" hidden="false" customHeight="true" outlineLevel="0" collapsed="false">
      <c r="A12" s="77"/>
      <c r="B12" s="98"/>
      <c r="C12" s="90" t="s">
        <v>39</v>
      </c>
      <c r="D12" s="105" t="s">
        <v>40</v>
      </c>
      <c r="E12" s="113" t="s">
        <v>41</v>
      </c>
      <c r="F12" s="105" t="s">
        <v>42</v>
      </c>
      <c r="G12" s="104" t="s">
        <v>39</v>
      </c>
      <c r="H12" s="105" t="s">
        <v>40</v>
      </c>
      <c r="I12" s="114" t="s">
        <v>43</v>
      </c>
      <c r="J12" s="106" t="s">
        <v>44</v>
      </c>
      <c r="K12" s="105" t="s">
        <v>45</v>
      </c>
      <c r="L12" s="90" t="s">
        <v>39</v>
      </c>
      <c r="M12" s="106" t="s">
        <v>39</v>
      </c>
      <c r="N12" s="106" t="s">
        <v>43</v>
      </c>
      <c r="O12" s="106" t="s">
        <v>46</v>
      </c>
      <c r="P12" s="105" t="s">
        <v>45</v>
      </c>
      <c r="Q12" s="90" t="s">
        <v>18</v>
      </c>
      <c r="R12" s="107" t="s">
        <v>47</v>
      </c>
      <c r="S12" s="101" t="s">
        <v>38</v>
      </c>
      <c r="T12" s="115" t="s">
        <v>48</v>
      </c>
      <c r="U12" s="116" t="s">
        <v>49</v>
      </c>
      <c r="V12" s="116" t="s">
        <v>50</v>
      </c>
      <c r="W12" s="116" t="s">
        <v>51</v>
      </c>
      <c r="X12" s="99"/>
      <c r="Y12" s="117"/>
      <c r="Z12" s="118"/>
      <c r="AA12" s="119"/>
      <c r="AM12" s="97" t="s">
        <v>52</v>
      </c>
      <c r="AO12" s="76"/>
      <c r="AR12" s="120" t="s">
        <v>53</v>
      </c>
    </row>
    <row r="13" customFormat="false" ht="33" hidden="false" customHeight="true" outlineLevel="0" collapsed="false">
      <c r="A13" s="77"/>
      <c r="B13" s="99"/>
      <c r="C13" s="99" t="s">
        <v>54</v>
      </c>
      <c r="D13" s="109" t="s">
        <v>54</v>
      </c>
      <c r="E13" s="109" t="s">
        <v>55</v>
      </c>
      <c r="F13" s="83" t="s">
        <v>56</v>
      </c>
      <c r="G13" s="99" t="s">
        <v>54</v>
      </c>
      <c r="H13" s="109" t="s">
        <v>54</v>
      </c>
      <c r="I13" s="109" t="s">
        <v>55</v>
      </c>
      <c r="J13" s="109" t="s">
        <v>56</v>
      </c>
      <c r="K13" s="83" t="s">
        <v>57</v>
      </c>
      <c r="L13" s="98" t="s">
        <v>58</v>
      </c>
      <c r="M13" s="109" t="s">
        <v>54</v>
      </c>
      <c r="N13" s="109" t="s">
        <v>55</v>
      </c>
      <c r="O13" s="109" t="s">
        <v>55</v>
      </c>
      <c r="P13" s="83" t="s">
        <v>57</v>
      </c>
      <c r="Q13" s="98" t="s">
        <v>59</v>
      </c>
      <c r="R13" s="107"/>
      <c r="S13" s="108"/>
      <c r="T13" s="99" t="s">
        <v>60</v>
      </c>
      <c r="U13" s="109" t="s">
        <v>61</v>
      </c>
      <c r="V13" s="83" t="s">
        <v>62</v>
      </c>
      <c r="W13" s="83" t="s">
        <v>63</v>
      </c>
      <c r="X13" s="103"/>
      <c r="Y13" s="95"/>
      <c r="Z13" s="96"/>
      <c r="AA13" s="121" t="s">
        <v>64</v>
      </c>
      <c r="AB13" s="122" t="s">
        <v>65</v>
      </c>
      <c r="AC13" s="123" t="s">
        <v>66</v>
      </c>
      <c r="AD13" s="124" t="s">
        <v>67</v>
      </c>
      <c r="AE13" s="125"/>
      <c r="AF13" s="126" t="s">
        <v>68</v>
      </c>
      <c r="AG13" s="127" t="s">
        <v>69</v>
      </c>
      <c r="AH13" s="128"/>
      <c r="AI13" s="126" t="s">
        <v>70</v>
      </c>
      <c r="AJ13" s="127" t="s">
        <v>71</v>
      </c>
      <c r="AK13" s="129"/>
      <c r="AL13" s="126" t="s">
        <v>72</v>
      </c>
      <c r="AM13" s="130" t="s">
        <v>73</v>
      </c>
      <c r="AN13" s="131"/>
      <c r="AO13" s="132" t="s">
        <v>74</v>
      </c>
      <c r="AP13" s="133" t="s">
        <v>75</v>
      </c>
      <c r="AQ13" s="134" t="s">
        <v>76</v>
      </c>
      <c r="AR13" s="135" t="s">
        <v>77</v>
      </c>
      <c r="AS13" s="136"/>
      <c r="AU13" s="97" t="s">
        <v>78</v>
      </c>
      <c r="AV13" s="128" t="s">
        <v>79</v>
      </c>
      <c r="AX13" s="128" t="s">
        <v>80</v>
      </c>
    </row>
    <row r="14" customFormat="false" ht="12.95" hidden="false" customHeight="true" outlineLevel="0" collapsed="false">
      <c r="A14" s="77"/>
      <c r="B14" s="90"/>
      <c r="C14" s="91"/>
      <c r="D14" s="92"/>
      <c r="E14" s="92"/>
      <c r="F14" s="92"/>
      <c r="G14" s="91"/>
      <c r="H14" s="92"/>
      <c r="I14" s="92"/>
      <c r="J14" s="92"/>
      <c r="K14" s="92"/>
      <c r="L14" s="91"/>
      <c r="M14" s="92"/>
      <c r="N14" s="105"/>
      <c r="O14" s="92"/>
      <c r="P14" s="92"/>
      <c r="Q14" s="137"/>
      <c r="R14" s="138"/>
      <c r="S14" s="139"/>
      <c r="T14" s="91"/>
      <c r="U14" s="92"/>
      <c r="V14" s="92"/>
      <c r="W14" s="92"/>
      <c r="X14" s="91"/>
      <c r="Y14" s="95"/>
      <c r="Z14" s="96"/>
      <c r="AA14" s="140"/>
      <c r="AB14" s="141"/>
      <c r="AC14" s="142"/>
      <c r="AD14" s="128"/>
      <c r="AE14" s="128"/>
      <c r="AF14" s="143"/>
      <c r="AG14" s="144"/>
      <c r="AH14" s="128"/>
      <c r="AI14" s="143"/>
      <c r="AJ14" s="145"/>
      <c r="AK14" s="129"/>
      <c r="AL14" s="143"/>
      <c r="AM14" s="144"/>
      <c r="AN14" s="128"/>
      <c r="AO14" s="146"/>
      <c r="AP14" s="147"/>
      <c r="AQ14" s="148"/>
      <c r="AR14" s="149"/>
      <c r="AS14" s="150"/>
    </row>
    <row r="15" customFormat="false" ht="17.1" hidden="false" customHeight="true" outlineLevel="0" collapsed="false">
      <c r="A15" s="151"/>
      <c r="B15" s="152" t="n">
        <f aca="false">C6</f>
        <v>37165</v>
      </c>
      <c r="C15" s="153" t="n">
        <v>20667</v>
      </c>
      <c r="D15" s="154" t="n">
        <v>8450</v>
      </c>
      <c r="E15" s="155" t="n">
        <v>-7189</v>
      </c>
      <c r="F15" s="156" t="n">
        <v>-3156</v>
      </c>
      <c r="G15" s="153" t="n">
        <v>6663</v>
      </c>
      <c r="H15" s="154" t="n">
        <v>23044</v>
      </c>
      <c r="I15" s="155" t="n">
        <v>-15339</v>
      </c>
      <c r="J15" s="156" t="n">
        <v>0</v>
      </c>
      <c r="K15" s="156" t="n">
        <f aca="false">(-G15-H15-I15)*0.0025</f>
        <v>-35.92</v>
      </c>
      <c r="L15" s="153" t="n">
        <v>15930</v>
      </c>
      <c r="M15" s="156" t="n">
        <v>17906</v>
      </c>
      <c r="N15" s="83" t="n">
        <v>-295</v>
      </c>
      <c r="O15" s="83" t="n">
        <v>-1906</v>
      </c>
      <c r="P15" s="83" t="n">
        <f aca="false">(-L15-M15-N15-O15)*0.01</f>
        <v>-316.35</v>
      </c>
      <c r="Q15" s="98" t="n">
        <v>0</v>
      </c>
      <c r="R15" s="100" t="n">
        <f aca="false">SUM(C15,D15,E15,F15,G15,H15,I15,J15,K15,L15,M15,N15,O15,P15,Q15)</f>
        <v>64422.73</v>
      </c>
      <c r="S15" s="101" t="n">
        <v>65505</v>
      </c>
      <c r="T15" s="98" t="n">
        <v>122180</v>
      </c>
      <c r="U15" s="83" t="n">
        <v>913</v>
      </c>
      <c r="V15" s="83" t="n">
        <v>20</v>
      </c>
      <c r="W15" s="83" t="n">
        <v>48</v>
      </c>
      <c r="X15" s="98" t="n">
        <f aca="false">(SUM(T15:W15))+S15</f>
        <v>188666</v>
      </c>
      <c r="Y15" s="157" t="n">
        <f aca="false">R15-S15</f>
        <v>-1082.27</v>
      </c>
      <c r="Z15" s="158"/>
      <c r="AA15" s="159" t="n">
        <f aca="false">R15-D15-H15</f>
        <v>32928.73</v>
      </c>
      <c r="AB15" s="160" t="n">
        <f aca="false">S15</f>
        <v>65505</v>
      </c>
      <c r="AC15" s="161" t="n">
        <f aca="false">S15-D15-H15</f>
        <v>34011</v>
      </c>
      <c r="AD15" s="162" t="n">
        <f aca="false">D15+H15</f>
        <v>31494</v>
      </c>
      <c r="AE15" s="75"/>
      <c r="AF15" s="163" t="n">
        <f aca="false">C15</f>
        <v>20667</v>
      </c>
      <c r="AG15" s="147" t="n">
        <f aca="false">E15</f>
        <v>-7189</v>
      </c>
      <c r="AH15" s="128"/>
      <c r="AI15" s="163" t="n">
        <f aca="false">G15</f>
        <v>6663</v>
      </c>
      <c r="AJ15" s="147" t="n">
        <f aca="false">I15</f>
        <v>-15339</v>
      </c>
      <c r="AK15" s="129"/>
      <c r="AL15" s="160" t="n">
        <f aca="false">L15+M15+P15</f>
        <v>33519.65</v>
      </c>
      <c r="AM15" s="164" t="n">
        <f aca="false">O15+N15</f>
        <v>-2201</v>
      </c>
      <c r="AN15" s="75"/>
      <c r="AO15" s="165" t="n">
        <f aca="false">AF15+AI15+AL15</f>
        <v>60849.65</v>
      </c>
      <c r="AP15" s="147" t="n">
        <f aca="false">AG15+AJ15+AM15+F15+J15</f>
        <v>-27885</v>
      </c>
      <c r="AQ15" s="166" t="n">
        <f aca="false">AO15+AP15</f>
        <v>32964.65</v>
      </c>
      <c r="AR15" s="167" t="n">
        <f aca="false">IF(AQ15-$AQ$8&gt;0,AQ15-$AQ$8,0)</f>
        <v>0</v>
      </c>
      <c r="AS15" s="136"/>
      <c r="AU15" s="158" t="n">
        <f aca="false">AQ15-AC15</f>
        <v>-1046.35</v>
      </c>
      <c r="AV15" s="168" t="n">
        <f aca="false">F15+Q15</f>
        <v>-3156</v>
      </c>
      <c r="AX15" s="169" t="n">
        <f aca="false">$AQ$8-AQ15</f>
        <v>95617.35</v>
      </c>
    </row>
    <row r="16" customFormat="false" ht="17.1" hidden="false" customHeight="true" outlineLevel="0" collapsed="false">
      <c r="A16" s="151"/>
      <c r="B16" s="152" t="n">
        <f aca="false">B15+1</f>
        <v>37166</v>
      </c>
      <c r="C16" s="153" t="n">
        <v>14667</v>
      </c>
      <c r="D16" s="154" t="n">
        <v>8453</v>
      </c>
      <c r="E16" s="155" t="n">
        <v>-9286</v>
      </c>
      <c r="F16" s="156" t="n">
        <v>-3156</v>
      </c>
      <c r="G16" s="153" t="n">
        <v>6624</v>
      </c>
      <c r="H16" s="154" t="n">
        <v>23044</v>
      </c>
      <c r="I16" s="155" t="n">
        <v>-16495</v>
      </c>
      <c r="J16" s="156" t="n">
        <v>0</v>
      </c>
      <c r="K16" s="156" t="n">
        <f aca="false">(-G16-H16-I16)*0.0025</f>
        <v>-32.9325</v>
      </c>
      <c r="L16" s="153" t="n">
        <v>15930</v>
      </c>
      <c r="M16" s="156" t="n">
        <v>17906</v>
      </c>
      <c r="N16" s="83" t="n">
        <v>-295</v>
      </c>
      <c r="O16" s="83" t="n">
        <v>-1906</v>
      </c>
      <c r="P16" s="83" t="n">
        <f aca="false">(-L16-M16-N16-O16)*0.01</f>
        <v>-316.35</v>
      </c>
      <c r="Q16" s="98" t="n">
        <v>0</v>
      </c>
      <c r="R16" s="100" t="n">
        <f aca="false">SUM(C16,D16,E16,F16,G16,H16,I16,J16,K16,L16,M16,N16,O16,P16,Q16)</f>
        <v>55136.7175</v>
      </c>
      <c r="S16" s="101" t="n">
        <v>56522</v>
      </c>
      <c r="T16" s="98" t="n">
        <v>120592</v>
      </c>
      <c r="U16" s="83" t="n">
        <v>167</v>
      </c>
      <c r="V16" s="83" t="n">
        <v>17</v>
      </c>
      <c r="W16" s="83" t="n">
        <v>27</v>
      </c>
      <c r="X16" s="98" t="n">
        <f aca="false">(SUM(T16:W16))+S16</f>
        <v>177325</v>
      </c>
      <c r="Y16" s="157" t="n">
        <f aca="false">R16-S16</f>
        <v>-1385.2825</v>
      </c>
      <c r="Z16" s="158"/>
      <c r="AA16" s="159" t="n">
        <f aca="false">R16-D16-H16</f>
        <v>23639.7175</v>
      </c>
      <c r="AB16" s="160" t="n">
        <f aca="false">S16</f>
        <v>56522</v>
      </c>
      <c r="AC16" s="161" t="n">
        <f aca="false">S16-D16-H16</f>
        <v>25025</v>
      </c>
      <c r="AD16" s="75" t="n">
        <f aca="false">D16+H16</f>
        <v>31497</v>
      </c>
      <c r="AE16" s="75"/>
      <c r="AF16" s="163" t="n">
        <f aca="false">C16</f>
        <v>14667</v>
      </c>
      <c r="AG16" s="147" t="n">
        <f aca="false">E16</f>
        <v>-9286</v>
      </c>
      <c r="AH16" s="128"/>
      <c r="AI16" s="163" t="n">
        <f aca="false">G16</f>
        <v>6624</v>
      </c>
      <c r="AJ16" s="147" t="n">
        <f aca="false">I16</f>
        <v>-16495</v>
      </c>
      <c r="AK16" s="129"/>
      <c r="AL16" s="160" t="n">
        <f aca="false">L16+M16+P16</f>
        <v>33519.65</v>
      </c>
      <c r="AM16" s="164" t="n">
        <f aca="false">O16+N16</f>
        <v>-2201</v>
      </c>
      <c r="AN16" s="75"/>
      <c r="AO16" s="165" t="n">
        <f aca="false">AF16+AI16+AL16</f>
        <v>54810.65</v>
      </c>
      <c r="AP16" s="147" t="n">
        <f aca="false">AG16+AJ16+AM16+F16+J16</f>
        <v>-31138</v>
      </c>
      <c r="AQ16" s="166" t="n">
        <f aca="false">AO16+AP16</f>
        <v>23672.65</v>
      </c>
      <c r="AR16" s="167" t="n">
        <f aca="false">IF(AQ16-$AQ$8&gt;0,AQ16-$AQ$8,0)</f>
        <v>0</v>
      </c>
      <c r="AS16" s="136"/>
      <c r="AU16" s="158" t="n">
        <f aca="false">AQ16-AC16</f>
        <v>-1352.35</v>
      </c>
      <c r="AV16" s="168" t="n">
        <f aca="false">F16+Q16</f>
        <v>-3156</v>
      </c>
      <c r="AX16" s="169" t="n">
        <f aca="false">$AQ$8-AQ16</f>
        <v>104909.35</v>
      </c>
    </row>
    <row r="17" customFormat="false" ht="17.1" hidden="false" customHeight="true" outlineLevel="0" collapsed="false">
      <c r="A17" s="151"/>
      <c r="B17" s="152" t="n">
        <f aca="false">B16+1</f>
        <v>37167</v>
      </c>
      <c r="C17" s="153" t="n">
        <v>14667</v>
      </c>
      <c r="D17" s="154" t="n">
        <v>11453</v>
      </c>
      <c r="E17" s="155" t="n">
        <v>-10480</v>
      </c>
      <c r="F17" s="156" t="n">
        <v>-3156</v>
      </c>
      <c r="G17" s="153" t="n">
        <v>6679</v>
      </c>
      <c r="H17" s="154" t="n">
        <v>23044</v>
      </c>
      <c r="I17" s="155" t="n">
        <v>-15813</v>
      </c>
      <c r="J17" s="156" t="n">
        <v>0</v>
      </c>
      <c r="K17" s="156" t="n">
        <f aca="false">(-G17-H17-I17)*0.0025</f>
        <v>-34.775</v>
      </c>
      <c r="L17" s="153" t="n">
        <v>15930</v>
      </c>
      <c r="M17" s="156" t="n">
        <v>17906</v>
      </c>
      <c r="N17" s="83" t="n">
        <v>-295</v>
      </c>
      <c r="O17" s="83" t="n">
        <v>-1906</v>
      </c>
      <c r="P17" s="83" t="n">
        <f aca="false">(-L17-M17-N17-O17)*0.01</f>
        <v>-316.35</v>
      </c>
      <c r="Q17" s="98" t="n">
        <v>0</v>
      </c>
      <c r="R17" s="100" t="n">
        <f aca="false">SUM(C17,D17,E17,F17,G17,H17,I17,J17,K17,L17,M17,N17,O17,P17,Q17)</f>
        <v>57677.875</v>
      </c>
      <c r="S17" s="101" t="n">
        <v>58785</v>
      </c>
      <c r="T17" s="98" t="n">
        <v>120826</v>
      </c>
      <c r="U17" s="83" t="n">
        <v>199</v>
      </c>
      <c r="V17" s="83" t="n">
        <v>0</v>
      </c>
      <c r="W17" s="83" t="n">
        <v>25</v>
      </c>
      <c r="X17" s="98" t="n">
        <f aca="false">(SUM(T17:W17))+S17</f>
        <v>179835</v>
      </c>
      <c r="Y17" s="157" t="n">
        <f aca="false">R17-S17</f>
        <v>-1107.125</v>
      </c>
      <c r="Z17" s="158"/>
      <c r="AA17" s="159" t="n">
        <f aca="false">R17-D17-H17</f>
        <v>23180.875</v>
      </c>
      <c r="AB17" s="160" t="n">
        <f aca="false">S17</f>
        <v>58785</v>
      </c>
      <c r="AC17" s="161" t="n">
        <f aca="false">S17-D17-H17</f>
        <v>24288</v>
      </c>
      <c r="AD17" s="75" t="n">
        <f aca="false">D17+H17</f>
        <v>34497</v>
      </c>
      <c r="AE17" s="75"/>
      <c r="AF17" s="163" t="n">
        <f aca="false">C17</f>
        <v>14667</v>
      </c>
      <c r="AG17" s="147" t="n">
        <f aca="false">E17</f>
        <v>-10480</v>
      </c>
      <c r="AH17" s="128"/>
      <c r="AI17" s="163" t="n">
        <f aca="false">G17</f>
        <v>6679</v>
      </c>
      <c r="AJ17" s="147" t="n">
        <f aca="false">I17</f>
        <v>-15813</v>
      </c>
      <c r="AK17" s="129"/>
      <c r="AL17" s="160" t="n">
        <f aca="false">L17+M17+P17</f>
        <v>33519.65</v>
      </c>
      <c r="AM17" s="164" t="n">
        <f aca="false">O17+N17</f>
        <v>-2201</v>
      </c>
      <c r="AN17" s="75"/>
      <c r="AO17" s="165" t="n">
        <f aca="false">AF17+AI17+AL17</f>
        <v>54865.65</v>
      </c>
      <c r="AP17" s="147" t="n">
        <f aca="false">AG17+AJ17+AM17+F17+J17</f>
        <v>-31650</v>
      </c>
      <c r="AQ17" s="166" t="n">
        <f aca="false">AO17+AP17</f>
        <v>23215.65</v>
      </c>
      <c r="AR17" s="167" t="n">
        <f aca="false">IF(AQ17-$AQ$8&gt;0,AQ17-$AQ$8,0)</f>
        <v>0</v>
      </c>
      <c r="AS17" s="136"/>
      <c r="AU17" s="158" t="n">
        <f aca="false">AQ17-AC17</f>
        <v>-1072.35</v>
      </c>
      <c r="AV17" s="168" t="n">
        <f aca="false">F17+Q17</f>
        <v>-3156</v>
      </c>
      <c r="AX17" s="169" t="n">
        <f aca="false">$AQ$8-AQ17</f>
        <v>105366.35</v>
      </c>
    </row>
    <row r="18" customFormat="false" ht="17.1" hidden="false" customHeight="true" outlineLevel="0" collapsed="false">
      <c r="A18" s="151"/>
      <c r="B18" s="152" t="n">
        <f aca="false">B17+1</f>
        <v>37168</v>
      </c>
      <c r="C18" s="153" t="n">
        <v>14667</v>
      </c>
      <c r="D18" s="154" t="n">
        <v>11453</v>
      </c>
      <c r="E18" s="155" t="n">
        <v>-9128</v>
      </c>
      <c r="F18" s="156" t="n">
        <v>-3156</v>
      </c>
      <c r="G18" s="153" t="n">
        <v>6639</v>
      </c>
      <c r="H18" s="154" t="n">
        <v>23044</v>
      </c>
      <c r="I18" s="155" t="n">
        <v>-15395</v>
      </c>
      <c r="J18" s="156" t="n">
        <v>0</v>
      </c>
      <c r="K18" s="156" t="n">
        <f aca="false">(-G18-H18-I18)*0.0025</f>
        <v>-35.72</v>
      </c>
      <c r="L18" s="153" t="n">
        <v>15930</v>
      </c>
      <c r="M18" s="156" t="n">
        <v>17906</v>
      </c>
      <c r="N18" s="83" t="n">
        <v>-295</v>
      </c>
      <c r="O18" s="83" t="n">
        <v>-1906</v>
      </c>
      <c r="P18" s="83" t="n">
        <f aca="false">(-L18-M18-N18-O18)*0.01</f>
        <v>-316.35</v>
      </c>
      <c r="Q18" s="98" t="n">
        <v>0</v>
      </c>
      <c r="R18" s="100" t="n">
        <f aca="false">SUM(C18,D18,E18,F18,G18,H18,I18,J18,K18,L18,M18,N18,O18,P18,Q18)</f>
        <v>59406.93</v>
      </c>
      <c r="S18" s="101" t="n">
        <v>60705</v>
      </c>
      <c r="T18" s="98" t="n">
        <v>116500</v>
      </c>
      <c r="U18" s="83" t="n">
        <v>321</v>
      </c>
      <c r="V18" s="83" t="n">
        <v>0</v>
      </c>
      <c r="W18" s="83" t="n">
        <v>225</v>
      </c>
      <c r="X18" s="98" t="n">
        <f aca="false">(SUM(T18:W18))+S18</f>
        <v>177751</v>
      </c>
      <c r="Y18" s="157" t="n">
        <f aca="false">R18-S18</f>
        <v>-1298.07</v>
      </c>
      <c r="Z18" s="158"/>
      <c r="AA18" s="159" t="n">
        <f aca="false">R18-D18-H18</f>
        <v>24909.93</v>
      </c>
      <c r="AB18" s="160" t="n">
        <f aca="false">S18</f>
        <v>60705</v>
      </c>
      <c r="AC18" s="161" t="n">
        <f aca="false">S18-D18-H18</f>
        <v>26208</v>
      </c>
      <c r="AD18" s="75" t="n">
        <f aca="false">D18+H18</f>
        <v>34497</v>
      </c>
      <c r="AE18" s="75"/>
      <c r="AF18" s="163" t="n">
        <f aca="false">C18</f>
        <v>14667</v>
      </c>
      <c r="AG18" s="147" t="n">
        <f aca="false">E18</f>
        <v>-9128</v>
      </c>
      <c r="AH18" s="128"/>
      <c r="AI18" s="163" t="n">
        <f aca="false">G18</f>
        <v>6639</v>
      </c>
      <c r="AJ18" s="147" t="n">
        <f aca="false">I18</f>
        <v>-15395</v>
      </c>
      <c r="AK18" s="129"/>
      <c r="AL18" s="160" t="n">
        <f aca="false">L18+M18+P18</f>
        <v>33519.65</v>
      </c>
      <c r="AM18" s="164" t="n">
        <f aca="false">O18+N18</f>
        <v>-2201</v>
      </c>
      <c r="AN18" s="75"/>
      <c r="AO18" s="165" t="n">
        <f aca="false">AF18+AI18+AL18</f>
        <v>54825.65</v>
      </c>
      <c r="AP18" s="147" t="n">
        <f aca="false">AG18+AJ18+AM18+F18+J18</f>
        <v>-29880</v>
      </c>
      <c r="AQ18" s="166" t="n">
        <f aca="false">AO18+AP18</f>
        <v>24945.65</v>
      </c>
      <c r="AR18" s="167" t="n">
        <f aca="false">IF(AQ18-$AQ$8&gt;0,AQ18-$AQ$8,0)</f>
        <v>0</v>
      </c>
      <c r="AS18" s="136"/>
      <c r="AU18" s="158" t="n">
        <f aca="false">AQ18-AC18</f>
        <v>-1262.35</v>
      </c>
      <c r="AV18" s="168" t="n">
        <f aca="false">F18+Q18</f>
        <v>-3156</v>
      </c>
      <c r="AX18" s="169" t="n">
        <f aca="false">$AQ$8-AQ18</f>
        <v>103636.35</v>
      </c>
    </row>
    <row r="19" customFormat="false" ht="17.1" hidden="false" customHeight="true" outlineLevel="0" collapsed="false">
      <c r="A19" s="151"/>
      <c r="B19" s="152" t="n">
        <f aca="false">B18+1</f>
        <v>37169</v>
      </c>
      <c r="C19" s="153" t="n">
        <v>16155</v>
      </c>
      <c r="D19" s="154" t="n">
        <v>7731</v>
      </c>
      <c r="E19" s="155" t="n">
        <v>-11161</v>
      </c>
      <c r="F19" s="156" t="n">
        <v>-3156</v>
      </c>
      <c r="G19" s="153" t="n">
        <v>7192</v>
      </c>
      <c r="H19" s="154" t="n">
        <v>23044</v>
      </c>
      <c r="I19" s="155" t="n">
        <v>-15961</v>
      </c>
      <c r="J19" s="156" t="n">
        <v>0</v>
      </c>
      <c r="K19" s="156" t="n">
        <f aca="false">(-G19-H19-I19)*0.0025</f>
        <v>-35.6875</v>
      </c>
      <c r="L19" s="153" t="n">
        <v>15930</v>
      </c>
      <c r="M19" s="156" t="n">
        <v>17906</v>
      </c>
      <c r="N19" s="83" t="n">
        <v>-295</v>
      </c>
      <c r="O19" s="83" t="n">
        <v>-1906</v>
      </c>
      <c r="P19" s="83" t="n">
        <f aca="false">(-L19-M19-N19-O19)*0.01</f>
        <v>-316.35</v>
      </c>
      <c r="Q19" s="98" t="n">
        <v>0</v>
      </c>
      <c r="R19" s="100" t="n">
        <f aca="false">SUM(C19,D19,E19,F19,G19,H19,I19,J19,K19,L19,M19,N19,O19,P19,Q19)</f>
        <v>55126.9625</v>
      </c>
      <c r="S19" s="101" t="n">
        <v>56702</v>
      </c>
      <c r="T19" s="98" t="n">
        <v>68957</v>
      </c>
      <c r="U19" s="83" t="n">
        <v>100</v>
      </c>
      <c r="V19" s="83" t="n">
        <v>3</v>
      </c>
      <c r="W19" s="83" t="n">
        <v>0</v>
      </c>
      <c r="X19" s="98" t="n">
        <f aca="false">(SUM(T19:W19))+S19</f>
        <v>125762</v>
      </c>
      <c r="Y19" s="157" t="n">
        <f aca="false">R19-S19</f>
        <v>-1575.0375</v>
      </c>
      <c r="Z19" s="158"/>
      <c r="AA19" s="159" t="n">
        <f aca="false">R19-D19-H19</f>
        <v>24351.9625</v>
      </c>
      <c r="AB19" s="160" t="n">
        <f aca="false">S19</f>
        <v>56702</v>
      </c>
      <c r="AC19" s="161" t="n">
        <f aca="false">S19-D19-H19</f>
        <v>25927</v>
      </c>
      <c r="AD19" s="75" t="n">
        <f aca="false">D19+H19</f>
        <v>30775</v>
      </c>
      <c r="AE19" s="75"/>
      <c r="AF19" s="163" t="n">
        <f aca="false">C19</f>
        <v>16155</v>
      </c>
      <c r="AG19" s="147" t="n">
        <f aca="false">E19</f>
        <v>-11161</v>
      </c>
      <c r="AH19" s="128"/>
      <c r="AI19" s="163" t="n">
        <f aca="false">G19</f>
        <v>7192</v>
      </c>
      <c r="AJ19" s="147" t="n">
        <f aca="false">I19</f>
        <v>-15961</v>
      </c>
      <c r="AK19" s="129"/>
      <c r="AL19" s="160" t="n">
        <f aca="false">L19+M19+P19</f>
        <v>33519.65</v>
      </c>
      <c r="AM19" s="164" t="n">
        <f aca="false">O19+N19</f>
        <v>-2201</v>
      </c>
      <c r="AN19" s="75"/>
      <c r="AO19" s="165" t="n">
        <f aca="false">AF19+AI19+AL19</f>
        <v>56866.65</v>
      </c>
      <c r="AP19" s="147" t="n">
        <f aca="false">AG19+AJ19+AM19+F19+J19</f>
        <v>-32479</v>
      </c>
      <c r="AQ19" s="166" t="n">
        <f aca="false">AO19+AP19</f>
        <v>24387.65</v>
      </c>
      <c r="AR19" s="167" t="n">
        <f aca="false">IF(AQ19-$AQ$8&gt;0,AQ19-$AQ$8,0)</f>
        <v>0</v>
      </c>
      <c r="AS19" s="136"/>
      <c r="AU19" s="158" t="n">
        <f aca="false">AQ19-AC19</f>
        <v>-1539.35</v>
      </c>
      <c r="AV19" s="168" t="n">
        <f aca="false">F19+Q19</f>
        <v>-3156</v>
      </c>
      <c r="AX19" s="169" t="n">
        <f aca="false">$AQ$8-AQ19</f>
        <v>104194.35</v>
      </c>
    </row>
    <row r="20" customFormat="false" ht="17.1" hidden="false" customHeight="true" outlineLevel="0" collapsed="false">
      <c r="A20" s="151"/>
      <c r="B20" s="152" t="n">
        <f aca="false">B19+1</f>
        <v>37170</v>
      </c>
      <c r="C20" s="153" t="n">
        <v>24667</v>
      </c>
      <c r="D20" s="154" t="n">
        <v>8453</v>
      </c>
      <c r="E20" s="155" t="n">
        <v>-10838</v>
      </c>
      <c r="F20" s="156" t="n">
        <v>-3156</v>
      </c>
      <c r="G20" s="153" t="n">
        <v>7025</v>
      </c>
      <c r="H20" s="154" t="n">
        <v>22995</v>
      </c>
      <c r="I20" s="155" t="n">
        <v>-16316</v>
      </c>
      <c r="J20" s="156" t="n">
        <v>0</v>
      </c>
      <c r="K20" s="156" t="n">
        <f aca="false">(-G20-H20-I20)*0.0025</f>
        <v>-34.26</v>
      </c>
      <c r="L20" s="153" t="n">
        <v>15930</v>
      </c>
      <c r="M20" s="156" t="n">
        <v>17906</v>
      </c>
      <c r="N20" s="83" t="n">
        <v>-295</v>
      </c>
      <c r="O20" s="83" t="n">
        <v>-1906</v>
      </c>
      <c r="P20" s="83" t="n">
        <f aca="false">(-L20-M20-N20-O20)*0.01</f>
        <v>-316.35</v>
      </c>
      <c r="Q20" s="98" t="n">
        <v>0</v>
      </c>
      <c r="R20" s="100" t="n">
        <f aca="false">SUM(C20,D20,E20,F20,G20,H20,I20,J20,K20,L20,M20,N20,O20,P20,Q20)</f>
        <v>64114.39</v>
      </c>
      <c r="S20" s="101" t="n">
        <v>65611</v>
      </c>
      <c r="T20" s="98" t="n">
        <v>21403</v>
      </c>
      <c r="U20" s="83" t="n">
        <v>1212</v>
      </c>
      <c r="V20" s="83" t="n">
        <v>0</v>
      </c>
      <c r="W20" s="83" t="n">
        <v>58</v>
      </c>
      <c r="X20" s="98" t="n">
        <f aca="false">(SUM(T20:W20))+S20</f>
        <v>88284</v>
      </c>
      <c r="Y20" s="157" t="n">
        <f aca="false">R20-S20</f>
        <v>-1496.61</v>
      </c>
      <c r="Z20" s="158"/>
      <c r="AA20" s="159" t="n">
        <f aca="false">R20-D20-H20</f>
        <v>32666.39</v>
      </c>
      <c r="AB20" s="160" t="n">
        <f aca="false">S20</f>
        <v>65611</v>
      </c>
      <c r="AC20" s="161" t="n">
        <f aca="false">S20-D20-H20</f>
        <v>34163</v>
      </c>
      <c r="AD20" s="75" t="n">
        <f aca="false">D20+H20</f>
        <v>31448</v>
      </c>
      <c r="AE20" s="75"/>
      <c r="AF20" s="163" t="n">
        <f aca="false">C20</f>
        <v>24667</v>
      </c>
      <c r="AG20" s="147" t="n">
        <f aca="false">E20</f>
        <v>-10838</v>
      </c>
      <c r="AH20" s="128"/>
      <c r="AI20" s="163" t="n">
        <f aca="false">G20</f>
        <v>7025</v>
      </c>
      <c r="AJ20" s="147" t="n">
        <f aca="false">I20</f>
        <v>-16316</v>
      </c>
      <c r="AK20" s="129"/>
      <c r="AL20" s="160" t="n">
        <f aca="false">L20+M20+P20</f>
        <v>33519.65</v>
      </c>
      <c r="AM20" s="164" t="n">
        <f aca="false">O20+N20</f>
        <v>-2201</v>
      </c>
      <c r="AN20" s="75"/>
      <c r="AO20" s="165" t="n">
        <f aca="false">AF20+AI20+AL20</f>
        <v>65211.65</v>
      </c>
      <c r="AP20" s="147" t="n">
        <f aca="false">AG20+AJ20+AM20+F20+J20</f>
        <v>-32511</v>
      </c>
      <c r="AQ20" s="166" t="n">
        <f aca="false">AO20+AP20</f>
        <v>32700.65</v>
      </c>
      <c r="AR20" s="167" t="n">
        <f aca="false">IF(AQ20-$AQ$8&gt;0,AQ20-$AQ$8,0)</f>
        <v>0</v>
      </c>
      <c r="AS20" s="136"/>
      <c r="AU20" s="158" t="n">
        <f aca="false">AQ20-AC20</f>
        <v>-1462.35</v>
      </c>
      <c r="AV20" s="168" t="n">
        <f aca="false">F20+Q20</f>
        <v>-3156</v>
      </c>
      <c r="AX20" s="169" t="n">
        <f aca="false">$AQ$8-AQ20</f>
        <v>95881.35</v>
      </c>
    </row>
    <row r="21" customFormat="false" ht="17.1" hidden="false" customHeight="true" outlineLevel="0" collapsed="false">
      <c r="A21" s="151"/>
      <c r="B21" s="152" t="n">
        <f aca="false">B20+1</f>
        <v>37171</v>
      </c>
      <c r="C21" s="153" t="n">
        <v>24667</v>
      </c>
      <c r="D21" s="154" t="n">
        <v>8453</v>
      </c>
      <c r="E21" s="155" t="n">
        <v>-2411</v>
      </c>
      <c r="F21" s="156" t="n">
        <v>-3156</v>
      </c>
      <c r="G21" s="153" t="n">
        <v>4708</v>
      </c>
      <c r="H21" s="154" t="n">
        <v>23044</v>
      </c>
      <c r="I21" s="155" t="n">
        <v>-11323</v>
      </c>
      <c r="J21" s="156" t="n">
        <v>0</v>
      </c>
      <c r="K21" s="156" t="n">
        <f aca="false">(-G21-H21-I21)*0.0025</f>
        <v>-41.0725</v>
      </c>
      <c r="L21" s="153" t="n">
        <v>15930</v>
      </c>
      <c r="M21" s="156" t="n">
        <v>17906</v>
      </c>
      <c r="N21" s="83" t="n">
        <v>-295</v>
      </c>
      <c r="O21" s="83" t="n">
        <v>-1906</v>
      </c>
      <c r="P21" s="83" t="n">
        <f aca="false">(-L21-M21-N21-O21)*0.01</f>
        <v>-316.35</v>
      </c>
      <c r="Q21" s="98" t="n">
        <v>0</v>
      </c>
      <c r="R21" s="100" t="n">
        <f aca="false">SUM(C21,D21,E21,F21,G21,H21,I21,J21,K21,L21,M21,N21,O21,P21,Q21)</f>
        <v>75259.5775</v>
      </c>
      <c r="S21" s="101" t="n">
        <v>76711</v>
      </c>
      <c r="T21" s="98" t="n">
        <v>11788</v>
      </c>
      <c r="U21" s="83" t="n">
        <v>1508</v>
      </c>
      <c r="V21" s="83" t="n">
        <v>185</v>
      </c>
      <c r="W21" s="83" t="n">
        <v>332</v>
      </c>
      <c r="X21" s="98" t="n">
        <f aca="false">(SUM(T21:W21))+S21</f>
        <v>90524</v>
      </c>
      <c r="Y21" s="157" t="n">
        <f aca="false">R21-S21</f>
        <v>-1451.4225</v>
      </c>
      <c r="Z21" s="158"/>
      <c r="AA21" s="159" t="n">
        <f aca="false">R21-D21-H21</f>
        <v>43762.5775</v>
      </c>
      <c r="AB21" s="160" t="n">
        <f aca="false">S21</f>
        <v>76711</v>
      </c>
      <c r="AC21" s="161" t="n">
        <f aca="false">S21-D21-H21</f>
        <v>45214</v>
      </c>
      <c r="AD21" s="75" t="n">
        <f aca="false">D21+H21</f>
        <v>31497</v>
      </c>
      <c r="AE21" s="75"/>
      <c r="AF21" s="163" t="n">
        <f aca="false">C21</f>
        <v>24667</v>
      </c>
      <c r="AG21" s="147" t="n">
        <f aca="false">E21</f>
        <v>-2411</v>
      </c>
      <c r="AH21" s="128"/>
      <c r="AI21" s="163" t="n">
        <f aca="false">G21</f>
        <v>4708</v>
      </c>
      <c r="AJ21" s="147" t="n">
        <f aca="false">I21</f>
        <v>-11323</v>
      </c>
      <c r="AK21" s="129"/>
      <c r="AL21" s="160" t="n">
        <f aca="false">L21+M21+P21</f>
        <v>33519.65</v>
      </c>
      <c r="AM21" s="164" t="n">
        <f aca="false">O21+N21</f>
        <v>-2201</v>
      </c>
      <c r="AN21" s="75"/>
      <c r="AO21" s="165" t="n">
        <f aca="false">AF21+AI21+AL21</f>
        <v>62894.65</v>
      </c>
      <c r="AP21" s="147" t="n">
        <f aca="false">AG21+AJ21+AM21+F21+J21</f>
        <v>-19091</v>
      </c>
      <c r="AQ21" s="166" t="n">
        <f aca="false">AO21+AP21</f>
        <v>43803.65</v>
      </c>
      <c r="AR21" s="167" t="n">
        <f aca="false">IF(AQ21-$AQ$8&gt;0,AQ21-$AQ$8,0)</f>
        <v>0</v>
      </c>
      <c r="AS21" s="136"/>
      <c r="AU21" s="158" t="n">
        <f aca="false">AQ21-AC21</f>
        <v>-1410.35</v>
      </c>
      <c r="AV21" s="168" t="n">
        <f aca="false">F21+Q21</f>
        <v>-3156</v>
      </c>
      <c r="AX21" s="169" t="n">
        <f aca="false">$AQ$8-AQ21</f>
        <v>84778.35</v>
      </c>
    </row>
    <row r="22" customFormat="false" ht="17.1" hidden="false" customHeight="true" outlineLevel="0" collapsed="false">
      <c r="A22" s="151"/>
      <c r="B22" s="152" t="n">
        <f aca="false">B21+1</f>
        <v>37172</v>
      </c>
      <c r="C22" s="153" t="n">
        <v>33239</v>
      </c>
      <c r="D22" s="154" t="n">
        <v>8453</v>
      </c>
      <c r="E22" s="155" t="n">
        <v>12108</v>
      </c>
      <c r="F22" s="156" t="n">
        <v>-3156</v>
      </c>
      <c r="G22" s="153" t="n">
        <v>4610</v>
      </c>
      <c r="H22" s="154" t="n">
        <v>23044</v>
      </c>
      <c r="I22" s="155" t="n">
        <v>-8933</v>
      </c>
      <c r="J22" s="156" t="n">
        <v>0</v>
      </c>
      <c r="K22" s="156" t="n">
        <f aca="false">(-G22-H22-I22)*0.0025</f>
        <v>-46.8025</v>
      </c>
      <c r="L22" s="153" t="n">
        <v>15930</v>
      </c>
      <c r="M22" s="156" t="n">
        <v>17906</v>
      </c>
      <c r="N22" s="83" t="n">
        <v>-295</v>
      </c>
      <c r="O22" s="83" t="n">
        <v>-1906</v>
      </c>
      <c r="P22" s="83" t="n">
        <f aca="false">(-L22-M22-N22-O22)*0.01</f>
        <v>-316.35</v>
      </c>
      <c r="Q22" s="98" t="n">
        <v>0</v>
      </c>
      <c r="R22" s="100" t="n">
        <f aca="false">SUM(C22,D22,E22,F22,G22,H22,I22,J22,K22,L22,M22,N22,O22,P22,Q22)</f>
        <v>100636.8475</v>
      </c>
      <c r="S22" s="101" t="n">
        <v>102124</v>
      </c>
      <c r="T22" s="98" t="n">
        <v>54047</v>
      </c>
      <c r="U22" s="83" t="n">
        <v>1770</v>
      </c>
      <c r="V22" s="83" t="n">
        <v>53</v>
      </c>
      <c r="W22" s="83" t="n">
        <v>682</v>
      </c>
      <c r="X22" s="98" t="n">
        <f aca="false">(SUM(T22:W22))+S22</f>
        <v>158676</v>
      </c>
      <c r="Y22" s="157" t="n">
        <f aca="false">R22-S22</f>
        <v>-1487.1525</v>
      </c>
      <c r="Z22" s="158"/>
      <c r="AA22" s="159" t="n">
        <f aca="false">R22-D22-H22</f>
        <v>69139.8475</v>
      </c>
      <c r="AB22" s="160" t="n">
        <f aca="false">S22</f>
        <v>102124</v>
      </c>
      <c r="AC22" s="161" t="n">
        <f aca="false">S22-D22-H22</f>
        <v>70627</v>
      </c>
      <c r="AD22" s="75" t="n">
        <f aca="false">D22+H22</f>
        <v>31497</v>
      </c>
      <c r="AE22" s="75"/>
      <c r="AF22" s="163" t="n">
        <f aca="false">C22</f>
        <v>33239</v>
      </c>
      <c r="AG22" s="147" t="n">
        <f aca="false">E22</f>
        <v>12108</v>
      </c>
      <c r="AH22" s="128"/>
      <c r="AI22" s="163" t="n">
        <f aca="false">G22</f>
        <v>4610</v>
      </c>
      <c r="AJ22" s="147" t="n">
        <f aca="false">I22</f>
        <v>-8933</v>
      </c>
      <c r="AK22" s="129"/>
      <c r="AL22" s="160" t="n">
        <f aca="false">L22+M22+P22</f>
        <v>33519.65</v>
      </c>
      <c r="AM22" s="164" t="n">
        <f aca="false">O22+N22</f>
        <v>-2201</v>
      </c>
      <c r="AN22" s="75"/>
      <c r="AO22" s="165" t="n">
        <f aca="false">AF22+AI22+AL22</f>
        <v>71368.65</v>
      </c>
      <c r="AP22" s="147" t="n">
        <f aca="false">AG22+AJ22+AM22+F22+J22</f>
        <v>-2182</v>
      </c>
      <c r="AQ22" s="166" t="n">
        <f aca="false">AO22+AP22</f>
        <v>69186.65</v>
      </c>
      <c r="AR22" s="167" t="n">
        <f aca="false">IF(AQ22-$AQ$8&gt;0,AQ22-$AQ$8,0)</f>
        <v>0</v>
      </c>
      <c r="AS22" s="136"/>
      <c r="AU22" s="158" t="n">
        <f aca="false">AQ22-AC22</f>
        <v>-1440.35000000001</v>
      </c>
      <c r="AV22" s="168" t="n">
        <f aca="false">F22+Q22</f>
        <v>-3156</v>
      </c>
      <c r="AX22" s="169" t="n">
        <f aca="false">$AQ$8-AQ22</f>
        <v>59395.35</v>
      </c>
    </row>
    <row r="23" customFormat="false" ht="17.1" hidden="false" customHeight="true" outlineLevel="0" collapsed="false">
      <c r="A23" s="151"/>
      <c r="B23" s="152" t="n">
        <f aca="false">B22+1</f>
        <v>37173</v>
      </c>
      <c r="C23" s="153" t="n">
        <v>51137</v>
      </c>
      <c r="D23" s="154" t="n">
        <v>8453</v>
      </c>
      <c r="E23" s="155" t="n">
        <v>-18646</v>
      </c>
      <c r="F23" s="156" t="n">
        <v>-3156</v>
      </c>
      <c r="G23" s="153" t="n">
        <v>6601</v>
      </c>
      <c r="H23" s="154" t="n">
        <v>14744</v>
      </c>
      <c r="I23" s="155" t="n">
        <v>-6767</v>
      </c>
      <c r="J23" s="156" t="n">
        <v>0</v>
      </c>
      <c r="K23" s="156" t="n">
        <f aca="false">(-G23-H23-I23)*0.0025</f>
        <v>-36.445</v>
      </c>
      <c r="L23" s="153" t="n">
        <v>15930</v>
      </c>
      <c r="M23" s="156" t="n">
        <v>17906</v>
      </c>
      <c r="N23" s="83" t="n">
        <v>-295</v>
      </c>
      <c r="O23" s="83" t="n">
        <v>-1906</v>
      </c>
      <c r="P23" s="83" t="n">
        <f aca="false">(-L23-M23-N23-O23)*0.01</f>
        <v>-316.35</v>
      </c>
      <c r="Q23" s="98" t="n">
        <v>0</v>
      </c>
      <c r="R23" s="100" t="n">
        <f aca="false">SUM(C23,D23,E23,F23,G23,H23,I23,J23,K23,L23,M23,N23,O23,P23,Q23)</f>
        <v>83648.205</v>
      </c>
      <c r="S23" s="101" t="n">
        <v>85808</v>
      </c>
      <c r="T23" s="98" t="n">
        <v>58201</v>
      </c>
      <c r="U23" s="83" t="n">
        <v>1438</v>
      </c>
      <c r="V23" s="83" t="n">
        <v>0</v>
      </c>
      <c r="W23" s="83" t="n">
        <v>195</v>
      </c>
      <c r="X23" s="98" t="n">
        <f aca="false">(SUM(T23:W23))+S23</f>
        <v>145642</v>
      </c>
      <c r="Y23" s="157" t="n">
        <f aca="false">R23-S23</f>
        <v>-2159.795</v>
      </c>
      <c r="Z23" s="158"/>
      <c r="AA23" s="159" t="n">
        <f aca="false">R23-D23-H23</f>
        <v>60451.205</v>
      </c>
      <c r="AB23" s="160" t="n">
        <f aca="false">S23</f>
        <v>85808</v>
      </c>
      <c r="AC23" s="161" t="n">
        <f aca="false">S23-D23-H23</f>
        <v>62611</v>
      </c>
      <c r="AD23" s="75" t="n">
        <f aca="false">D23+H23</f>
        <v>23197</v>
      </c>
      <c r="AE23" s="170"/>
      <c r="AF23" s="163" t="n">
        <f aca="false">C23</f>
        <v>51137</v>
      </c>
      <c r="AG23" s="147" t="n">
        <f aca="false">E23</f>
        <v>-18646</v>
      </c>
      <c r="AH23" s="128"/>
      <c r="AI23" s="163" t="n">
        <f aca="false">G23</f>
        <v>6601</v>
      </c>
      <c r="AJ23" s="147" t="n">
        <f aca="false">I23</f>
        <v>-6767</v>
      </c>
      <c r="AK23" s="129"/>
      <c r="AL23" s="160" t="n">
        <f aca="false">L23+M23+P23</f>
        <v>33519.65</v>
      </c>
      <c r="AM23" s="164" t="n">
        <f aca="false">O23+N23</f>
        <v>-2201</v>
      </c>
      <c r="AN23" s="75"/>
      <c r="AO23" s="165" t="n">
        <f aca="false">AF23+AI23+AL23</f>
        <v>91257.65</v>
      </c>
      <c r="AP23" s="147" t="n">
        <f aca="false">AG23+AJ23+AM23+F23+J23</f>
        <v>-30770</v>
      </c>
      <c r="AQ23" s="166" t="n">
        <f aca="false">AO23+AP23</f>
        <v>60487.65</v>
      </c>
      <c r="AR23" s="167" t="n">
        <f aca="false">IF(AQ23-$AQ$8&gt;0,AQ23-$AQ$8,0)</f>
        <v>0</v>
      </c>
      <c r="AS23" s="136"/>
      <c r="AU23" s="158" t="n">
        <f aca="false">AQ23-AC23</f>
        <v>-2123.35000000001</v>
      </c>
      <c r="AV23" s="168" t="n">
        <f aca="false">F23+Q23</f>
        <v>-3156</v>
      </c>
      <c r="AX23" s="169" t="n">
        <f aca="false">$AQ$8-AQ23</f>
        <v>68094.35</v>
      </c>
    </row>
    <row r="24" customFormat="false" ht="17.1" hidden="false" customHeight="true" outlineLevel="0" collapsed="false">
      <c r="A24" s="151"/>
      <c r="B24" s="152" t="n">
        <f aca="false">B23+1</f>
        <v>37174</v>
      </c>
      <c r="C24" s="153" t="n">
        <v>24667</v>
      </c>
      <c r="D24" s="154" t="n">
        <v>9815</v>
      </c>
      <c r="E24" s="155" t="n">
        <v>-13267</v>
      </c>
      <c r="F24" s="156" t="n">
        <v>-3156</v>
      </c>
      <c r="G24" s="153" t="n">
        <v>6664</v>
      </c>
      <c r="H24" s="154" t="n">
        <v>23744</v>
      </c>
      <c r="I24" s="155" t="n">
        <v>-14206</v>
      </c>
      <c r="J24" s="156" t="n">
        <v>0</v>
      </c>
      <c r="K24" s="156" t="n">
        <f aca="false">(-G24-H24-I24)*0.0025</f>
        <v>-40.505</v>
      </c>
      <c r="L24" s="153" t="n">
        <v>15930</v>
      </c>
      <c r="M24" s="156" t="n">
        <v>17906</v>
      </c>
      <c r="N24" s="83" t="n">
        <v>-295</v>
      </c>
      <c r="O24" s="83" t="n">
        <v>-1906</v>
      </c>
      <c r="P24" s="83" t="n">
        <f aca="false">(-L24-M24-N24-O24)*0.01</f>
        <v>-316.35</v>
      </c>
      <c r="Q24" s="98" t="n">
        <v>0</v>
      </c>
      <c r="R24" s="100" t="n">
        <f aca="false">SUM(C24,D24,E24,F24,G24,H24,I24,J24,K24,L24,M24,N24,O24,P24,Q24)</f>
        <v>65539.145</v>
      </c>
      <c r="S24" s="101" t="n">
        <v>67709</v>
      </c>
      <c r="T24" s="98" t="n">
        <v>38429</v>
      </c>
      <c r="U24" s="83" t="n">
        <v>520</v>
      </c>
      <c r="V24" s="83" t="n">
        <v>0</v>
      </c>
      <c r="W24" s="83" t="n">
        <v>36</v>
      </c>
      <c r="X24" s="98" t="n">
        <f aca="false">(SUM(T24:W24))+S24</f>
        <v>106694</v>
      </c>
      <c r="Y24" s="157" t="n">
        <f aca="false">R24-S24</f>
        <v>-2169.855</v>
      </c>
      <c r="Z24" s="158"/>
      <c r="AA24" s="159" t="n">
        <f aca="false">R24-D24-H24</f>
        <v>31980.145</v>
      </c>
      <c r="AB24" s="160" t="n">
        <f aca="false">S24</f>
        <v>67709</v>
      </c>
      <c r="AC24" s="161" t="n">
        <f aca="false">S24-D24-H24</f>
        <v>34150</v>
      </c>
      <c r="AD24" s="75" t="n">
        <f aca="false">D24+H24</f>
        <v>33559</v>
      </c>
      <c r="AE24" s="75"/>
      <c r="AF24" s="163" t="n">
        <f aca="false">C24</f>
        <v>24667</v>
      </c>
      <c r="AG24" s="147" t="n">
        <f aca="false">E24</f>
        <v>-13267</v>
      </c>
      <c r="AH24" s="128"/>
      <c r="AI24" s="163" t="n">
        <f aca="false">G24</f>
        <v>6664</v>
      </c>
      <c r="AJ24" s="147" t="n">
        <f aca="false">I24</f>
        <v>-14206</v>
      </c>
      <c r="AK24" s="129"/>
      <c r="AL24" s="160" t="n">
        <f aca="false">L24+M24+P24</f>
        <v>33519.65</v>
      </c>
      <c r="AM24" s="164" t="n">
        <f aca="false">O24+N24</f>
        <v>-2201</v>
      </c>
      <c r="AN24" s="75"/>
      <c r="AO24" s="165" t="n">
        <f aca="false">AF24+AI24+AL24</f>
        <v>64850.65</v>
      </c>
      <c r="AP24" s="147" t="n">
        <f aca="false">AG24+AJ24+AM24+F24+J24</f>
        <v>-32830</v>
      </c>
      <c r="AQ24" s="166" t="n">
        <f aca="false">AO24+AP24</f>
        <v>32020.65</v>
      </c>
      <c r="AR24" s="167" t="n">
        <f aca="false">IF(AQ24-$AQ$8&gt;0,AQ24-$AQ$8,0)</f>
        <v>0</v>
      </c>
      <c r="AS24" s="136"/>
      <c r="AU24" s="158" t="n">
        <f aca="false">AQ24-AC24</f>
        <v>-2129.35</v>
      </c>
      <c r="AV24" s="168" t="n">
        <f aca="false">F24+Q24</f>
        <v>-3156</v>
      </c>
      <c r="AX24" s="169" t="n">
        <f aca="false">$AQ$8-AQ24</f>
        <v>96561.35</v>
      </c>
    </row>
    <row r="25" customFormat="false" ht="17.1" hidden="false" customHeight="true" outlineLevel="0" collapsed="false">
      <c r="A25" s="151"/>
      <c r="B25" s="152" t="n">
        <f aca="false">B24+1</f>
        <v>37175</v>
      </c>
      <c r="C25" s="153" t="n">
        <v>14667</v>
      </c>
      <c r="D25" s="154" t="n">
        <v>8531</v>
      </c>
      <c r="E25" s="155" t="n">
        <v>-8218</v>
      </c>
      <c r="F25" s="156" t="n">
        <v>-3156</v>
      </c>
      <c r="G25" s="153" t="n">
        <v>11689</v>
      </c>
      <c r="H25" s="154" t="n">
        <v>22744</v>
      </c>
      <c r="I25" s="155" t="n">
        <v>-15312</v>
      </c>
      <c r="J25" s="156" t="n">
        <v>0</v>
      </c>
      <c r="K25" s="156" t="n">
        <f aca="false">(-G25-H25-I25)*0.0025</f>
        <v>-47.8025</v>
      </c>
      <c r="L25" s="153" t="n">
        <v>15930</v>
      </c>
      <c r="M25" s="156" t="n">
        <v>17906</v>
      </c>
      <c r="N25" s="83" t="n">
        <v>-295</v>
      </c>
      <c r="O25" s="83" t="n">
        <v>-1906</v>
      </c>
      <c r="P25" s="83" t="n">
        <f aca="false">(-L25-M25-N25-O25)*0.01</f>
        <v>-316.35</v>
      </c>
      <c r="Q25" s="98" t="n">
        <v>0</v>
      </c>
      <c r="R25" s="100" t="n">
        <f aca="false">SUM(C25,D25,E25,F25,G25,H25,I25,J25,K25,L25,M25,N25,O25,P25,Q25)</f>
        <v>62215.8475</v>
      </c>
      <c r="S25" s="101" t="n">
        <v>63895</v>
      </c>
      <c r="T25" s="98" t="n">
        <v>56594</v>
      </c>
      <c r="U25" s="83" t="n">
        <v>328</v>
      </c>
      <c r="V25" s="83" t="n">
        <v>0</v>
      </c>
      <c r="W25" s="83" t="n">
        <v>21</v>
      </c>
      <c r="X25" s="98" t="n">
        <f aca="false">(SUM(T25:W25))+S25</f>
        <v>120838</v>
      </c>
      <c r="Y25" s="157" t="n">
        <f aca="false">R25-S25</f>
        <v>-1679.1525</v>
      </c>
      <c r="Z25" s="158"/>
      <c r="AA25" s="159" t="n">
        <f aca="false">R25-D25-H25</f>
        <v>30940.8475</v>
      </c>
      <c r="AB25" s="160" t="n">
        <f aca="false">S25</f>
        <v>63895</v>
      </c>
      <c r="AC25" s="161" t="n">
        <f aca="false">S25-D25-H25</f>
        <v>32620</v>
      </c>
      <c r="AD25" s="75" t="n">
        <f aca="false">D25+H25</f>
        <v>31275</v>
      </c>
      <c r="AE25" s="170"/>
      <c r="AF25" s="163" t="n">
        <f aca="false">C25</f>
        <v>14667</v>
      </c>
      <c r="AG25" s="147" t="n">
        <f aca="false">E25</f>
        <v>-8218</v>
      </c>
      <c r="AH25" s="128"/>
      <c r="AI25" s="163" t="n">
        <f aca="false">G25</f>
        <v>11689</v>
      </c>
      <c r="AJ25" s="147" t="n">
        <f aca="false">I25</f>
        <v>-15312</v>
      </c>
      <c r="AK25" s="129"/>
      <c r="AL25" s="160" t="n">
        <f aca="false">L25+M25+P25</f>
        <v>33519.65</v>
      </c>
      <c r="AM25" s="164" t="n">
        <f aca="false">O25+N25</f>
        <v>-2201</v>
      </c>
      <c r="AN25" s="75"/>
      <c r="AO25" s="165" t="n">
        <f aca="false">AF25+AI25+AL25</f>
        <v>59875.65</v>
      </c>
      <c r="AP25" s="147" t="n">
        <f aca="false">AG25+AJ25+AM25+F25+J25</f>
        <v>-28887</v>
      </c>
      <c r="AQ25" s="166" t="n">
        <f aca="false">AO25+AP25</f>
        <v>30988.65</v>
      </c>
      <c r="AR25" s="167" t="n">
        <f aca="false">IF(AQ25-$AQ$8&gt;0,AQ25-$AQ$8,0)</f>
        <v>0</v>
      </c>
      <c r="AS25" s="136"/>
      <c r="AU25" s="158" t="n">
        <f aca="false">AQ25-AC25</f>
        <v>-1631.35</v>
      </c>
      <c r="AV25" s="168" t="n">
        <f aca="false">F25+Q25</f>
        <v>-3156</v>
      </c>
      <c r="AX25" s="169" t="n">
        <f aca="false">$AQ$8-AQ25</f>
        <v>97593.35</v>
      </c>
    </row>
    <row r="26" customFormat="false" ht="17.1" hidden="false" customHeight="true" outlineLevel="0" collapsed="false">
      <c r="A26" s="151"/>
      <c r="B26" s="152" t="n">
        <f aca="false">B25+1</f>
        <v>37176</v>
      </c>
      <c r="C26" s="153" t="n">
        <v>5667</v>
      </c>
      <c r="D26" s="154" t="n">
        <v>8531</v>
      </c>
      <c r="E26" s="155" t="n">
        <v>-9328</v>
      </c>
      <c r="F26" s="156" t="n">
        <v>-3156</v>
      </c>
      <c r="G26" s="153" t="n">
        <v>15686</v>
      </c>
      <c r="H26" s="154" t="n">
        <v>23744</v>
      </c>
      <c r="I26" s="155" t="n">
        <v>-16392</v>
      </c>
      <c r="J26" s="156" t="n">
        <v>0</v>
      </c>
      <c r="K26" s="156" t="n">
        <f aca="false">(-G26-H26-I26)*0.0025</f>
        <v>-57.595</v>
      </c>
      <c r="L26" s="153" t="n">
        <v>15930</v>
      </c>
      <c r="M26" s="156" t="n">
        <v>17906</v>
      </c>
      <c r="N26" s="83" t="n">
        <v>-295</v>
      </c>
      <c r="O26" s="83" t="n">
        <v>-1906</v>
      </c>
      <c r="P26" s="83" t="n">
        <f aca="false">(-L26-M26-N26-O26)*0.01</f>
        <v>-316.35</v>
      </c>
      <c r="Q26" s="98" t="n">
        <v>0</v>
      </c>
      <c r="R26" s="100" t="n">
        <f aca="false">SUM(C26,D26,E26,F26,G26,H26,I26,J26,K26,L26,M26,N26,O26,P26,Q26)</f>
        <v>56013.055</v>
      </c>
      <c r="S26" s="101" t="n">
        <v>57285</v>
      </c>
      <c r="T26" s="98" t="n">
        <v>28087</v>
      </c>
      <c r="U26" s="83" t="n">
        <v>565</v>
      </c>
      <c r="V26" s="83" t="n">
        <v>0</v>
      </c>
      <c r="W26" s="83" t="n">
        <v>5</v>
      </c>
      <c r="X26" s="98" t="n">
        <f aca="false">(SUM(T26:W26))+S26</f>
        <v>85942</v>
      </c>
      <c r="Y26" s="157" t="n">
        <f aca="false">R26-S26</f>
        <v>-1271.945</v>
      </c>
      <c r="Z26" s="158"/>
      <c r="AA26" s="159" t="n">
        <f aca="false">R26-D26-H26</f>
        <v>23738.055</v>
      </c>
      <c r="AB26" s="160" t="n">
        <f aca="false">S26</f>
        <v>57285</v>
      </c>
      <c r="AC26" s="161" t="n">
        <f aca="false">S26-D26-H26</f>
        <v>25010</v>
      </c>
      <c r="AD26" s="75" t="n">
        <f aca="false">D26+H26</f>
        <v>32275</v>
      </c>
      <c r="AE26" s="75"/>
      <c r="AF26" s="163" t="n">
        <f aca="false">C26</f>
        <v>5667</v>
      </c>
      <c r="AG26" s="147" t="n">
        <f aca="false">E26</f>
        <v>-9328</v>
      </c>
      <c r="AH26" s="128"/>
      <c r="AI26" s="163" t="n">
        <f aca="false">G26</f>
        <v>15686</v>
      </c>
      <c r="AJ26" s="147" t="n">
        <f aca="false">I26</f>
        <v>-16392</v>
      </c>
      <c r="AK26" s="129"/>
      <c r="AL26" s="160" t="n">
        <f aca="false">L26+M26+P26</f>
        <v>33519.65</v>
      </c>
      <c r="AM26" s="164" t="n">
        <f aca="false">O26+N26</f>
        <v>-2201</v>
      </c>
      <c r="AN26" s="75"/>
      <c r="AO26" s="165" t="n">
        <f aca="false">AF26+AI26+AL26</f>
        <v>54872.65</v>
      </c>
      <c r="AP26" s="147" t="n">
        <f aca="false">AG26+AJ26+AM26+F26+J26</f>
        <v>-31077</v>
      </c>
      <c r="AQ26" s="166" t="n">
        <f aca="false">AO26+AP26</f>
        <v>23795.65</v>
      </c>
      <c r="AR26" s="167" t="n">
        <f aca="false">IF(AQ26-$AQ$8&gt;0,AQ26-$AQ$8,0)</f>
        <v>0</v>
      </c>
      <c r="AS26" s="136"/>
      <c r="AU26" s="158" t="n">
        <f aca="false">AQ26-AC26</f>
        <v>-1214.35</v>
      </c>
      <c r="AV26" s="168" t="n">
        <f aca="false">F26+Q26</f>
        <v>-3156</v>
      </c>
      <c r="AX26" s="169" t="n">
        <f aca="false">$AQ$8-AQ26</f>
        <v>104786.35</v>
      </c>
    </row>
    <row r="27" customFormat="false" ht="17.1" hidden="false" customHeight="true" outlineLevel="0" collapsed="false">
      <c r="A27" s="77"/>
      <c r="B27" s="152" t="n">
        <f aca="false">B26+1</f>
        <v>37177</v>
      </c>
      <c r="C27" s="153" t="n">
        <v>5667</v>
      </c>
      <c r="D27" s="154" t="n">
        <v>8531</v>
      </c>
      <c r="E27" s="155" t="n">
        <v>-9685</v>
      </c>
      <c r="F27" s="156" t="n">
        <v>-3156</v>
      </c>
      <c r="G27" s="153" t="n">
        <v>15685</v>
      </c>
      <c r="H27" s="154" t="n">
        <v>23744</v>
      </c>
      <c r="I27" s="155" t="n">
        <v>-15640</v>
      </c>
      <c r="J27" s="156" t="n">
        <v>0</v>
      </c>
      <c r="K27" s="156" t="n">
        <f aca="false">(-G27-H27-I27)*0.0025</f>
        <v>-59.4725</v>
      </c>
      <c r="L27" s="153" t="n">
        <v>15930</v>
      </c>
      <c r="M27" s="156" t="n">
        <v>17906</v>
      </c>
      <c r="N27" s="83" t="n">
        <v>-295</v>
      </c>
      <c r="O27" s="83" t="n">
        <v>-1906</v>
      </c>
      <c r="P27" s="83" t="n">
        <f aca="false">(-L27-M27-N27-O27)*0.01</f>
        <v>-316.35</v>
      </c>
      <c r="Q27" s="98" t="n">
        <v>0</v>
      </c>
      <c r="R27" s="100" t="n">
        <f aca="false">SUM(C27,D27,E27,F27,G27,H27,I27,J27,K27,L27,M27,N27,O27,P27,Q27)</f>
        <v>56405.1775</v>
      </c>
      <c r="S27" s="101" t="n">
        <v>57239</v>
      </c>
      <c r="T27" s="98" t="n">
        <v>38476</v>
      </c>
      <c r="U27" s="83" t="n">
        <v>99</v>
      </c>
      <c r="V27" s="83" t="n">
        <v>3</v>
      </c>
      <c r="W27" s="83" t="n">
        <v>0</v>
      </c>
      <c r="X27" s="98" t="n">
        <f aca="false">(SUM(T27:W27))+S27</f>
        <v>95817</v>
      </c>
      <c r="Y27" s="157" t="n">
        <f aca="false">R27-S27</f>
        <v>-833.822500000002</v>
      </c>
      <c r="Z27" s="158"/>
      <c r="AA27" s="159" t="n">
        <f aca="false">R27-D27-H27</f>
        <v>24130.1775</v>
      </c>
      <c r="AB27" s="160" t="n">
        <f aca="false">S27</f>
        <v>57239</v>
      </c>
      <c r="AC27" s="161" t="n">
        <f aca="false">S27-D27-H27</f>
        <v>24964</v>
      </c>
      <c r="AD27" s="75" t="n">
        <f aca="false">D27+H27</f>
        <v>32275</v>
      </c>
      <c r="AE27" s="75"/>
      <c r="AF27" s="163" t="n">
        <f aca="false">C27</f>
        <v>5667</v>
      </c>
      <c r="AG27" s="147" t="n">
        <f aca="false">E27</f>
        <v>-9685</v>
      </c>
      <c r="AH27" s="128"/>
      <c r="AI27" s="163" t="n">
        <f aca="false">G27</f>
        <v>15685</v>
      </c>
      <c r="AJ27" s="147" t="n">
        <f aca="false">I27</f>
        <v>-15640</v>
      </c>
      <c r="AK27" s="128"/>
      <c r="AL27" s="160" t="n">
        <f aca="false">L27+M27+P27</f>
        <v>33519.65</v>
      </c>
      <c r="AM27" s="164" t="n">
        <f aca="false">O27+N27</f>
        <v>-2201</v>
      </c>
      <c r="AN27" s="75"/>
      <c r="AO27" s="165" t="n">
        <f aca="false">AF27+AI27+AL27</f>
        <v>54871.65</v>
      </c>
      <c r="AP27" s="147" t="n">
        <f aca="false">AG27+AJ27+AM27+F27+J27</f>
        <v>-30682</v>
      </c>
      <c r="AQ27" s="166" t="n">
        <f aca="false">AO27+AP27</f>
        <v>24189.65</v>
      </c>
      <c r="AR27" s="167" t="n">
        <f aca="false">IF(AQ27-$AQ$8&gt;0,AQ27-$AQ$8,0)</f>
        <v>0</v>
      </c>
      <c r="AS27" s="136"/>
      <c r="AU27" s="158" t="n">
        <f aca="false">AQ27-AC27</f>
        <v>-774.349999999999</v>
      </c>
      <c r="AV27" s="168" t="n">
        <f aca="false">F27+Q27</f>
        <v>-3156</v>
      </c>
      <c r="AX27" s="169" t="n">
        <f aca="false">$AQ$8-AQ27</f>
        <v>104392.35</v>
      </c>
    </row>
    <row r="28" customFormat="false" ht="17.1" hidden="false" customHeight="true" outlineLevel="0" collapsed="false">
      <c r="A28" s="77"/>
      <c r="B28" s="152" t="n">
        <f aca="false">B27+1</f>
        <v>37178</v>
      </c>
      <c r="C28" s="153" t="n">
        <v>5667</v>
      </c>
      <c r="D28" s="154" t="n">
        <v>8531</v>
      </c>
      <c r="E28" s="155" t="n">
        <v>-7853</v>
      </c>
      <c r="F28" s="156" t="n">
        <v>-3156</v>
      </c>
      <c r="G28" s="153" t="n">
        <v>15656</v>
      </c>
      <c r="H28" s="154" t="n">
        <v>22744</v>
      </c>
      <c r="I28" s="155" t="n">
        <v>-15862</v>
      </c>
      <c r="J28" s="156" t="n">
        <v>0</v>
      </c>
      <c r="K28" s="156" t="n">
        <f aca="false">(-G28-H28-I28)*0.0025</f>
        <v>-56.345</v>
      </c>
      <c r="L28" s="153" t="n">
        <v>15930</v>
      </c>
      <c r="M28" s="156" t="n">
        <v>17906</v>
      </c>
      <c r="N28" s="83" t="n">
        <v>-295</v>
      </c>
      <c r="O28" s="83" t="n">
        <v>-1906</v>
      </c>
      <c r="P28" s="83" t="n">
        <f aca="false">(-L28-M28-N28-O28)*0.01</f>
        <v>-316.35</v>
      </c>
      <c r="Q28" s="98" t="n">
        <v>0</v>
      </c>
      <c r="R28" s="100" t="n">
        <f aca="false">SUM(C28,D28,E28,F28,G28,H28,I28,J28,K28,L28,M28,N28,O28,P28,Q28)</f>
        <v>56989.305</v>
      </c>
      <c r="S28" s="101" t="n">
        <v>57965</v>
      </c>
      <c r="T28" s="98" t="n">
        <v>58797</v>
      </c>
      <c r="U28" s="83" t="n">
        <v>206</v>
      </c>
      <c r="V28" s="83" t="n">
        <v>0</v>
      </c>
      <c r="W28" s="83" t="n">
        <v>22</v>
      </c>
      <c r="X28" s="98" t="n">
        <f aca="false">(SUM(T28:W28))+S28</f>
        <v>116990</v>
      </c>
      <c r="Y28" s="157" t="n">
        <f aca="false">R28-S28</f>
        <v>-975.695</v>
      </c>
      <c r="Z28" s="158"/>
      <c r="AA28" s="159" t="n">
        <f aca="false">R28-D28-H28</f>
        <v>25714.305</v>
      </c>
      <c r="AB28" s="160" t="n">
        <f aca="false">S28</f>
        <v>57965</v>
      </c>
      <c r="AC28" s="161" t="n">
        <f aca="false">S28-D28-H28</f>
        <v>26690</v>
      </c>
      <c r="AD28" s="75" t="n">
        <f aca="false">D28+H28</f>
        <v>31275</v>
      </c>
      <c r="AE28" s="75"/>
      <c r="AF28" s="163" t="n">
        <f aca="false">C28</f>
        <v>5667</v>
      </c>
      <c r="AG28" s="147" t="n">
        <f aca="false">E28</f>
        <v>-7853</v>
      </c>
      <c r="AH28" s="128"/>
      <c r="AI28" s="163" t="n">
        <f aca="false">G28</f>
        <v>15656</v>
      </c>
      <c r="AJ28" s="147" t="n">
        <f aca="false">I28</f>
        <v>-15862</v>
      </c>
      <c r="AK28" s="128"/>
      <c r="AL28" s="160" t="n">
        <f aca="false">L28+M28+P28</f>
        <v>33519.65</v>
      </c>
      <c r="AM28" s="164" t="n">
        <f aca="false">O28+N28</f>
        <v>-2201</v>
      </c>
      <c r="AN28" s="75"/>
      <c r="AO28" s="165" t="n">
        <f aca="false">AF28+AI28+AL28</f>
        <v>54842.65</v>
      </c>
      <c r="AP28" s="147" t="n">
        <f aca="false">AG28+AJ28+AM28+F28+J28</f>
        <v>-29072</v>
      </c>
      <c r="AQ28" s="166" t="n">
        <f aca="false">AO28+AP28</f>
        <v>25770.65</v>
      </c>
      <c r="AR28" s="167" t="n">
        <f aca="false">IF(AQ28-$AQ$8&gt;0,AQ28-$AQ$8,0)</f>
        <v>0</v>
      </c>
      <c r="AS28" s="136"/>
      <c r="AU28" s="158" t="n">
        <f aca="false">AQ28-AC28</f>
        <v>-919.349999999999</v>
      </c>
      <c r="AV28" s="168" t="n">
        <f aca="false">F28+Q28</f>
        <v>-3156</v>
      </c>
      <c r="AX28" s="169" t="n">
        <f aca="false">$AQ$8-AQ28</f>
        <v>102811.35</v>
      </c>
    </row>
    <row r="29" customFormat="false" ht="17.1" hidden="false" customHeight="true" outlineLevel="0" collapsed="false">
      <c r="A29" s="77"/>
      <c r="B29" s="152" t="n">
        <f aca="false">B28+1</f>
        <v>37179</v>
      </c>
      <c r="C29" s="153" t="n">
        <v>5667</v>
      </c>
      <c r="D29" s="154" t="n">
        <v>8531</v>
      </c>
      <c r="E29" s="155" t="n">
        <v>-4100</v>
      </c>
      <c r="F29" s="156" t="n">
        <v>-3156</v>
      </c>
      <c r="G29" s="153" t="n">
        <v>15819</v>
      </c>
      <c r="H29" s="154" t="n">
        <v>22744</v>
      </c>
      <c r="I29" s="155" t="n">
        <v>-14799</v>
      </c>
      <c r="J29" s="156" t="n">
        <v>0</v>
      </c>
      <c r="K29" s="156" t="n">
        <f aca="false">(-G29-H29-I29)*0.0025</f>
        <v>-59.41</v>
      </c>
      <c r="L29" s="153" t="n">
        <v>15930</v>
      </c>
      <c r="M29" s="156" t="n">
        <v>17906</v>
      </c>
      <c r="N29" s="83" t="n">
        <v>-295</v>
      </c>
      <c r="O29" s="83" t="n">
        <v>-1906</v>
      </c>
      <c r="P29" s="83" t="n">
        <f aca="false">(-L29-M29-N29-O29)*0.01</f>
        <v>-316.35</v>
      </c>
      <c r="Q29" s="98" t="n">
        <v>0</v>
      </c>
      <c r="R29" s="100" t="n">
        <f aca="false">SUM(C29,D29,E29,F29,G29,H29,I29,J29,K29,L29,M29,N29,O29,P29,Q29)</f>
        <v>61965.24</v>
      </c>
      <c r="S29" s="101" t="n">
        <v>62639</v>
      </c>
      <c r="T29" s="98" t="n">
        <v>82758</v>
      </c>
      <c r="U29" s="83" t="n">
        <v>809</v>
      </c>
      <c r="V29" s="83" t="n">
        <v>2</v>
      </c>
      <c r="W29" s="83" t="n">
        <v>56</v>
      </c>
      <c r="X29" s="98" t="n">
        <f aca="false">(SUM(T29:W29))+S29</f>
        <v>146264</v>
      </c>
      <c r="Y29" s="157" t="n">
        <f aca="false">R29-S29</f>
        <v>-673.760000000002</v>
      </c>
      <c r="Z29" s="158"/>
      <c r="AA29" s="159" t="n">
        <f aca="false">R29-D29-H29</f>
        <v>30690.24</v>
      </c>
      <c r="AB29" s="171" t="n">
        <f aca="false">S29</f>
        <v>62639</v>
      </c>
      <c r="AC29" s="161" t="n">
        <f aca="false">S29-D29-H29</f>
        <v>31364</v>
      </c>
      <c r="AD29" s="75" t="n">
        <f aca="false">D29+H29</f>
        <v>31275</v>
      </c>
      <c r="AE29" s="75"/>
      <c r="AF29" s="163" t="n">
        <f aca="false">C29</f>
        <v>5667</v>
      </c>
      <c r="AG29" s="147" t="n">
        <f aca="false">E29</f>
        <v>-4100</v>
      </c>
      <c r="AH29" s="128"/>
      <c r="AI29" s="163" t="n">
        <f aca="false">G29</f>
        <v>15819</v>
      </c>
      <c r="AJ29" s="147" t="n">
        <f aca="false">I29</f>
        <v>-14799</v>
      </c>
      <c r="AK29" s="128"/>
      <c r="AL29" s="160" t="n">
        <f aca="false">L29+M29+P29</f>
        <v>33519.65</v>
      </c>
      <c r="AM29" s="164" t="n">
        <f aca="false">O29+N29</f>
        <v>-2201</v>
      </c>
      <c r="AN29" s="75"/>
      <c r="AO29" s="165" t="n">
        <f aca="false">AF29+AI29+AL29</f>
        <v>55005.65</v>
      </c>
      <c r="AP29" s="147" t="n">
        <f aca="false">AG29+AJ29+AM29+F29+J29</f>
        <v>-24256</v>
      </c>
      <c r="AQ29" s="166" t="n">
        <f aca="false">AO29+AP29</f>
        <v>30749.65</v>
      </c>
      <c r="AR29" s="167" t="n">
        <f aca="false">IF(AQ29-$AQ$8&gt;0,AQ29-$AQ$8,0)</f>
        <v>0</v>
      </c>
      <c r="AS29" s="136"/>
      <c r="AU29" s="158" t="n">
        <f aca="false">AQ29-AC29</f>
        <v>-614.349999999999</v>
      </c>
      <c r="AV29" s="168" t="n">
        <f aca="false">F29+Q29</f>
        <v>-3156</v>
      </c>
      <c r="AX29" s="169" t="n">
        <f aca="false">$AQ$8-AQ29</f>
        <v>97832.35</v>
      </c>
    </row>
    <row r="30" customFormat="false" ht="17.1" hidden="false" customHeight="true" outlineLevel="0" collapsed="false">
      <c r="A30" s="77"/>
      <c r="B30" s="152" t="n">
        <f aca="false">B29+1</f>
        <v>37180</v>
      </c>
      <c r="C30" s="153" t="n">
        <v>19667</v>
      </c>
      <c r="D30" s="154" t="n">
        <v>8531</v>
      </c>
      <c r="E30" s="172" t="n">
        <f aca="false">1768-5900</f>
        <v>-4132</v>
      </c>
      <c r="F30" s="156" t="n">
        <v>-3156</v>
      </c>
      <c r="G30" s="153" t="n">
        <v>6578</v>
      </c>
      <c r="H30" s="154" t="n">
        <v>23744</v>
      </c>
      <c r="I30" s="155" t="n">
        <v>-15768</v>
      </c>
      <c r="J30" s="156" t="n">
        <v>0</v>
      </c>
      <c r="K30" s="156" t="n">
        <f aca="false">(-G30-H30-I30)*0.0025</f>
        <v>-36.385</v>
      </c>
      <c r="L30" s="153" t="n">
        <v>15930</v>
      </c>
      <c r="M30" s="156" t="n">
        <v>17906</v>
      </c>
      <c r="N30" s="83" t="n">
        <v>-295</v>
      </c>
      <c r="O30" s="83" t="n">
        <v>-1906</v>
      </c>
      <c r="P30" s="83" t="n">
        <f aca="false">(-L30-M30-N30-O30)*0.01</f>
        <v>-316.35</v>
      </c>
      <c r="Q30" s="98" t="n">
        <v>0</v>
      </c>
      <c r="R30" s="100" t="n">
        <f aca="false">SUM(C30,D30,E30,F30,G30,H30,I30,J30,K30,L30,M30,N30,O30,P30,Q30)</f>
        <v>66746.265</v>
      </c>
      <c r="S30" s="101" t="n">
        <v>66355</v>
      </c>
      <c r="T30" s="98" t="n">
        <v>68954</v>
      </c>
      <c r="U30" s="83" t="n">
        <v>969</v>
      </c>
      <c r="V30" s="83" t="n">
        <v>0</v>
      </c>
      <c r="W30" s="83" t="n">
        <v>123</v>
      </c>
      <c r="X30" s="98" t="n">
        <f aca="false">(SUM(T30:W30))+S30</f>
        <v>136401</v>
      </c>
      <c r="Y30" s="157" t="n">
        <f aca="false">R30-S30</f>
        <v>391.264999999999</v>
      </c>
      <c r="Z30" s="158"/>
      <c r="AA30" s="159" t="n">
        <f aca="false">R30-D30-H30</f>
        <v>34471.265</v>
      </c>
      <c r="AB30" s="171" t="n">
        <f aca="false">S30</f>
        <v>66355</v>
      </c>
      <c r="AC30" s="161" t="n">
        <f aca="false">S30-D30-H30</f>
        <v>34080</v>
      </c>
      <c r="AD30" s="75" t="n">
        <f aca="false">D30+H30</f>
        <v>32275</v>
      </c>
      <c r="AE30" s="75"/>
      <c r="AF30" s="163" t="n">
        <f aca="false">C30</f>
        <v>19667</v>
      </c>
      <c r="AG30" s="147" t="n">
        <f aca="false">E30</f>
        <v>-4132</v>
      </c>
      <c r="AH30" s="128"/>
      <c r="AI30" s="163" t="n">
        <f aca="false">G30</f>
        <v>6578</v>
      </c>
      <c r="AJ30" s="147" t="n">
        <f aca="false">I30</f>
        <v>-15768</v>
      </c>
      <c r="AK30" s="128"/>
      <c r="AL30" s="160" t="n">
        <f aca="false">L30+M30+P30</f>
        <v>33519.65</v>
      </c>
      <c r="AM30" s="164" t="n">
        <f aca="false">O30+N30</f>
        <v>-2201</v>
      </c>
      <c r="AN30" s="75"/>
      <c r="AO30" s="165" t="n">
        <f aca="false">AF30+AI30+AL30</f>
        <v>59764.65</v>
      </c>
      <c r="AP30" s="147" t="n">
        <f aca="false">AG30+AJ30+AM30+F30+J30</f>
        <v>-25257</v>
      </c>
      <c r="AQ30" s="166" t="n">
        <f aca="false">AO30+AP30</f>
        <v>34507.65</v>
      </c>
      <c r="AR30" s="167" t="n">
        <f aca="false">IF(AQ30-$AQ$8&gt;0,AQ30-$AQ$8,0)</f>
        <v>0</v>
      </c>
      <c r="AS30" s="136"/>
      <c r="AU30" s="158" t="n">
        <f aca="false">AQ30-AC30</f>
        <v>427.650000000001</v>
      </c>
      <c r="AV30" s="168" t="n">
        <f aca="false">F30+Q30</f>
        <v>-3156</v>
      </c>
      <c r="AX30" s="169" t="n">
        <f aca="false">$AQ$8-AQ30</f>
        <v>94074.35</v>
      </c>
    </row>
    <row r="31" customFormat="false" ht="17.1" hidden="false" customHeight="true" outlineLevel="0" collapsed="false">
      <c r="A31" s="77"/>
      <c r="B31" s="152" t="n">
        <f aca="false">B30+1</f>
        <v>37181</v>
      </c>
      <c r="C31" s="153" t="n">
        <v>31284</v>
      </c>
      <c r="D31" s="154" t="n">
        <v>8531</v>
      </c>
      <c r="E31" s="172" t="n">
        <f aca="false">26751-21850</f>
        <v>4901</v>
      </c>
      <c r="F31" s="156" t="n">
        <v>-3156</v>
      </c>
      <c r="G31" s="153" t="n">
        <v>6578</v>
      </c>
      <c r="H31" s="154" t="n">
        <v>23744</v>
      </c>
      <c r="I31" s="155" t="n">
        <v>-10848</v>
      </c>
      <c r="J31" s="156" t="n">
        <v>0</v>
      </c>
      <c r="K31" s="156" t="n">
        <f aca="false">(-G31-H31-I31)*0.0025</f>
        <v>-48.685</v>
      </c>
      <c r="L31" s="153" t="n">
        <v>15930</v>
      </c>
      <c r="M31" s="156" t="n">
        <v>17906</v>
      </c>
      <c r="N31" s="83" t="n">
        <v>-295</v>
      </c>
      <c r="O31" s="83" t="n">
        <v>-1906</v>
      </c>
      <c r="P31" s="83" t="n">
        <f aca="false">(-L31-M31-N31-O31)*0.01</f>
        <v>-316.35</v>
      </c>
      <c r="Q31" s="98" t="n">
        <v>0</v>
      </c>
      <c r="R31" s="100" t="n">
        <f aca="false">SUM(C31,D31,E31,F31,G31,H31,I31,J31,K31,L31,M31,N31,O31,P31,Q31)</f>
        <v>92303.965</v>
      </c>
      <c r="S31" s="101" t="n">
        <v>92538</v>
      </c>
      <c r="T31" s="98" t="n">
        <v>29855</v>
      </c>
      <c r="U31" s="83" t="n">
        <v>1551</v>
      </c>
      <c r="V31" s="83" t="n">
        <v>32</v>
      </c>
      <c r="W31" s="83" t="n">
        <v>366</v>
      </c>
      <c r="X31" s="98" t="n">
        <f aca="false">(SUM(T31:W31))+S31</f>
        <v>124342</v>
      </c>
      <c r="Y31" s="157" t="n">
        <f aca="false">R31-S31</f>
        <v>-234.035000000004</v>
      </c>
      <c r="Z31" s="158"/>
      <c r="AA31" s="159" t="n">
        <f aca="false">R31-D31-H31</f>
        <v>60028.965</v>
      </c>
      <c r="AB31" s="171" t="n">
        <f aca="false">S31</f>
        <v>92538</v>
      </c>
      <c r="AC31" s="161" t="n">
        <f aca="false">S31-D31-H31</f>
        <v>60263</v>
      </c>
      <c r="AD31" s="75" t="n">
        <f aca="false">D31+H31</f>
        <v>32275</v>
      </c>
      <c r="AE31" s="75"/>
      <c r="AF31" s="163" t="n">
        <f aca="false">C31</f>
        <v>31284</v>
      </c>
      <c r="AG31" s="147" t="n">
        <f aca="false">E31</f>
        <v>4901</v>
      </c>
      <c r="AH31" s="128"/>
      <c r="AI31" s="163" t="n">
        <f aca="false">G31</f>
        <v>6578</v>
      </c>
      <c r="AJ31" s="147" t="n">
        <f aca="false">I31</f>
        <v>-10848</v>
      </c>
      <c r="AK31" s="128"/>
      <c r="AL31" s="160" t="n">
        <f aca="false">L31+M31+P31</f>
        <v>33519.65</v>
      </c>
      <c r="AM31" s="164" t="n">
        <f aca="false">O31+N31</f>
        <v>-2201</v>
      </c>
      <c r="AN31" s="75"/>
      <c r="AO31" s="165" t="n">
        <f aca="false">AF31+AI31+AL31</f>
        <v>71381.65</v>
      </c>
      <c r="AP31" s="147" t="n">
        <f aca="false">AG31+AJ31+AM31+F31+J31</f>
        <v>-11304</v>
      </c>
      <c r="AQ31" s="166" t="n">
        <f aca="false">AO31+AP31</f>
        <v>60077.65</v>
      </c>
      <c r="AR31" s="167" t="n">
        <f aca="false">IF(AQ31-$AQ$8&gt;0,AQ31-$AQ$8,0)</f>
        <v>0</v>
      </c>
      <c r="AS31" s="136"/>
      <c r="AU31" s="158" t="n">
        <f aca="false">AQ31-AC31</f>
        <v>-185.350000000006</v>
      </c>
      <c r="AV31" s="168" t="n">
        <f aca="false">F31+Q31</f>
        <v>-3156</v>
      </c>
      <c r="AX31" s="169" t="n">
        <f aca="false">$AQ$8-AQ31</f>
        <v>68504.35</v>
      </c>
    </row>
    <row r="32" customFormat="false" ht="17.1" hidden="false" customHeight="true" outlineLevel="0" collapsed="false">
      <c r="A32" s="77"/>
      <c r="B32" s="152" t="n">
        <f aca="false">B31+1</f>
        <v>37182</v>
      </c>
      <c r="C32" s="153" t="n">
        <v>34740</v>
      </c>
      <c r="D32" s="154" t="n">
        <v>8531</v>
      </c>
      <c r="E32" s="172" t="n">
        <f aca="false">38976-34518</f>
        <v>4458</v>
      </c>
      <c r="F32" s="156" t="n">
        <v>-3156</v>
      </c>
      <c r="G32" s="153" t="n">
        <v>10839</v>
      </c>
      <c r="H32" s="154" t="n">
        <v>22624</v>
      </c>
      <c r="I32" s="155" t="n">
        <v>-786</v>
      </c>
      <c r="J32" s="156" t="n">
        <v>0</v>
      </c>
      <c r="K32" s="156" t="n">
        <f aca="false">(-G32-H32-I32)*0.0025</f>
        <v>-81.6925</v>
      </c>
      <c r="L32" s="153" t="n">
        <v>15930</v>
      </c>
      <c r="M32" s="156" t="n">
        <v>17906</v>
      </c>
      <c r="N32" s="83" t="n">
        <v>-295</v>
      </c>
      <c r="O32" s="83" t="n">
        <v>-1906</v>
      </c>
      <c r="P32" s="83" t="n">
        <f aca="false">(-L32-M32-N32-O32)*0.01</f>
        <v>-316.35</v>
      </c>
      <c r="Q32" s="98" t="n">
        <v>0</v>
      </c>
      <c r="R32" s="100" t="n">
        <f aca="false">SUM(C32,D32,E32,F32,G32,H32,I32,J32,K32,L32,M32,N32,O32,P32,Q32)</f>
        <v>108486.9575</v>
      </c>
      <c r="S32" s="101" t="n">
        <v>108504</v>
      </c>
      <c r="T32" s="98" t="n">
        <v>2111</v>
      </c>
      <c r="U32" s="83" t="n">
        <v>9894</v>
      </c>
      <c r="V32" s="83" t="n">
        <v>0</v>
      </c>
      <c r="W32" s="83" t="n">
        <v>361</v>
      </c>
      <c r="X32" s="98" t="n">
        <f aca="false">(SUM(T32:W32))+S32</f>
        <v>120870</v>
      </c>
      <c r="Y32" s="157" t="n">
        <f aca="false">R32-S32</f>
        <v>-17.0424999999959</v>
      </c>
      <c r="Z32" s="158"/>
      <c r="AA32" s="159" t="n">
        <f aca="false">R32-D32-H32</f>
        <v>77331.9575</v>
      </c>
      <c r="AB32" s="171" t="n">
        <f aca="false">S32</f>
        <v>108504</v>
      </c>
      <c r="AC32" s="161" t="n">
        <f aca="false">S32-D32-H32</f>
        <v>77349</v>
      </c>
      <c r="AD32" s="75" t="n">
        <f aca="false">D32+H32</f>
        <v>31155</v>
      </c>
      <c r="AE32" s="75"/>
      <c r="AF32" s="163" t="n">
        <f aca="false">C32</f>
        <v>34740</v>
      </c>
      <c r="AG32" s="147" t="n">
        <f aca="false">E32</f>
        <v>4458</v>
      </c>
      <c r="AH32" s="128"/>
      <c r="AI32" s="163" t="n">
        <f aca="false">G32</f>
        <v>10839</v>
      </c>
      <c r="AJ32" s="147" t="n">
        <f aca="false">I32</f>
        <v>-786</v>
      </c>
      <c r="AK32" s="128"/>
      <c r="AL32" s="160" t="n">
        <f aca="false">L32+M32+P32</f>
        <v>33519.65</v>
      </c>
      <c r="AM32" s="164" t="n">
        <f aca="false">O32+N32</f>
        <v>-2201</v>
      </c>
      <c r="AN32" s="75"/>
      <c r="AO32" s="165" t="n">
        <f aca="false">AF32+AI32+AL32</f>
        <v>79098.65</v>
      </c>
      <c r="AP32" s="147" t="n">
        <f aca="false">AG32+AJ32+AM32+F32+J32</f>
        <v>-1685</v>
      </c>
      <c r="AQ32" s="166" t="n">
        <f aca="false">AO32+AP32</f>
        <v>77413.65</v>
      </c>
      <c r="AR32" s="167" t="n">
        <f aca="false">IF(AQ32-$AQ$8&gt;0,AQ32-$AQ$8,0)</f>
        <v>0</v>
      </c>
      <c r="AS32" s="136"/>
      <c r="AU32" s="158" t="n">
        <f aca="false">AQ32-AC32</f>
        <v>64.6499999999942</v>
      </c>
      <c r="AV32" s="168" t="n">
        <f aca="false">F32+Q32</f>
        <v>-3156</v>
      </c>
      <c r="AX32" s="169" t="n">
        <f aca="false">$AQ$8-AQ32</f>
        <v>51168.35</v>
      </c>
    </row>
    <row r="33" customFormat="false" ht="17.1" hidden="false" customHeight="true" outlineLevel="0" collapsed="false">
      <c r="A33" s="77"/>
      <c r="B33" s="152" t="n">
        <f aca="false">B32+1</f>
        <v>37183</v>
      </c>
      <c r="C33" s="153" t="n">
        <v>33703</v>
      </c>
      <c r="D33" s="154" t="n">
        <v>7700</v>
      </c>
      <c r="E33" s="172" t="n">
        <f aca="false">1101-7282-5000</f>
        <v>-11181</v>
      </c>
      <c r="F33" s="156" t="n">
        <v>-3156</v>
      </c>
      <c r="G33" s="153" t="n">
        <v>6622</v>
      </c>
      <c r="H33" s="154" t="n">
        <v>22724</v>
      </c>
      <c r="I33" s="155" t="n">
        <v>-15490</v>
      </c>
      <c r="J33" s="156" t="n">
        <v>0</v>
      </c>
      <c r="K33" s="156" t="n">
        <f aca="false">(-G33-H33-I33)*0.0025</f>
        <v>-34.64</v>
      </c>
      <c r="L33" s="153" t="n">
        <v>15930</v>
      </c>
      <c r="M33" s="156" t="n">
        <v>21906</v>
      </c>
      <c r="N33" s="83" t="n">
        <v>-295</v>
      </c>
      <c r="O33" s="83" t="n">
        <v>-1906</v>
      </c>
      <c r="P33" s="83" t="n">
        <f aca="false">(-L33-M33-N33-O33)*0.01</f>
        <v>-356.35</v>
      </c>
      <c r="Q33" s="98" t="n">
        <v>0</v>
      </c>
      <c r="R33" s="100" t="n">
        <f aca="false">SUM(C33,D33,E33,F33,G33,H33,I33,J33,K33,L33,M33,N33,O33,P33,Q33)</f>
        <v>76166.01</v>
      </c>
      <c r="S33" s="101" t="n">
        <v>77400</v>
      </c>
      <c r="T33" s="98" t="n">
        <v>0</v>
      </c>
      <c r="U33" s="83" t="n">
        <v>1423</v>
      </c>
      <c r="V33" s="83" t="n">
        <v>0</v>
      </c>
      <c r="W33" s="83" t="n">
        <v>134</v>
      </c>
      <c r="X33" s="98" t="n">
        <f aca="false">(SUM(T33:W33))+S33</f>
        <v>78957</v>
      </c>
      <c r="Y33" s="157" t="n">
        <f aca="false">R33-S33</f>
        <v>-1233.99000000001</v>
      </c>
      <c r="Z33" s="158"/>
      <c r="AA33" s="159" t="n">
        <f aca="false">R33-D33-H33</f>
        <v>45742.01</v>
      </c>
      <c r="AB33" s="171" t="n">
        <f aca="false">S33</f>
        <v>77400</v>
      </c>
      <c r="AC33" s="161" t="n">
        <f aca="false">S33-D33-H33</f>
        <v>46976</v>
      </c>
      <c r="AD33" s="75" t="n">
        <f aca="false">D33+H33</f>
        <v>30424</v>
      </c>
      <c r="AE33" s="75"/>
      <c r="AF33" s="163" t="n">
        <f aca="false">C33</f>
        <v>33703</v>
      </c>
      <c r="AG33" s="147" t="n">
        <f aca="false">E33</f>
        <v>-11181</v>
      </c>
      <c r="AH33" s="128"/>
      <c r="AI33" s="163" t="n">
        <f aca="false">G33</f>
        <v>6622</v>
      </c>
      <c r="AJ33" s="147" t="n">
        <f aca="false">I33</f>
        <v>-15490</v>
      </c>
      <c r="AK33" s="128"/>
      <c r="AL33" s="160" t="n">
        <f aca="false">L33+M33+P33</f>
        <v>37479.65</v>
      </c>
      <c r="AM33" s="164" t="n">
        <f aca="false">O33+N33</f>
        <v>-2201</v>
      </c>
      <c r="AN33" s="75"/>
      <c r="AO33" s="165" t="n">
        <f aca="false">AF33+AI33+AL33</f>
        <v>77804.65</v>
      </c>
      <c r="AP33" s="147" t="n">
        <f aca="false">AG33+AJ33+AM33+F33+J33</f>
        <v>-32028</v>
      </c>
      <c r="AQ33" s="166" t="n">
        <f aca="false">AO33+AP33</f>
        <v>45776.65</v>
      </c>
      <c r="AR33" s="167" t="n">
        <f aca="false">IF(AQ33-$AQ$8&gt;0,AQ33-$AQ$8,0)</f>
        <v>0</v>
      </c>
      <c r="AS33" s="136"/>
      <c r="AU33" s="158" t="n">
        <f aca="false">AQ33-AC33</f>
        <v>-1199.35000000001</v>
      </c>
      <c r="AV33" s="168" t="n">
        <f aca="false">F33+Q33</f>
        <v>-3156</v>
      </c>
      <c r="AX33" s="169" t="n">
        <f aca="false">$AQ$8-AQ33</f>
        <v>82805.35</v>
      </c>
    </row>
    <row r="34" customFormat="false" ht="17.1" hidden="false" customHeight="true" outlineLevel="0" collapsed="false">
      <c r="A34" s="77"/>
      <c r="B34" s="152" t="n">
        <f aca="false">B33+1</f>
        <v>37184</v>
      </c>
      <c r="C34" s="153" t="n">
        <v>23836</v>
      </c>
      <c r="D34" s="154" t="n">
        <v>7700</v>
      </c>
      <c r="E34" s="155" t="n">
        <v>-11837</v>
      </c>
      <c r="F34" s="156" t="n">
        <v>-3156</v>
      </c>
      <c r="G34" s="153" t="n">
        <v>6655</v>
      </c>
      <c r="H34" s="154" t="n">
        <v>23124</v>
      </c>
      <c r="I34" s="155" t="n">
        <v>-16936</v>
      </c>
      <c r="J34" s="156" t="n">
        <v>0</v>
      </c>
      <c r="K34" s="156" t="n">
        <f aca="false">(-G34-H34-I34)*0.0025</f>
        <v>-32.1075</v>
      </c>
      <c r="L34" s="153" t="n">
        <v>15930</v>
      </c>
      <c r="M34" s="156" t="n">
        <v>21906</v>
      </c>
      <c r="N34" s="83" t="n">
        <v>-295</v>
      </c>
      <c r="O34" s="83" t="n">
        <v>-1906</v>
      </c>
      <c r="P34" s="83" t="n">
        <f aca="false">(-L34-M34-N34-O34)*0.01</f>
        <v>-356.35</v>
      </c>
      <c r="Q34" s="98" t="n">
        <v>0</v>
      </c>
      <c r="R34" s="100" t="n">
        <f aca="false">SUM(C34,D34,E34,F34,G34,H34,I34,J34,K34,L34,M34,N34,O34,P34,Q34)</f>
        <v>64632.5425</v>
      </c>
      <c r="S34" s="101" t="n">
        <v>64311</v>
      </c>
      <c r="T34" s="98" t="n">
        <v>0</v>
      </c>
      <c r="U34" s="83" t="n">
        <v>623</v>
      </c>
      <c r="V34" s="83" t="n">
        <v>0</v>
      </c>
      <c r="W34" s="83" t="n">
        <v>37</v>
      </c>
      <c r="X34" s="98" t="n">
        <f aca="false">(SUM(T34:W34))+S34</f>
        <v>64971</v>
      </c>
      <c r="Y34" s="157" t="n">
        <f aca="false">R34-S34</f>
        <v>321.542500000003</v>
      </c>
      <c r="Z34" s="158"/>
      <c r="AA34" s="159" t="n">
        <f aca="false">R34-D34-H34</f>
        <v>33808.5425</v>
      </c>
      <c r="AB34" s="171" t="n">
        <f aca="false">S34</f>
        <v>64311</v>
      </c>
      <c r="AC34" s="161" t="n">
        <f aca="false">S34-D34-H34</f>
        <v>33487</v>
      </c>
      <c r="AD34" s="75" t="n">
        <f aca="false">D34+H34</f>
        <v>30824</v>
      </c>
      <c r="AE34" s="75"/>
      <c r="AF34" s="163" t="n">
        <f aca="false">C34</f>
        <v>23836</v>
      </c>
      <c r="AG34" s="147" t="n">
        <f aca="false">E34</f>
        <v>-11837</v>
      </c>
      <c r="AH34" s="128"/>
      <c r="AI34" s="163" t="n">
        <f aca="false">G34</f>
        <v>6655</v>
      </c>
      <c r="AJ34" s="147" t="n">
        <f aca="false">I34</f>
        <v>-16936</v>
      </c>
      <c r="AK34" s="128"/>
      <c r="AL34" s="160" t="n">
        <f aca="false">L34+M34+P34</f>
        <v>37479.65</v>
      </c>
      <c r="AM34" s="164" t="n">
        <f aca="false">O34+N34</f>
        <v>-2201</v>
      </c>
      <c r="AN34" s="75"/>
      <c r="AO34" s="165" t="n">
        <f aca="false">AF34+AI34+AL34</f>
        <v>67970.65</v>
      </c>
      <c r="AP34" s="147" t="n">
        <f aca="false">AG34+AJ34+AM34+F34+J34</f>
        <v>-34130</v>
      </c>
      <c r="AQ34" s="166" t="n">
        <f aca="false">AO34+AP34</f>
        <v>33840.65</v>
      </c>
      <c r="AR34" s="167" t="n">
        <f aca="false">IF(AQ34-$AQ$8&gt;0,AQ34-$AQ$8,0)</f>
        <v>0</v>
      </c>
      <c r="AS34" s="136"/>
      <c r="AU34" s="158" t="n">
        <f aca="false">AQ34-AC34</f>
        <v>353.649999999994</v>
      </c>
      <c r="AV34" s="168" t="n">
        <f aca="false">F34+Q34</f>
        <v>-3156</v>
      </c>
      <c r="AX34" s="169" t="n">
        <f aca="false">$AQ$8-AQ34</f>
        <v>94741.35</v>
      </c>
    </row>
    <row r="35" customFormat="false" ht="17.1" hidden="false" customHeight="true" outlineLevel="0" collapsed="false">
      <c r="A35" s="77"/>
      <c r="B35" s="152" t="n">
        <f aca="false">B34+1</f>
        <v>37185</v>
      </c>
      <c r="C35" s="153" t="n">
        <v>13836</v>
      </c>
      <c r="D35" s="154" t="n">
        <v>7700</v>
      </c>
      <c r="E35" s="172" t="n">
        <f aca="false">-17913+4009</f>
        <v>-13904</v>
      </c>
      <c r="F35" s="156" t="n">
        <v>-3156</v>
      </c>
      <c r="G35" s="153" t="n">
        <v>9365</v>
      </c>
      <c r="H35" s="154" t="n">
        <v>23124</v>
      </c>
      <c r="I35" s="155" t="n">
        <v>-16947</v>
      </c>
      <c r="J35" s="156" t="n">
        <v>0</v>
      </c>
      <c r="K35" s="156" t="n">
        <f aca="false">(-G35-H35-I35)*0.0025</f>
        <v>-38.855</v>
      </c>
      <c r="L35" s="153" t="n">
        <v>15930</v>
      </c>
      <c r="M35" s="156" t="n">
        <v>21906</v>
      </c>
      <c r="N35" s="83" t="n">
        <v>-295</v>
      </c>
      <c r="O35" s="83" t="n">
        <v>-1906</v>
      </c>
      <c r="P35" s="83" t="n">
        <f aca="false">(-L35-M35-N35-O35)*0.01</f>
        <v>-356.35</v>
      </c>
      <c r="Q35" s="98" t="n">
        <v>0</v>
      </c>
      <c r="R35" s="100" t="n">
        <f aca="false">SUM(C35,D35,E35,F35,G35,H35,I35,J35,K35,L35,M35,N35,O35,P35,Q35)</f>
        <v>55257.795</v>
      </c>
      <c r="S35" s="101" t="n">
        <v>53084</v>
      </c>
      <c r="T35" s="98" t="n">
        <v>18799</v>
      </c>
      <c r="U35" s="83" t="n">
        <v>34</v>
      </c>
      <c r="V35" s="83" t="n">
        <v>0</v>
      </c>
      <c r="W35" s="83" t="n">
        <v>23</v>
      </c>
      <c r="X35" s="98" t="n">
        <f aca="false">(SUM(T35:W35))+S35</f>
        <v>71940</v>
      </c>
      <c r="Y35" s="157" t="n">
        <f aca="false">R35-S35</f>
        <v>2173.795</v>
      </c>
      <c r="Z35" s="158"/>
      <c r="AA35" s="159" t="n">
        <f aca="false">R35-D35-H35</f>
        <v>24433.795</v>
      </c>
      <c r="AB35" s="171" t="n">
        <f aca="false">S35</f>
        <v>53084</v>
      </c>
      <c r="AC35" s="161" t="n">
        <f aca="false">S35-D35-H35</f>
        <v>22260</v>
      </c>
      <c r="AD35" s="75" t="n">
        <f aca="false">D35+H35</f>
        <v>30824</v>
      </c>
      <c r="AE35" s="75"/>
      <c r="AF35" s="163" t="n">
        <f aca="false">C35</f>
        <v>13836</v>
      </c>
      <c r="AG35" s="147" t="n">
        <f aca="false">E35</f>
        <v>-13904</v>
      </c>
      <c r="AH35" s="128"/>
      <c r="AI35" s="163" t="n">
        <f aca="false">G35</f>
        <v>9365</v>
      </c>
      <c r="AJ35" s="147" t="n">
        <f aca="false">I35</f>
        <v>-16947</v>
      </c>
      <c r="AK35" s="128"/>
      <c r="AL35" s="160" t="n">
        <f aca="false">L35+M35+P35</f>
        <v>37479.65</v>
      </c>
      <c r="AM35" s="164" t="n">
        <f aca="false">O35+N35</f>
        <v>-2201</v>
      </c>
      <c r="AN35" s="75"/>
      <c r="AO35" s="165" t="n">
        <f aca="false">AF35+AI35+AL35</f>
        <v>60680.65</v>
      </c>
      <c r="AP35" s="147" t="n">
        <f aca="false">AG35+AJ35+AM35+F35+J35</f>
        <v>-36208</v>
      </c>
      <c r="AQ35" s="166" t="n">
        <f aca="false">AO35+AP35</f>
        <v>24472.65</v>
      </c>
      <c r="AR35" s="167" t="n">
        <f aca="false">IF(AQ35-$AQ$8&gt;0,AQ35-$AQ$8,0)</f>
        <v>0</v>
      </c>
      <c r="AS35" s="136"/>
      <c r="AU35" s="158" t="n">
        <f aca="false">AQ35-AC35</f>
        <v>2212.65</v>
      </c>
      <c r="AV35" s="168" t="n">
        <f aca="false">F35+Q35</f>
        <v>-3156</v>
      </c>
      <c r="AX35" s="169" t="n">
        <f aca="false">$AQ$8-AQ35</f>
        <v>104109.35</v>
      </c>
    </row>
    <row r="36" customFormat="false" ht="17.1" hidden="false" customHeight="true" outlineLevel="0" collapsed="false">
      <c r="A36" s="77"/>
      <c r="B36" s="152" t="n">
        <f aca="false">B35+1</f>
        <v>37186</v>
      </c>
      <c r="C36" s="153" t="n">
        <v>15836</v>
      </c>
      <c r="D36" s="154" t="n">
        <v>8050</v>
      </c>
      <c r="E36" s="155" t="n">
        <v>-11482</v>
      </c>
      <c r="F36" s="156" t="n">
        <v>-3156</v>
      </c>
      <c r="G36" s="153" t="n">
        <v>7964</v>
      </c>
      <c r="H36" s="154" t="n">
        <v>11935</v>
      </c>
      <c r="I36" s="155" t="n">
        <v>-15932</v>
      </c>
      <c r="J36" s="156" t="n">
        <v>0</v>
      </c>
      <c r="K36" s="156" t="n">
        <f aca="false">(-G36-H36-I36)*0.0025</f>
        <v>-9.9175</v>
      </c>
      <c r="L36" s="153" t="n">
        <v>15930</v>
      </c>
      <c r="M36" s="156" t="n">
        <v>21906</v>
      </c>
      <c r="N36" s="83" t="n">
        <v>-295</v>
      </c>
      <c r="O36" s="83" t="n">
        <v>-1906</v>
      </c>
      <c r="P36" s="83" t="n">
        <f aca="false">(-L36-M36-N36-O36)*0.01</f>
        <v>-356.35</v>
      </c>
      <c r="Q36" s="98" t="n">
        <v>0</v>
      </c>
      <c r="R36" s="100" t="n">
        <f aca="false">SUM(C36,D36,E36,F36,G36,H36,I36,J36,K36,L36,M36,N36,O36,P36,Q36)</f>
        <v>48483.7325</v>
      </c>
      <c r="S36" s="101" t="n">
        <v>51943</v>
      </c>
      <c r="T36" s="98" t="n">
        <v>68747</v>
      </c>
      <c r="U36" s="83" t="n">
        <v>232</v>
      </c>
      <c r="V36" s="83" t="n">
        <v>0</v>
      </c>
      <c r="W36" s="83" t="n">
        <v>31</v>
      </c>
      <c r="X36" s="98" t="n">
        <f aca="false">(SUM(T36:W36))+S36</f>
        <v>120953</v>
      </c>
      <c r="Y36" s="157" t="n">
        <f aca="false">R36-S36</f>
        <v>-3459.2675</v>
      </c>
      <c r="Z36" s="158"/>
      <c r="AA36" s="159" t="n">
        <f aca="false">R36-D36-H36</f>
        <v>28498.7325</v>
      </c>
      <c r="AB36" s="171" t="n">
        <f aca="false">S36</f>
        <v>51943</v>
      </c>
      <c r="AC36" s="161" t="n">
        <f aca="false">S36-D36-H36</f>
        <v>31958</v>
      </c>
      <c r="AD36" s="75" t="n">
        <f aca="false">D36+H36</f>
        <v>19985</v>
      </c>
      <c r="AE36" s="75"/>
      <c r="AF36" s="163" t="n">
        <f aca="false">C36</f>
        <v>15836</v>
      </c>
      <c r="AG36" s="147" t="n">
        <f aca="false">E36</f>
        <v>-11482</v>
      </c>
      <c r="AH36" s="128"/>
      <c r="AI36" s="163" t="n">
        <f aca="false">G36</f>
        <v>7964</v>
      </c>
      <c r="AJ36" s="147" t="n">
        <f aca="false">I36</f>
        <v>-15932</v>
      </c>
      <c r="AK36" s="128"/>
      <c r="AL36" s="160" t="n">
        <f aca="false">L36+M36+P36</f>
        <v>37479.65</v>
      </c>
      <c r="AM36" s="164" t="n">
        <f aca="false">O36+N36</f>
        <v>-2201</v>
      </c>
      <c r="AN36" s="75"/>
      <c r="AO36" s="165" t="n">
        <f aca="false">AF36+AI36+AL36</f>
        <v>61279.65</v>
      </c>
      <c r="AP36" s="147" t="n">
        <f aca="false">AG36+AJ36+AM36+F36+J36</f>
        <v>-32771</v>
      </c>
      <c r="AQ36" s="166" t="n">
        <f aca="false">AO36+AP36</f>
        <v>28508.65</v>
      </c>
      <c r="AR36" s="167" t="n">
        <f aca="false">IF(AQ36-$AQ$8&gt;0,AQ36-$AQ$8,0)</f>
        <v>0</v>
      </c>
      <c r="AS36" s="136"/>
      <c r="AU36" s="158" t="n">
        <f aca="false">AQ36-AC36</f>
        <v>-3449.35</v>
      </c>
      <c r="AV36" s="168" t="n">
        <f aca="false">F36+Q36</f>
        <v>-3156</v>
      </c>
      <c r="AX36" s="169" t="n">
        <f aca="false">$AQ$8-AQ36</f>
        <v>100073.35</v>
      </c>
    </row>
    <row r="37" customFormat="false" ht="17.1" hidden="false" customHeight="true" outlineLevel="0" collapsed="false">
      <c r="A37" s="77"/>
      <c r="B37" s="152" t="n">
        <f aca="false">B36+1</f>
        <v>37187</v>
      </c>
      <c r="C37" s="153" t="n">
        <v>16284</v>
      </c>
      <c r="D37" s="154" t="n">
        <v>13400</v>
      </c>
      <c r="E37" s="172" t="n">
        <f aca="false">4463-12000</f>
        <v>-7537</v>
      </c>
      <c r="F37" s="156" t="n">
        <v>-3156</v>
      </c>
      <c r="G37" s="153" t="n">
        <f aca="false">6564+80</f>
        <v>6644</v>
      </c>
      <c r="H37" s="154" t="n">
        <v>15427</v>
      </c>
      <c r="I37" s="155" t="n">
        <v>-16950</v>
      </c>
      <c r="J37" s="156" t="n">
        <v>0</v>
      </c>
      <c r="K37" s="156" t="n">
        <f aca="false">(-G37-H37-I37)*0.0025</f>
        <v>-12.8025</v>
      </c>
      <c r="L37" s="153" t="n">
        <v>15930</v>
      </c>
      <c r="M37" s="156" t="n">
        <v>17906</v>
      </c>
      <c r="N37" s="83" t="n">
        <v>-295</v>
      </c>
      <c r="O37" s="83" t="n">
        <v>-1906</v>
      </c>
      <c r="P37" s="83" t="n">
        <f aca="false">(-L37-M37-N37-O37)*0.01</f>
        <v>-316.35</v>
      </c>
      <c r="Q37" s="98" t="n">
        <v>0</v>
      </c>
      <c r="R37" s="100" t="n">
        <f aca="false">SUM(C37,D37,E37,F37,G37,H37,I37,J37,K37,L37,M37,N37,O37,P37,Q37)</f>
        <v>55417.8475</v>
      </c>
      <c r="S37" s="101" t="n">
        <v>55121</v>
      </c>
      <c r="T37" s="98" t="n">
        <v>3413</v>
      </c>
      <c r="U37" s="83" t="n">
        <v>3493</v>
      </c>
      <c r="V37" s="83" t="n">
        <v>0</v>
      </c>
      <c r="W37" s="83" t="n">
        <v>20</v>
      </c>
      <c r="X37" s="98" t="n">
        <f aca="false">(SUM(T37:W37))+S37</f>
        <v>62047</v>
      </c>
      <c r="Y37" s="157" t="n">
        <f aca="false">R37-S37</f>
        <v>296.847500000004</v>
      </c>
      <c r="Z37" s="158"/>
      <c r="AA37" s="159" t="n">
        <f aca="false">R37-D37-H37</f>
        <v>26590.8475</v>
      </c>
      <c r="AB37" s="171" t="n">
        <f aca="false">S37</f>
        <v>55121</v>
      </c>
      <c r="AC37" s="161" t="n">
        <f aca="false">S37-D37-H37</f>
        <v>26294</v>
      </c>
      <c r="AD37" s="75" t="n">
        <f aca="false">D37+H37</f>
        <v>28827</v>
      </c>
      <c r="AE37" s="75"/>
      <c r="AF37" s="163" t="n">
        <f aca="false">C37</f>
        <v>16284</v>
      </c>
      <c r="AG37" s="147" t="n">
        <f aca="false">E37</f>
        <v>-7537</v>
      </c>
      <c r="AH37" s="128"/>
      <c r="AI37" s="163" t="n">
        <f aca="false">G37</f>
        <v>6644</v>
      </c>
      <c r="AJ37" s="147" t="n">
        <f aca="false">I37</f>
        <v>-16950</v>
      </c>
      <c r="AK37" s="128"/>
      <c r="AL37" s="160" t="n">
        <f aca="false">L37+M37+P37</f>
        <v>33519.65</v>
      </c>
      <c r="AM37" s="164" t="n">
        <f aca="false">O37+N37</f>
        <v>-2201</v>
      </c>
      <c r="AN37" s="75"/>
      <c r="AO37" s="165" t="n">
        <f aca="false">AF37+AI37+AL37</f>
        <v>56447.65</v>
      </c>
      <c r="AP37" s="147" t="n">
        <f aca="false">AG37+AJ37+AM37+F37+J37</f>
        <v>-29844</v>
      </c>
      <c r="AQ37" s="166" t="n">
        <f aca="false">AO37+AP37</f>
        <v>26603.65</v>
      </c>
      <c r="AR37" s="167" t="n">
        <f aca="false">IF(AQ37-$AQ$8&gt;0,AQ37-$AQ$8,0)</f>
        <v>0</v>
      </c>
      <c r="AS37" s="136"/>
      <c r="AU37" s="158" t="n">
        <f aca="false">AQ37-AC37</f>
        <v>309.650000000001</v>
      </c>
      <c r="AV37" s="168" t="n">
        <f aca="false">F37+Q37</f>
        <v>-3156</v>
      </c>
      <c r="AX37" s="169" t="n">
        <f aca="false">$AQ$8-AQ37</f>
        <v>101978.35</v>
      </c>
    </row>
    <row r="38" customFormat="false" ht="17.1" hidden="false" customHeight="true" outlineLevel="0" collapsed="false">
      <c r="A38" s="77"/>
      <c r="B38" s="152" t="n">
        <f aca="false">B37+1</f>
        <v>37188</v>
      </c>
      <c r="C38" s="153" t="n">
        <v>9284</v>
      </c>
      <c r="D38" s="154" t="n">
        <v>7700</v>
      </c>
      <c r="E38" s="172" t="n">
        <f aca="false">-3374-8000</f>
        <v>-11374</v>
      </c>
      <c r="F38" s="156" t="n">
        <v>-3156</v>
      </c>
      <c r="G38" s="153" t="n">
        <v>15502</v>
      </c>
      <c r="H38" s="154" t="n">
        <v>24623</v>
      </c>
      <c r="I38" s="155" t="n">
        <v>-16376</v>
      </c>
      <c r="J38" s="156" t="n">
        <v>0</v>
      </c>
      <c r="K38" s="156" t="n">
        <f aca="false">(-G38-H38-I38)*0.0025</f>
        <v>-59.3725</v>
      </c>
      <c r="L38" s="153" t="n">
        <v>15930</v>
      </c>
      <c r="M38" s="156" t="n">
        <v>17906</v>
      </c>
      <c r="N38" s="83" t="n">
        <v>-295</v>
      </c>
      <c r="O38" s="83" t="n">
        <v>-1906</v>
      </c>
      <c r="P38" s="83" t="n">
        <f aca="false">(-L38-M38-N38-O38)*0.01</f>
        <v>-316.35</v>
      </c>
      <c r="Q38" s="98" t="n">
        <v>0</v>
      </c>
      <c r="R38" s="100" t="n">
        <f aca="false">SUM(C38,D38,E38,F38,G38,H38,I38,J38,K38,L38,M38,N38,O38,P38,Q38)</f>
        <v>57462.2775</v>
      </c>
      <c r="S38" s="101" t="n">
        <v>59698</v>
      </c>
      <c r="T38" s="98" t="n">
        <v>59362</v>
      </c>
      <c r="U38" s="83" t="n">
        <v>297</v>
      </c>
      <c r="V38" s="83" t="n">
        <v>3</v>
      </c>
      <c r="W38" s="83" t="n">
        <v>22</v>
      </c>
      <c r="X38" s="98" t="n">
        <f aca="false">(SUM(T38:W38))+S38</f>
        <v>119382</v>
      </c>
      <c r="Y38" s="157" t="n">
        <f aca="false">R38-S38</f>
        <v>-2235.7225</v>
      </c>
      <c r="Z38" s="158"/>
      <c r="AA38" s="159" t="n">
        <f aca="false">R38-D38-H38</f>
        <v>25139.2775</v>
      </c>
      <c r="AB38" s="171" t="n">
        <f aca="false">S38</f>
        <v>59698</v>
      </c>
      <c r="AC38" s="161" t="n">
        <f aca="false">S38-D38-H38</f>
        <v>27375</v>
      </c>
      <c r="AD38" s="75" t="n">
        <f aca="false">D38+H38</f>
        <v>32323</v>
      </c>
      <c r="AE38" s="75"/>
      <c r="AF38" s="163" t="n">
        <f aca="false">C38</f>
        <v>9284</v>
      </c>
      <c r="AG38" s="147" t="n">
        <f aca="false">E38</f>
        <v>-11374</v>
      </c>
      <c r="AH38" s="128"/>
      <c r="AI38" s="163" t="n">
        <f aca="false">G38</f>
        <v>15502</v>
      </c>
      <c r="AJ38" s="147" t="n">
        <f aca="false">I38</f>
        <v>-16376</v>
      </c>
      <c r="AK38" s="128"/>
      <c r="AL38" s="160" t="n">
        <f aca="false">L38+M38+P38</f>
        <v>33519.65</v>
      </c>
      <c r="AM38" s="164" t="n">
        <f aca="false">O38+N38</f>
        <v>-2201</v>
      </c>
      <c r="AN38" s="75"/>
      <c r="AO38" s="165" t="n">
        <f aca="false">AF38+AI38+AL38</f>
        <v>58305.65</v>
      </c>
      <c r="AP38" s="147" t="n">
        <f aca="false">AG38+AJ38+AM38+F38+J38</f>
        <v>-33107</v>
      </c>
      <c r="AQ38" s="166" t="n">
        <f aca="false">AO38+AP38</f>
        <v>25198.65</v>
      </c>
      <c r="AR38" s="167" t="n">
        <f aca="false">IF(AQ38-$AQ$8&gt;0,AQ38-$AQ$8,0)</f>
        <v>0</v>
      </c>
      <c r="AS38" s="136"/>
      <c r="AU38" s="158" t="n">
        <f aca="false">AQ38-AC38</f>
        <v>-2176.35</v>
      </c>
      <c r="AV38" s="168" t="n">
        <f aca="false">F38+Q38</f>
        <v>-3156</v>
      </c>
      <c r="AX38" s="169" t="n">
        <f aca="false">$AQ$8-AQ38</f>
        <v>103383.35</v>
      </c>
    </row>
    <row r="39" customFormat="false" ht="17.1" hidden="false" customHeight="true" outlineLevel="0" collapsed="false">
      <c r="A39" s="77"/>
      <c r="B39" s="152" t="n">
        <f aca="false">B38+1</f>
        <v>37189</v>
      </c>
      <c r="C39" s="153" t="n">
        <v>24255</v>
      </c>
      <c r="D39" s="154" t="n">
        <v>7700</v>
      </c>
      <c r="E39" s="172" t="n">
        <f aca="false">-15216+6203</f>
        <v>-9013</v>
      </c>
      <c r="F39" s="156" t="n">
        <v>-3156</v>
      </c>
      <c r="G39" s="153" t="n">
        <v>4143</v>
      </c>
      <c r="H39" s="154" t="n">
        <v>23623</v>
      </c>
      <c r="I39" s="155" t="n">
        <v>-16406</v>
      </c>
      <c r="J39" s="156" t="n">
        <v>0</v>
      </c>
      <c r="K39" s="156" t="n">
        <f aca="false">(-G39-H39-I39)*0.0025</f>
        <v>-28.4</v>
      </c>
      <c r="L39" s="153" t="n">
        <v>15930</v>
      </c>
      <c r="M39" s="156" t="n">
        <v>15406</v>
      </c>
      <c r="N39" s="83" t="n">
        <v>-295</v>
      </c>
      <c r="O39" s="83" t="n">
        <v>-1906</v>
      </c>
      <c r="P39" s="83" t="n">
        <f aca="false">(-L39-M39-N39-O39)*0.01</f>
        <v>-291.35</v>
      </c>
      <c r="Q39" s="98" t="n">
        <v>0</v>
      </c>
      <c r="R39" s="100" t="n">
        <f aca="false">SUM(C39,D39,E39,F39,G39,H39,I39,J39,K39,L39,M39,N39,O39,P39,Q39)</f>
        <v>59961.25</v>
      </c>
      <c r="S39" s="101" t="n">
        <v>59936</v>
      </c>
      <c r="T39" s="98" t="n">
        <v>27552</v>
      </c>
      <c r="U39" s="83" t="n">
        <v>1627</v>
      </c>
      <c r="V39" s="83" t="n">
        <v>1</v>
      </c>
      <c r="W39" s="83" t="n">
        <v>57</v>
      </c>
      <c r="X39" s="98" t="n">
        <f aca="false">(SUM(T39:W39))+S39</f>
        <v>89173</v>
      </c>
      <c r="Y39" s="157" t="n">
        <f aca="false">R39-S39</f>
        <v>25.25</v>
      </c>
      <c r="Z39" s="158"/>
      <c r="AA39" s="159" t="n">
        <f aca="false">R39-D39-H39</f>
        <v>28638.25</v>
      </c>
      <c r="AB39" s="171" t="n">
        <f aca="false">S39</f>
        <v>59936</v>
      </c>
      <c r="AC39" s="161" t="n">
        <f aca="false">S39-D39-H39</f>
        <v>28613</v>
      </c>
      <c r="AD39" s="75" t="n">
        <f aca="false">D39+H39</f>
        <v>31323</v>
      </c>
      <c r="AE39" s="75"/>
      <c r="AF39" s="163" t="n">
        <f aca="false">C39</f>
        <v>24255</v>
      </c>
      <c r="AG39" s="147" t="n">
        <f aca="false">E39</f>
        <v>-9013</v>
      </c>
      <c r="AH39" s="128"/>
      <c r="AI39" s="163" t="n">
        <f aca="false">G39</f>
        <v>4143</v>
      </c>
      <c r="AJ39" s="147" t="n">
        <f aca="false">I39</f>
        <v>-16406</v>
      </c>
      <c r="AK39" s="128"/>
      <c r="AL39" s="160" t="n">
        <f aca="false">L39+M39+P39</f>
        <v>31044.65</v>
      </c>
      <c r="AM39" s="164" t="n">
        <f aca="false">O39+N39</f>
        <v>-2201</v>
      </c>
      <c r="AN39" s="75"/>
      <c r="AO39" s="165" t="n">
        <f aca="false">AF39+AI39+AL39</f>
        <v>59442.65</v>
      </c>
      <c r="AP39" s="147" t="n">
        <f aca="false">AG39+AJ39+AM39+F39+J39</f>
        <v>-30776</v>
      </c>
      <c r="AQ39" s="166" t="n">
        <f aca="false">AO39+AP39</f>
        <v>28666.65</v>
      </c>
      <c r="AR39" s="167" t="n">
        <f aca="false">IF(AQ39-$AQ$8&gt;0,AQ39-$AQ$8,0)</f>
        <v>0</v>
      </c>
      <c r="AS39" s="136"/>
      <c r="AU39" s="158" t="n">
        <f aca="false">AQ39-AC39</f>
        <v>53.6500000000015</v>
      </c>
      <c r="AV39" s="168" t="n">
        <f aca="false">F39+Q39</f>
        <v>-3156</v>
      </c>
      <c r="AX39" s="169" t="n">
        <f aca="false">$AQ$8-AQ39</f>
        <v>99915.35</v>
      </c>
    </row>
    <row r="40" customFormat="false" ht="17.1" hidden="false" customHeight="true" outlineLevel="0" collapsed="false">
      <c r="A40" s="77"/>
      <c r="B40" s="152" t="n">
        <f aca="false">B39+1</f>
        <v>37190</v>
      </c>
      <c r="C40" s="153" t="n">
        <v>36284</v>
      </c>
      <c r="D40" s="154" t="n">
        <v>7950</v>
      </c>
      <c r="E40" s="172" t="n">
        <f aca="false">615-6627+7000</f>
        <v>988</v>
      </c>
      <c r="F40" s="156" t="n">
        <v>-3156</v>
      </c>
      <c r="G40" s="153" t="n">
        <v>9639</v>
      </c>
      <c r="H40" s="154" t="n">
        <v>14523</v>
      </c>
      <c r="I40" s="155" t="n">
        <v>-11234</v>
      </c>
      <c r="J40" s="156" t="n">
        <v>0</v>
      </c>
      <c r="K40" s="156" t="n">
        <f aca="false">(-G40-H40-I40)*0.0025</f>
        <v>-32.32</v>
      </c>
      <c r="L40" s="153" t="n">
        <v>15930</v>
      </c>
      <c r="M40" s="156" t="n">
        <v>21906</v>
      </c>
      <c r="N40" s="83" t="n">
        <v>-295</v>
      </c>
      <c r="O40" s="83" t="n">
        <v>-1906</v>
      </c>
      <c r="P40" s="83" t="n">
        <f aca="false">(-L40-M40-N40-O40)*0.01</f>
        <v>-356.35</v>
      </c>
      <c r="Q40" s="98" t="n">
        <v>0</v>
      </c>
      <c r="R40" s="100" t="n">
        <f aca="false">SUM(C40,D40,E40,F40,G40,H40,I40,J40,K40,L40,M40,N40,O40,P40,Q40)</f>
        <v>90240.33</v>
      </c>
      <c r="S40" s="101" t="n">
        <v>90578</v>
      </c>
      <c r="T40" s="98" t="n">
        <v>0</v>
      </c>
      <c r="U40" s="83" t="n">
        <v>3423</v>
      </c>
      <c r="V40" s="83" t="n">
        <v>212</v>
      </c>
      <c r="W40" s="83" t="n">
        <v>319</v>
      </c>
      <c r="X40" s="98" t="n">
        <f aca="false">(SUM(T40:W40))+S40</f>
        <v>94532</v>
      </c>
      <c r="Y40" s="157" t="n">
        <f aca="false">R40-S40</f>
        <v>-337.669999999998</v>
      </c>
      <c r="Z40" s="158"/>
      <c r="AA40" s="159" t="n">
        <f aca="false">R40-D40-H40</f>
        <v>67767.33</v>
      </c>
      <c r="AB40" s="171" t="n">
        <f aca="false">S40</f>
        <v>90578</v>
      </c>
      <c r="AC40" s="161" t="n">
        <f aca="false">S40-D40-H40</f>
        <v>68105</v>
      </c>
      <c r="AD40" s="75" t="n">
        <f aca="false">D40+H40</f>
        <v>22473</v>
      </c>
      <c r="AE40" s="75"/>
      <c r="AF40" s="163" t="n">
        <f aca="false">C40</f>
        <v>36284</v>
      </c>
      <c r="AG40" s="147" t="n">
        <f aca="false">E40</f>
        <v>988</v>
      </c>
      <c r="AH40" s="128"/>
      <c r="AI40" s="163" t="n">
        <f aca="false">G40</f>
        <v>9639</v>
      </c>
      <c r="AJ40" s="147" t="n">
        <f aca="false">I40</f>
        <v>-11234</v>
      </c>
      <c r="AK40" s="128"/>
      <c r="AL40" s="160" t="n">
        <f aca="false">L40+M40+P40</f>
        <v>37479.65</v>
      </c>
      <c r="AM40" s="164" t="n">
        <f aca="false">O40+N40</f>
        <v>-2201</v>
      </c>
      <c r="AN40" s="75"/>
      <c r="AO40" s="165" t="n">
        <f aca="false">AF40+AI40+AL40</f>
        <v>83402.65</v>
      </c>
      <c r="AP40" s="147" t="n">
        <f aca="false">AG40+AJ40+AM40+F40+J40</f>
        <v>-15603</v>
      </c>
      <c r="AQ40" s="166" t="n">
        <f aca="false">AO40+AP40</f>
        <v>67799.65</v>
      </c>
      <c r="AR40" s="167" t="n">
        <f aca="false">IF(AQ40-$AQ$8&gt;0,AQ40-$AQ$8,0)</f>
        <v>0</v>
      </c>
      <c r="AS40" s="136"/>
      <c r="AU40" s="158" t="n">
        <f aca="false">AQ40-AC40</f>
        <v>-305.350000000006</v>
      </c>
      <c r="AV40" s="168" t="n">
        <f aca="false">F40+Q40</f>
        <v>-3156</v>
      </c>
      <c r="AX40" s="169" t="n">
        <f aca="false">$AQ$8-AQ40</f>
        <v>60782.35</v>
      </c>
    </row>
    <row r="41" customFormat="false" ht="17.1" hidden="false" customHeight="true" outlineLevel="0" collapsed="false">
      <c r="A41" s="77"/>
      <c r="B41" s="152" t="n">
        <f aca="false">B40+1</f>
        <v>37191</v>
      </c>
      <c r="C41" s="153" t="n">
        <v>67279</v>
      </c>
      <c r="D41" s="154" t="n">
        <v>16454</v>
      </c>
      <c r="E41" s="172" t="n">
        <f aca="false">-13561+8541-16000</f>
        <v>-21020</v>
      </c>
      <c r="F41" s="156" t="n">
        <v>-3156</v>
      </c>
      <c r="G41" s="153" t="n">
        <v>9639</v>
      </c>
      <c r="H41" s="154" t="n">
        <v>24037</v>
      </c>
      <c r="I41" s="155" t="n">
        <v>4368</v>
      </c>
      <c r="J41" s="156" t="n">
        <v>0</v>
      </c>
      <c r="K41" s="156" t="n">
        <f aca="false">(-G41-H41-I41)*0.0025</f>
        <v>-95.11</v>
      </c>
      <c r="L41" s="153" t="n">
        <v>15930</v>
      </c>
      <c r="M41" s="156" t="n">
        <v>21906</v>
      </c>
      <c r="N41" s="83" t="n">
        <v>-295</v>
      </c>
      <c r="O41" s="83" t="n">
        <v>-1906</v>
      </c>
      <c r="P41" s="83" t="n">
        <f aca="false">(-L41-M41-N41-O41)*0.01</f>
        <v>-356.35</v>
      </c>
      <c r="Q41" s="98" t="n">
        <v>0</v>
      </c>
      <c r="R41" s="100" t="n">
        <f aca="false">SUM(C41,D41,E41,F41,G41,H41,I41,J41,K41,L41,M41,N41,O41,P41,Q41)</f>
        <v>132784.54</v>
      </c>
      <c r="S41" s="101" t="n">
        <v>132354</v>
      </c>
      <c r="T41" s="98" t="n">
        <v>882</v>
      </c>
      <c r="U41" s="83" t="n">
        <v>34491</v>
      </c>
      <c r="V41" s="83" t="n">
        <v>662</v>
      </c>
      <c r="W41" s="83" t="n">
        <v>506</v>
      </c>
      <c r="X41" s="98" t="n">
        <f aca="false">(SUM(T41:W41))+S41</f>
        <v>168895</v>
      </c>
      <c r="Y41" s="157" t="n">
        <f aca="false">R41-S41</f>
        <v>430.540000000008</v>
      </c>
      <c r="Z41" s="158"/>
      <c r="AA41" s="159" t="n">
        <f aca="false">R41-D41-H41</f>
        <v>92293.54</v>
      </c>
      <c r="AB41" s="171" t="n">
        <f aca="false">S41</f>
        <v>132354</v>
      </c>
      <c r="AC41" s="161" t="n">
        <f aca="false">S41-D41-H41</f>
        <v>91863</v>
      </c>
      <c r="AD41" s="75" t="n">
        <f aca="false">D41+H41</f>
        <v>40491</v>
      </c>
      <c r="AE41" s="75"/>
      <c r="AF41" s="163" t="n">
        <f aca="false">C41</f>
        <v>67279</v>
      </c>
      <c r="AG41" s="147" t="n">
        <f aca="false">E41</f>
        <v>-21020</v>
      </c>
      <c r="AH41" s="128"/>
      <c r="AI41" s="163" t="n">
        <f aca="false">G41</f>
        <v>9639</v>
      </c>
      <c r="AJ41" s="147" t="n">
        <f aca="false">I41</f>
        <v>4368</v>
      </c>
      <c r="AK41" s="128"/>
      <c r="AL41" s="160" t="n">
        <f aca="false">L41+M41+P41</f>
        <v>37479.65</v>
      </c>
      <c r="AM41" s="164" t="n">
        <f aca="false">O41+N41</f>
        <v>-2201</v>
      </c>
      <c r="AN41" s="75"/>
      <c r="AO41" s="165" t="n">
        <f aca="false">AF41+AI41+AL41</f>
        <v>114397.65</v>
      </c>
      <c r="AP41" s="147" t="n">
        <f aca="false">AG41+AJ41+AM41+F41+J41</f>
        <v>-22009</v>
      </c>
      <c r="AQ41" s="166" t="n">
        <f aca="false">AO41+AP41</f>
        <v>92388.65</v>
      </c>
      <c r="AR41" s="167" t="n">
        <f aca="false">IF(AQ41-$AQ$8&gt;0,AQ41-$AQ$8,0)</f>
        <v>0</v>
      </c>
      <c r="AS41" s="136"/>
      <c r="AU41" s="158" t="n">
        <f aca="false">AQ41-AC41</f>
        <v>525.649999999994</v>
      </c>
      <c r="AV41" s="168" t="n">
        <f aca="false">F41+Q41</f>
        <v>-3156</v>
      </c>
      <c r="AX41" s="169" t="n">
        <f aca="false">$AQ$8-AQ41</f>
        <v>36193.35</v>
      </c>
    </row>
    <row r="42" customFormat="false" ht="17.1" hidden="false" customHeight="true" outlineLevel="0" collapsed="false">
      <c r="A42" s="77"/>
      <c r="B42" s="152" t="n">
        <f aca="false">B41+1</f>
        <v>37192</v>
      </c>
      <c r="C42" s="153" t="n">
        <v>60778</v>
      </c>
      <c r="D42" s="154" t="n">
        <v>18458</v>
      </c>
      <c r="E42" s="172" t="n">
        <f aca="false">1319-13019</f>
        <v>-11700</v>
      </c>
      <c r="F42" s="156" t="n">
        <v>-3156</v>
      </c>
      <c r="G42" s="153" t="n">
        <v>9639</v>
      </c>
      <c r="H42" s="154" t="n">
        <v>31037</v>
      </c>
      <c r="I42" s="155" t="n">
        <v>6670</v>
      </c>
      <c r="J42" s="156" t="n">
        <v>0</v>
      </c>
      <c r="K42" s="156" t="n">
        <f aca="false">(-G42-H42-I42)*0.0025</f>
        <v>-118.365</v>
      </c>
      <c r="L42" s="153" t="n">
        <v>15930</v>
      </c>
      <c r="M42" s="156" t="n">
        <v>21906</v>
      </c>
      <c r="N42" s="83" t="n">
        <v>-295</v>
      </c>
      <c r="O42" s="83" t="n">
        <v>-1906</v>
      </c>
      <c r="P42" s="83" t="n">
        <f aca="false">(-L42-M42-N42-O42)*0.01</f>
        <v>-356.35</v>
      </c>
      <c r="Q42" s="98" t="n">
        <v>0</v>
      </c>
      <c r="R42" s="100" t="n">
        <f aca="false">SUM(C42,D42,E42,F42,G42,H42,I42,J42,K42,L42,M42,N42,O42,P42,Q42)</f>
        <v>146886.285</v>
      </c>
      <c r="S42" s="101" t="n">
        <v>146088</v>
      </c>
      <c r="T42" s="98" t="n">
        <v>32362</v>
      </c>
      <c r="U42" s="83" t="n">
        <v>38557</v>
      </c>
      <c r="V42" s="83" t="n">
        <v>2622</v>
      </c>
      <c r="W42" s="83" t="n">
        <v>1007</v>
      </c>
      <c r="X42" s="98" t="n">
        <f aca="false">(SUM(T42:W42))+S42</f>
        <v>220636</v>
      </c>
      <c r="Y42" s="157" t="n">
        <f aca="false">R42-S42</f>
        <v>798.285000000004</v>
      </c>
      <c r="Z42" s="158"/>
      <c r="AA42" s="159" t="n">
        <f aca="false">R42-D42-H42</f>
        <v>97391.285</v>
      </c>
      <c r="AB42" s="171" t="n">
        <f aca="false">S42</f>
        <v>146088</v>
      </c>
      <c r="AC42" s="161" t="n">
        <f aca="false">S42-D42-H42</f>
        <v>96593</v>
      </c>
      <c r="AD42" s="75" t="n">
        <f aca="false">D42+H42</f>
        <v>49495</v>
      </c>
      <c r="AE42" s="75"/>
      <c r="AF42" s="163" t="n">
        <f aca="false">C42</f>
        <v>60778</v>
      </c>
      <c r="AG42" s="147" t="n">
        <f aca="false">E42</f>
        <v>-11700</v>
      </c>
      <c r="AH42" s="128"/>
      <c r="AI42" s="163" t="n">
        <f aca="false">G42</f>
        <v>9639</v>
      </c>
      <c r="AJ42" s="147" t="n">
        <f aca="false">I42</f>
        <v>6670</v>
      </c>
      <c r="AK42" s="128"/>
      <c r="AL42" s="160" t="n">
        <f aca="false">L42+M42+P42</f>
        <v>37479.65</v>
      </c>
      <c r="AM42" s="164" t="n">
        <f aca="false">O42+N42</f>
        <v>-2201</v>
      </c>
      <c r="AN42" s="75"/>
      <c r="AO42" s="165" t="n">
        <f aca="false">AF42+AI42+AL42</f>
        <v>107896.65</v>
      </c>
      <c r="AP42" s="147" t="n">
        <f aca="false">AG42+AJ42+AM42+F42+J42</f>
        <v>-10387</v>
      </c>
      <c r="AQ42" s="166" t="n">
        <f aca="false">AO42+AP42</f>
        <v>97509.65</v>
      </c>
      <c r="AR42" s="167" t="n">
        <f aca="false">IF(AQ42-$AQ$8&gt;0,AQ42-$AQ$8,0)</f>
        <v>0</v>
      </c>
      <c r="AS42" s="136"/>
      <c r="AU42" s="158" t="n">
        <f aca="false">AQ42-AC42</f>
        <v>916.649999999994</v>
      </c>
      <c r="AV42" s="168" t="n">
        <f aca="false">F42+Q42</f>
        <v>-3156</v>
      </c>
      <c r="AX42" s="169" t="n">
        <f aca="false">$AQ$8-AQ42</f>
        <v>31072.35</v>
      </c>
    </row>
    <row r="43" customFormat="false" ht="17.1" hidden="false" customHeight="true" outlineLevel="0" collapsed="false">
      <c r="A43" s="77"/>
      <c r="B43" s="152" t="n">
        <f aca="false">B42+1</f>
        <v>37193</v>
      </c>
      <c r="C43" s="153" t="n">
        <v>49063</v>
      </c>
      <c r="D43" s="154" t="n">
        <v>7950</v>
      </c>
      <c r="E43" s="172" t="n">
        <f aca="false">3615</f>
        <v>3615</v>
      </c>
      <c r="F43" s="156" t="n">
        <v>-3156</v>
      </c>
      <c r="G43" s="153" t="n">
        <v>9639</v>
      </c>
      <c r="H43" s="154" t="n">
        <v>31037</v>
      </c>
      <c r="I43" s="155" t="n">
        <v>-3407</v>
      </c>
      <c r="J43" s="156" t="n">
        <v>0</v>
      </c>
      <c r="K43" s="156" t="n">
        <f aca="false">(-G43-H43-I43)*0.0025</f>
        <v>-93.1725</v>
      </c>
      <c r="L43" s="153" t="n">
        <v>15930</v>
      </c>
      <c r="M43" s="156" t="n">
        <v>21906</v>
      </c>
      <c r="N43" s="83" t="n">
        <v>-295</v>
      </c>
      <c r="O43" s="83" t="n">
        <v>-1906</v>
      </c>
      <c r="P43" s="83" t="n">
        <f aca="false">(-L43-M43-N43-O43)*0.01</f>
        <v>-356.35</v>
      </c>
      <c r="Q43" s="98" t="n">
        <v>0</v>
      </c>
      <c r="R43" s="100" t="n">
        <f aca="false">SUM(C43,D43,E43,F43,G43,H43,I43,J43,K43,L43,M43,N43,O43,P43,Q43)</f>
        <v>129926.4775</v>
      </c>
      <c r="S43" s="101" t="n">
        <v>130011</v>
      </c>
      <c r="T43" s="98" t="n">
        <v>21307</v>
      </c>
      <c r="U43" s="83" t="n">
        <v>41121</v>
      </c>
      <c r="V43" s="83" t="n">
        <v>1414</v>
      </c>
      <c r="W43" s="83" t="n">
        <v>537</v>
      </c>
      <c r="X43" s="98" t="n">
        <f aca="false">(SUM(T43:W43))+S43</f>
        <v>194390</v>
      </c>
      <c r="Y43" s="157" t="n">
        <f aca="false">R43-S43</f>
        <v>-84.5225000000064</v>
      </c>
      <c r="Z43" s="158"/>
      <c r="AA43" s="159" t="n">
        <f aca="false">R43-D43-H43</f>
        <v>90939.4775</v>
      </c>
      <c r="AB43" s="171" t="n">
        <f aca="false">S43</f>
        <v>130011</v>
      </c>
      <c r="AC43" s="161" t="n">
        <f aca="false">S43-D43-H43</f>
        <v>91024</v>
      </c>
      <c r="AD43" s="75" t="n">
        <f aca="false">D43+H43</f>
        <v>38987</v>
      </c>
      <c r="AE43" s="75"/>
      <c r="AF43" s="163" t="n">
        <f aca="false">C43</f>
        <v>49063</v>
      </c>
      <c r="AG43" s="147" t="n">
        <f aca="false">E43</f>
        <v>3615</v>
      </c>
      <c r="AH43" s="128"/>
      <c r="AI43" s="163" t="n">
        <f aca="false">G43</f>
        <v>9639</v>
      </c>
      <c r="AJ43" s="147" t="n">
        <f aca="false">I43</f>
        <v>-3407</v>
      </c>
      <c r="AK43" s="128"/>
      <c r="AL43" s="160" t="n">
        <f aca="false">L43+M43+P43</f>
        <v>37479.65</v>
      </c>
      <c r="AM43" s="164" t="n">
        <f aca="false">O43+N43</f>
        <v>-2201</v>
      </c>
      <c r="AN43" s="75"/>
      <c r="AO43" s="165" t="n">
        <f aca="false">AF43+AI43+AL43</f>
        <v>96181.65</v>
      </c>
      <c r="AP43" s="147" t="n">
        <f aca="false">AG43+AJ43+AM43+F43+J43</f>
        <v>-5149</v>
      </c>
      <c r="AQ43" s="166" t="n">
        <f aca="false">AO43+AP43</f>
        <v>91032.65</v>
      </c>
      <c r="AR43" s="167" t="n">
        <f aca="false">IF(AQ43-$AQ$8&gt;0,AQ43-$AQ$8,0)</f>
        <v>0</v>
      </c>
      <c r="AS43" s="136"/>
      <c r="AU43" s="158" t="n">
        <f aca="false">AQ43-AC43</f>
        <v>8.64999999999418</v>
      </c>
      <c r="AV43" s="168" t="n">
        <f aca="false">F43+Q43</f>
        <v>-3156</v>
      </c>
      <c r="AX43" s="169" t="n">
        <f aca="false">$AQ$8-AQ43</f>
        <v>37549.35</v>
      </c>
    </row>
    <row r="44" customFormat="false" ht="17.1" hidden="false" customHeight="true" outlineLevel="0" collapsed="false">
      <c r="A44" s="77"/>
      <c r="B44" s="152" t="n">
        <f aca="false">B43+1</f>
        <v>37194</v>
      </c>
      <c r="C44" s="153" t="n">
        <v>60794</v>
      </c>
      <c r="D44" s="154" t="n">
        <v>18474</v>
      </c>
      <c r="E44" s="155" t="n">
        <v>-25967</v>
      </c>
      <c r="F44" s="156" t="n">
        <v>-3156</v>
      </c>
      <c r="G44" s="153" t="n">
        <v>14312</v>
      </c>
      <c r="H44" s="154" t="n">
        <v>17578</v>
      </c>
      <c r="I44" s="155" t="n">
        <v>-13532</v>
      </c>
      <c r="J44" s="156" t="n">
        <v>-3200</v>
      </c>
      <c r="K44" s="156" t="n">
        <f aca="false">(-G44-H44-I44)*0.0025</f>
        <v>-45.895</v>
      </c>
      <c r="L44" s="153" t="n">
        <v>15930</v>
      </c>
      <c r="M44" s="156" t="n">
        <v>21906</v>
      </c>
      <c r="N44" s="83" t="n">
        <v>-295</v>
      </c>
      <c r="O44" s="83" t="n">
        <v>-1906</v>
      </c>
      <c r="P44" s="83" t="n">
        <f aca="false">(-L44-M44-N44-O44)*0.01</f>
        <v>-356.35</v>
      </c>
      <c r="Q44" s="98" t="n">
        <v>0</v>
      </c>
      <c r="R44" s="100" t="n">
        <f aca="false">SUM(C44,D44,E44,F44,G44,H44,I44,J44,K44,L44,M44,N44,O44,P44,Q44)</f>
        <v>100535.755</v>
      </c>
      <c r="S44" s="101" t="n">
        <v>98603</v>
      </c>
      <c r="T44" s="98" t="n">
        <v>8</v>
      </c>
      <c r="U44" s="83" t="n">
        <v>37950</v>
      </c>
      <c r="V44" s="83" t="n">
        <v>175</v>
      </c>
      <c r="W44" s="83" t="n">
        <v>206</v>
      </c>
      <c r="X44" s="98" t="n">
        <f aca="false">(SUM(T44:W44))+S44</f>
        <v>136942</v>
      </c>
      <c r="Y44" s="157" t="n">
        <f aca="false">R44-S44</f>
        <v>1932.755</v>
      </c>
      <c r="Z44" s="158"/>
      <c r="AA44" s="159" t="n">
        <f aca="false">R44-D44-H44</f>
        <v>64483.755</v>
      </c>
      <c r="AB44" s="171" t="n">
        <f aca="false">S44</f>
        <v>98603</v>
      </c>
      <c r="AC44" s="161" t="n">
        <f aca="false">S44-D44-H44</f>
        <v>62551</v>
      </c>
      <c r="AD44" s="75" t="n">
        <f aca="false">D44+H44</f>
        <v>36052</v>
      </c>
      <c r="AE44" s="75"/>
      <c r="AF44" s="163" t="n">
        <f aca="false">C44</f>
        <v>60794</v>
      </c>
      <c r="AG44" s="147" t="n">
        <f aca="false">E44</f>
        <v>-25967</v>
      </c>
      <c r="AH44" s="128"/>
      <c r="AI44" s="163" t="n">
        <f aca="false">G44</f>
        <v>14312</v>
      </c>
      <c r="AJ44" s="147" t="n">
        <f aca="false">I44</f>
        <v>-13532</v>
      </c>
      <c r="AK44" s="128"/>
      <c r="AL44" s="160" t="n">
        <f aca="false">L44+M44+P44</f>
        <v>37479.65</v>
      </c>
      <c r="AM44" s="164" t="n">
        <f aca="false">O44+N44</f>
        <v>-2201</v>
      </c>
      <c r="AN44" s="75"/>
      <c r="AO44" s="165" t="n">
        <f aca="false">AF44+AI44+AL44</f>
        <v>112585.65</v>
      </c>
      <c r="AP44" s="147" t="n">
        <f aca="false">AG44+AJ44+AM44+F44+J44</f>
        <v>-48056</v>
      </c>
      <c r="AQ44" s="166" t="n">
        <f aca="false">AO44+AP44</f>
        <v>64529.65</v>
      </c>
      <c r="AR44" s="167" t="n">
        <f aca="false">IF(AQ44-$AQ$8&gt;0,AQ44-$AQ$8,0)</f>
        <v>0</v>
      </c>
      <c r="AS44" s="136"/>
      <c r="AU44" s="158" t="n">
        <f aca="false">AQ44-AC44</f>
        <v>1978.64999999999</v>
      </c>
      <c r="AV44" s="168" t="n">
        <f aca="false">F44+Q44</f>
        <v>-3156</v>
      </c>
      <c r="AX44" s="169" t="n">
        <f aca="false">$AQ$8-AQ44</f>
        <v>64052.35</v>
      </c>
    </row>
    <row r="45" customFormat="false" ht="17.1" hidden="false" customHeight="true" outlineLevel="0" collapsed="false">
      <c r="A45" s="77"/>
      <c r="B45" s="152" t="n">
        <f aca="false">B44+1</f>
        <v>37195</v>
      </c>
      <c r="C45" s="153" t="n">
        <f aca="false">47114+3156</f>
        <v>50270</v>
      </c>
      <c r="D45" s="154" t="n">
        <v>50272</v>
      </c>
      <c r="E45" s="155" t="n">
        <v>-56756</v>
      </c>
      <c r="F45" s="156" t="n">
        <v>-3156</v>
      </c>
      <c r="G45" s="153" t="n">
        <v>11252</v>
      </c>
      <c r="H45" s="154" t="n">
        <v>14310</v>
      </c>
      <c r="I45" s="155" t="n">
        <v>-12983</v>
      </c>
      <c r="J45" s="156" t="n">
        <v>0</v>
      </c>
      <c r="K45" s="156" t="n">
        <f aca="false">(-G45-H45-I45)*0.0025</f>
        <v>-31.4475</v>
      </c>
      <c r="L45" s="153" t="n">
        <v>15930</v>
      </c>
      <c r="M45" s="156" t="n">
        <v>21906</v>
      </c>
      <c r="N45" s="83" t="n">
        <v>-295</v>
      </c>
      <c r="O45" s="83" t="n">
        <v>-1906</v>
      </c>
      <c r="P45" s="83" t="n">
        <f aca="false">(-L45-M45-N45-O45)*0.01</f>
        <v>-356.35</v>
      </c>
      <c r="Q45" s="98" t="n">
        <v>0</v>
      </c>
      <c r="R45" s="100" t="n">
        <f aca="false">SUM(C45,D45,E45,F45,G45,H45,I45,J45,K45,L45,M45,N45,O45,P45,Q45)</f>
        <v>88456.2025</v>
      </c>
      <c r="S45" s="101" t="n">
        <v>89557</v>
      </c>
      <c r="T45" s="98" t="n">
        <v>0</v>
      </c>
      <c r="U45" s="83" t="n">
        <v>38530</v>
      </c>
      <c r="V45" s="83" t="n">
        <v>0</v>
      </c>
      <c r="W45" s="83" t="n">
        <v>864</v>
      </c>
      <c r="X45" s="98" t="n">
        <f aca="false">(SUM(T45:W45))+S45</f>
        <v>128951</v>
      </c>
      <c r="Y45" s="157" t="n">
        <f aca="false">R45-S45</f>
        <v>-1100.7975</v>
      </c>
      <c r="Z45" s="158"/>
      <c r="AA45" s="159" t="n">
        <f aca="false">R45-D45-H45</f>
        <v>23874.2025</v>
      </c>
      <c r="AB45" s="171" t="n">
        <f aca="false">S45</f>
        <v>89557</v>
      </c>
      <c r="AC45" s="161" t="n">
        <f aca="false">S45-D45-H45</f>
        <v>24975</v>
      </c>
      <c r="AD45" s="75" t="n">
        <f aca="false">D45+H45</f>
        <v>64582</v>
      </c>
      <c r="AE45" s="75"/>
      <c r="AF45" s="163" t="n">
        <f aca="false">C45</f>
        <v>50270</v>
      </c>
      <c r="AG45" s="147" t="n">
        <f aca="false">E45</f>
        <v>-56756</v>
      </c>
      <c r="AH45" s="128"/>
      <c r="AI45" s="163" t="n">
        <f aca="false">G45</f>
        <v>11252</v>
      </c>
      <c r="AJ45" s="147" t="n">
        <f aca="false">I45</f>
        <v>-12983</v>
      </c>
      <c r="AK45" s="128"/>
      <c r="AL45" s="160" t="n">
        <f aca="false">L45+M45+P45</f>
        <v>37479.65</v>
      </c>
      <c r="AM45" s="164" t="n">
        <f aca="false">O45+N45</f>
        <v>-2201</v>
      </c>
      <c r="AN45" s="75"/>
      <c r="AO45" s="165" t="n">
        <f aca="false">AF45+AI45+AL45</f>
        <v>99001.65</v>
      </c>
      <c r="AP45" s="147" t="n">
        <f aca="false">AG45+AJ45+AM45+F45+J45</f>
        <v>-75096</v>
      </c>
      <c r="AQ45" s="166" t="n">
        <f aca="false">AO45+AP45</f>
        <v>23905.65</v>
      </c>
      <c r="AR45" s="167" t="n">
        <f aca="false">IF(AQ45-$AQ$8&gt;0,AQ45-$AQ$8,0)</f>
        <v>0</v>
      </c>
      <c r="AS45" s="136"/>
      <c r="AU45" s="158" t="n">
        <f aca="false">AQ45-AC45</f>
        <v>-1069.35000000001</v>
      </c>
      <c r="AV45" s="168" t="n">
        <f aca="false">F45+Q45</f>
        <v>-3156</v>
      </c>
      <c r="AX45" s="169" t="n">
        <f aca="false">$AQ$8-AQ45</f>
        <v>104676.35</v>
      </c>
    </row>
    <row r="46" customFormat="false" ht="15" hidden="false" customHeight="true" outlineLevel="0" collapsed="false">
      <c r="A46" s="77"/>
      <c r="B46" s="98"/>
      <c r="C46" s="98"/>
      <c r="D46" s="84"/>
      <c r="E46" s="173" t="s">
        <v>81</v>
      </c>
      <c r="F46" s="84"/>
      <c r="G46" s="103"/>
      <c r="H46" s="83"/>
      <c r="I46" s="83"/>
      <c r="J46" s="84"/>
      <c r="K46" s="84"/>
      <c r="L46" s="103"/>
      <c r="M46" s="84"/>
      <c r="N46" s="84"/>
      <c r="O46" s="84"/>
      <c r="P46" s="84"/>
      <c r="Q46" s="103"/>
      <c r="R46" s="174"/>
      <c r="S46" s="175"/>
      <c r="T46" s="103"/>
      <c r="U46" s="84"/>
      <c r="V46" s="84"/>
      <c r="W46" s="83"/>
      <c r="X46" s="103"/>
      <c r="Y46" s="157"/>
      <c r="Z46" s="158"/>
      <c r="AA46" s="77"/>
      <c r="AB46" s="176"/>
      <c r="AC46" s="176"/>
      <c r="AD46" s="176"/>
      <c r="AE46" s="176"/>
      <c r="AR46" s="177"/>
      <c r="AU46" s="158"/>
      <c r="AV46" s="168"/>
    </row>
    <row r="47" customFormat="false" ht="12.95" hidden="false" customHeight="true" outlineLevel="0" collapsed="false">
      <c r="A47" s="77"/>
      <c r="B47" s="90"/>
      <c r="C47" s="91"/>
      <c r="D47" s="92"/>
      <c r="E47" s="92"/>
      <c r="F47" s="92"/>
      <c r="G47" s="91"/>
      <c r="H47" s="92"/>
      <c r="I47" s="92"/>
      <c r="J47" s="92"/>
      <c r="K47" s="92"/>
      <c r="L47" s="91"/>
      <c r="M47" s="92"/>
      <c r="N47" s="92"/>
      <c r="O47" s="92"/>
      <c r="P47" s="92"/>
      <c r="Q47" s="91"/>
      <c r="R47" s="138"/>
      <c r="S47" s="139"/>
      <c r="T47" s="91"/>
      <c r="U47" s="92"/>
      <c r="V47" s="92"/>
      <c r="W47" s="92"/>
      <c r="X47" s="91"/>
      <c r="Y47" s="157"/>
      <c r="Z47" s="158"/>
      <c r="AA47" s="77"/>
      <c r="AB47" s="176"/>
      <c r="AC47" s="176"/>
      <c r="AD47" s="176" t="n">
        <f aca="false">SUM(AD15:AD46)</f>
        <v>1024648</v>
      </c>
      <c r="AE47" s="176"/>
      <c r="AP47" s="176" t="n">
        <f aca="false">SUM(AP15:AP46)</f>
        <v>-857800</v>
      </c>
      <c r="AR47" s="178" t="n">
        <f aca="false">SUM(AR15:AR45)</f>
        <v>0</v>
      </c>
      <c r="AU47" s="158"/>
      <c r="AV47" s="168"/>
    </row>
    <row r="48" customFormat="false" ht="12.95" hidden="false" customHeight="true" outlineLevel="0" collapsed="false">
      <c r="A48" s="77"/>
      <c r="B48" s="98" t="s">
        <v>26</v>
      </c>
      <c r="C48" s="98" t="n">
        <f aca="false">SUM(C15:C47)</f>
        <v>823728</v>
      </c>
      <c r="D48" s="179" t="n">
        <f aca="false">SUM(D15:D47)</f>
        <v>338923</v>
      </c>
      <c r="E48" s="83" t="n">
        <f aca="false">SUM(E15:E47)</f>
        <v>-301423</v>
      </c>
      <c r="F48" s="180" t="n">
        <f aca="false">SUM(F15:F47)</f>
        <v>-97836</v>
      </c>
      <c r="G48" s="98" t="n">
        <f aca="false">SUM(G15:G47)</f>
        <v>282950</v>
      </c>
      <c r="H48" s="179" t="n">
        <f aca="false">SUM(H15:H47)</f>
        <v>685725</v>
      </c>
      <c r="I48" s="83" t="n">
        <f aca="false">SUM(I15:I47)</f>
        <v>-387110</v>
      </c>
      <c r="J48" s="180" t="n">
        <f aca="false">SUM(J15:J47)</f>
        <v>-3200</v>
      </c>
      <c r="K48" s="83" t="n">
        <f aca="false">SUM(K15:K47)</f>
        <v>-1453.9125</v>
      </c>
      <c r="L48" s="181" t="n">
        <f aca="false">SUM(L15:L47)</f>
        <v>493830</v>
      </c>
      <c r="M48" s="83" t="n">
        <f aca="false">SUM(M15:M47)</f>
        <v>592586</v>
      </c>
      <c r="N48" s="83" t="n">
        <f aca="false">SUM(N15:N47)</f>
        <v>-9145</v>
      </c>
      <c r="O48" s="83" t="n">
        <f aca="false">SUM(O15:O47)</f>
        <v>-59086</v>
      </c>
      <c r="P48" s="83" t="n">
        <f aca="false">SUM(P15:P47)</f>
        <v>-10181.85</v>
      </c>
      <c r="Q48" s="182" t="n">
        <f aca="false">SUM(Q15:Q47)</f>
        <v>0</v>
      </c>
      <c r="R48" s="100" t="n">
        <f aca="false">SUM(R15:R47)</f>
        <v>2348306.2375</v>
      </c>
      <c r="S48" s="101" t="n">
        <f aca="false">SUM(S15:S47)</f>
        <v>2371286</v>
      </c>
      <c r="T48" s="98" t="n">
        <f aca="false">SUM(T15:T47)</f>
        <v>1330987</v>
      </c>
      <c r="U48" s="83" t="n">
        <f aca="false">SUM(U15:U47)</f>
        <v>224370</v>
      </c>
      <c r="V48" s="83" t="n">
        <f aca="false">SUM(V15:V47)</f>
        <v>5404</v>
      </c>
      <c r="W48" s="83" t="n">
        <f aca="false">SUM(W15:W47)</f>
        <v>6345</v>
      </c>
      <c r="X48" s="98" t="n">
        <f aca="false">SUM(X15:X47)</f>
        <v>3938392</v>
      </c>
      <c r="Y48" s="157" t="n">
        <f aca="false">R48-S48</f>
        <v>-22979.7624999997</v>
      </c>
      <c r="Z48" s="158"/>
      <c r="AA48" s="77"/>
      <c r="AB48" s="176"/>
      <c r="AC48" s="176"/>
      <c r="AD48" s="176"/>
      <c r="AE48" s="176"/>
      <c r="AU48" s="158"/>
      <c r="AV48" s="168"/>
    </row>
    <row r="49" customFormat="false" ht="12.95" hidden="false" customHeight="true" outlineLevel="0" collapsed="false">
      <c r="A49" s="77"/>
      <c r="B49" s="98"/>
      <c r="C49" s="103"/>
      <c r="D49" s="84"/>
      <c r="E49" s="84"/>
      <c r="F49" s="84"/>
      <c r="G49" s="103"/>
      <c r="H49" s="84"/>
      <c r="I49" s="84"/>
      <c r="J49" s="84"/>
      <c r="K49" s="84"/>
      <c r="L49" s="103"/>
      <c r="M49" s="84"/>
      <c r="N49" s="84"/>
      <c r="O49" s="84"/>
      <c r="P49" s="84"/>
      <c r="Q49" s="103"/>
      <c r="R49" s="174"/>
      <c r="S49" s="175"/>
      <c r="T49" s="103"/>
      <c r="U49" s="84"/>
      <c r="V49" s="84"/>
      <c r="W49" s="84"/>
      <c r="X49" s="103"/>
      <c r="Y49" s="157"/>
      <c r="Z49" s="158"/>
      <c r="AA49" s="77"/>
      <c r="AB49" s="176"/>
      <c r="AC49" s="176"/>
      <c r="AD49" s="176"/>
      <c r="AE49" s="176"/>
      <c r="AU49" s="158"/>
      <c r="AV49" s="168"/>
    </row>
    <row r="50" customFormat="false" ht="15.75" hidden="false" customHeight="false" outlineLevel="0" collapsed="false">
      <c r="A50" s="77"/>
      <c r="B50" s="90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183"/>
      <c r="S50" s="92"/>
      <c r="T50" s="92"/>
      <c r="U50" s="92"/>
      <c r="V50" s="92"/>
      <c r="W50" s="92"/>
      <c r="X50" s="92"/>
      <c r="Y50" s="158"/>
      <c r="Z50" s="158"/>
      <c r="AA50" s="77"/>
      <c r="AB50" s="176"/>
      <c r="AC50" s="176"/>
      <c r="AD50" s="176"/>
      <c r="AE50" s="176"/>
      <c r="AU50" s="158"/>
      <c r="AV50" s="168"/>
    </row>
    <row r="51" customFormat="false" ht="15.75" hidden="false" customHeight="false" outlineLevel="0" collapsed="false">
      <c r="A51" s="96"/>
      <c r="B51" s="184"/>
      <c r="C51" s="185"/>
      <c r="D51" s="186"/>
      <c r="E51" s="187"/>
      <c r="F51" s="188" t="s">
        <v>82</v>
      </c>
      <c r="G51" s="189" t="n">
        <f aca="false">SUM(C48,G48,M48)</f>
        <v>1699264</v>
      </c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90"/>
      <c r="S51" s="185"/>
      <c r="T51" s="185"/>
      <c r="U51" s="185"/>
      <c r="V51" s="185"/>
      <c r="W51" s="185"/>
      <c r="X51" s="185"/>
      <c r="Y51" s="96"/>
      <c r="Z51" s="96"/>
      <c r="AA51" s="191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50"/>
      <c r="AS51" s="150"/>
      <c r="AT51" s="168"/>
      <c r="AU51" s="15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68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  <c r="IP51" s="168"/>
      <c r="IQ51" s="168"/>
      <c r="IR51" s="168"/>
      <c r="IS51" s="168"/>
      <c r="IT51" s="168"/>
      <c r="IU51" s="168"/>
      <c r="IV51" s="168"/>
      <c r="IW51" s="168"/>
    </row>
    <row r="52" customFormat="false" ht="15.75" hidden="false" customHeight="false" outlineLevel="0" collapsed="false">
      <c r="A52" s="96"/>
      <c r="B52" s="184"/>
      <c r="C52" s="185"/>
      <c r="D52" s="192"/>
      <c r="E52" s="185"/>
      <c r="F52" s="185"/>
      <c r="G52" s="193"/>
      <c r="H52" s="194"/>
      <c r="I52" s="194"/>
      <c r="J52" s="194"/>
      <c r="K52" s="184"/>
      <c r="L52" s="184"/>
      <c r="M52" s="185"/>
      <c r="N52" s="185"/>
      <c r="O52" s="185"/>
      <c r="P52" s="184"/>
      <c r="Q52" s="194"/>
      <c r="R52" s="195"/>
      <c r="S52" s="194"/>
      <c r="T52" s="184"/>
      <c r="U52" s="194"/>
      <c r="V52" s="185"/>
      <c r="W52" s="185"/>
      <c r="X52" s="185"/>
      <c r="Y52" s="96"/>
      <c r="Z52" s="96"/>
      <c r="AA52" s="191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50"/>
      <c r="AS52" s="150"/>
      <c r="AT52" s="168"/>
      <c r="AU52" s="15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168"/>
      <c r="DO52" s="168"/>
      <c r="DP52" s="168"/>
      <c r="DQ52" s="168"/>
      <c r="DR52" s="168"/>
      <c r="DS52" s="168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  <c r="FU52" s="168"/>
      <c r="FV52" s="168"/>
      <c r="FW52" s="168"/>
      <c r="FX52" s="168"/>
      <c r="FY52" s="168"/>
      <c r="FZ52" s="168"/>
      <c r="GA52" s="168"/>
      <c r="GB52" s="168"/>
      <c r="GC52" s="168"/>
      <c r="GD52" s="168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  <c r="GO52" s="168"/>
      <c r="GP52" s="168"/>
      <c r="GQ52" s="168"/>
      <c r="GR52" s="168"/>
      <c r="GS52" s="168"/>
      <c r="GT52" s="168"/>
      <c r="GU52" s="168"/>
      <c r="GV52" s="168"/>
      <c r="GW52" s="168"/>
      <c r="GX52" s="168"/>
      <c r="GY52" s="168"/>
      <c r="GZ52" s="168"/>
      <c r="HA52" s="168"/>
      <c r="HB52" s="168"/>
      <c r="HC52" s="168"/>
      <c r="HD52" s="168"/>
      <c r="HE52" s="168"/>
      <c r="HF52" s="168"/>
      <c r="HG52" s="168"/>
      <c r="HH52" s="168"/>
      <c r="HI52" s="168"/>
      <c r="HJ52" s="168"/>
      <c r="HK52" s="168"/>
      <c r="HL52" s="168"/>
      <c r="HM52" s="168"/>
      <c r="HN52" s="168"/>
      <c r="HO52" s="168"/>
      <c r="HP52" s="168"/>
      <c r="HQ52" s="168"/>
      <c r="HR52" s="168"/>
      <c r="HS52" s="168"/>
      <c r="HT52" s="168"/>
      <c r="HU52" s="168"/>
      <c r="HV52" s="168"/>
      <c r="HW52" s="168"/>
      <c r="HX52" s="168"/>
      <c r="HY52" s="168"/>
      <c r="HZ52" s="168"/>
      <c r="IA52" s="168"/>
      <c r="IB52" s="168"/>
      <c r="IC52" s="168"/>
      <c r="ID52" s="168"/>
      <c r="IE52" s="168"/>
      <c r="IF52" s="168"/>
      <c r="IG52" s="168"/>
      <c r="IH52" s="168"/>
      <c r="II52" s="168"/>
      <c r="IJ52" s="168"/>
      <c r="IK52" s="168"/>
      <c r="IL52" s="168"/>
      <c r="IM52" s="168"/>
      <c r="IN52" s="168"/>
      <c r="IO52" s="168"/>
      <c r="IP52" s="168"/>
      <c r="IQ52" s="168"/>
      <c r="IR52" s="168"/>
      <c r="IS52" s="168"/>
      <c r="IT52" s="168"/>
      <c r="IU52" s="168"/>
      <c r="IV52" s="168"/>
      <c r="IW52" s="168"/>
    </row>
    <row r="53" customFormat="false" ht="15.75" hidden="false" customHeight="false" outlineLevel="0" collapsed="false">
      <c r="A53" s="96"/>
      <c r="B53" s="184"/>
      <c r="C53" s="185"/>
      <c r="D53" s="196"/>
      <c r="E53" s="197"/>
      <c r="F53" s="198" t="s">
        <v>83</v>
      </c>
      <c r="G53" s="199" t="n">
        <f aca="false">SUM(E48,F48,I48,J48,N48,O48)</f>
        <v>-857800</v>
      </c>
      <c r="H53" s="185"/>
      <c r="I53" s="185"/>
      <c r="J53" s="185"/>
      <c r="K53" s="184"/>
      <c r="L53" s="185"/>
      <c r="M53" s="185"/>
      <c r="N53" s="185"/>
      <c r="O53" s="185"/>
      <c r="P53" s="185"/>
      <c r="Q53" s="185"/>
      <c r="R53" s="190"/>
      <c r="S53" s="185"/>
      <c r="T53" s="184"/>
      <c r="U53" s="184"/>
      <c r="V53" s="185"/>
      <c r="W53" s="185"/>
      <c r="X53" s="185"/>
      <c r="Y53" s="96"/>
      <c r="Z53" s="96"/>
      <c r="AA53" s="191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50"/>
      <c r="AS53" s="150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</row>
    <row r="54" customFormat="false" ht="15.75" hidden="false" customHeight="false" outlineLevel="0" collapsed="false">
      <c r="A54" s="96"/>
      <c r="B54" s="184"/>
      <c r="C54" s="185"/>
      <c r="D54" s="192"/>
      <c r="E54" s="185"/>
      <c r="F54" s="185"/>
      <c r="G54" s="193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90"/>
      <c r="S54" s="185"/>
      <c r="T54" s="185"/>
      <c r="U54" s="185"/>
      <c r="V54" s="185"/>
      <c r="W54" s="185"/>
      <c r="X54" s="185"/>
      <c r="Y54" s="96"/>
      <c r="Z54" s="96"/>
      <c r="AA54" s="191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50"/>
      <c r="AS54" s="150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</row>
    <row r="55" customFormat="false" ht="15.75" hidden="false" customHeight="false" outlineLevel="0" collapsed="false">
      <c r="A55" s="96"/>
      <c r="B55" s="184"/>
      <c r="C55" s="185"/>
      <c r="D55" s="200"/>
      <c r="E55" s="201"/>
      <c r="F55" s="202" t="s">
        <v>84</v>
      </c>
      <c r="G55" s="203" t="n">
        <f aca="false">SUM(D48,H48)</f>
        <v>1024648</v>
      </c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90"/>
      <c r="S55" s="185"/>
      <c r="T55" s="185"/>
      <c r="U55" s="185"/>
      <c r="V55" s="185"/>
      <c r="W55" s="185"/>
      <c r="X55" s="185"/>
      <c r="Y55" s="96"/>
      <c r="Z55" s="96"/>
      <c r="AA55" s="191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50"/>
      <c r="AS55" s="150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</row>
    <row r="56" customFormat="false" ht="15.75" hidden="false" customHeight="false" outlineLevel="0" collapsed="false">
      <c r="A56" s="96"/>
      <c r="B56" s="184"/>
      <c r="C56" s="185"/>
      <c r="D56" s="192"/>
      <c r="E56" s="185"/>
      <c r="F56" s="185"/>
      <c r="G56" s="193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90"/>
      <c r="S56" s="185"/>
      <c r="T56" s="185"/>
      <c r="U56" s="185"/>
      <c r="V56" s="185"/>
      <c r="W56" s="185"/>
      <c r="X56" s="185"/>
      <c r="Y56" s="96"/>
      <c r="Z56" s="96"/>
      <c r="AA56" s="191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50"/>
      <c r="AS56" s="150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  <c r="GY56" s="168"/>
      <c r="GZ56" s="168"/>
      <c r="HA56" s="168"/>
      <c r="HB56" s="168"/>
      <c r="HC56" s="168"/>
      <c r="HD56" s="168"/>
      <c r="HE56" s="168"/>
      <c r="HF56" s="168"/>
      <c r="HG56" s="168"/>
      <c r="HH56" s="168"/>
      <c r="HI56" s="168"/>
      <c r="HJ56" s="168"/>
      <c r="HK56" s="168"/>
      <c r="HL56" s="168"/>
      <c r="HM56" s="168"/>
      <c r="HN56" s="168"/>
      <c r="HO56" s="168"/>
      <c r="HP56" s="168"/>
      <c r="HQ56" s="168"/>
      <c r="HR56" s="168"/>
      <c r="HS56" s="168"/>
      <c r="HT56" s="168"/>
      <c r="HU56" s="168"/>
      <c r="HV56" s="168"/>
      <c r="HW56" s="168"/>
      <c r="HX56" s="168"/>
      <c r="HY56" s="168"/>
      <c r="HZ56" s="168"/>
      <c r="IA56" s="168"/>
      <c r="IB56" s="168"/>
      <c r="IC56" s="168"/>
      <c r="ID56" s="168"/>
      <c r="IE56" s="168"/>
      <c r="IF56" s="168"/>
      <c r="IG56" s="168"/>
      <c r="IH56" s="168"/>
      <c r="II56" s="168"/>
      <c r="IJ56" s="168"/>
      <c r="IK56" s="168"/>
      <c r="IL56" s="168"/>
      <c r="IM56" s="168"/>
      <c r="IN56" s="168"/>
      <c r="IO56" s="168"/>
      <c r="IP56" s="168"/>
      <c r="IQ56" s="168"/>
      <c r="IR56" s="168"/>
      <c r="IS56" s="168"/>
      <c r="IT56" s="168"/>
      <c r="IU56" s="168"/>
      <c r="IV56" s="168"/>
      <c r="IW56" s="168"/>
    </row>
    <row r="57" customFormat="false" ht="15.75" hidden="false" customHeight="false" outlineLevel="0" collapsed="false">
      <c r="A57" s="96"/>
      <c r="B57" s="204"/>
      <c r="C57" s="168"/>
      <c r="D57" s="205"/>
      <c r="E57" s="206"/>
      <c r="F57" s="207" t="s">
        <v>85</v>
      </c>
      <c r="G57" s="208" t="n">
        <f aca="false">SUM(L48)</f>
        <v>493830</v>
      </c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209"/>
      <c r="S57" s="168"/>
      <c r="T57" s="168"/>
      <c r="U57" s="168"/>
      <c r="V57" s="96"/>
      <c r="W57" s="96"/>
      <c r="X57" s="96"/>
      <c r="Y57" s="96"/>
      <c r="Z57" s="96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50"/>
      <c r="AS57" s="150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8"/>
      <c r="EA57" s="168"/>
      <c r="EB57" s="168"/>
      <c r="EC57" s="168"/>
      <c r="ED57" s="168"/>
      <c r="EE57" s="168"/>
      <c r="EF57" s="168"/>
      <c r="EG57" s="168"/>
      <c r="EH57" s="168"/>
      <c r="EI57" s="168"/>
      <c r="EJ57" s="168"/>
      <c r="EK57" s="168"/>
      <c r="EL57" s="168"/>
      <c r="EM57" s="168"/>
      <c r="EN57" s="168"/>
      <c r="EO57" s="168"/>
      <c r="EP57" s="168"/>
      <c r="EQ57" s="168"/>
      <c r="ER57" s="168"/>
      <c r="ES57" s="168"/>
      <c r="ET57" s="168"/>
      <c r="EU57" s="168"/>
      <c r="EV57" s="168"/>
      <c r="EW57" s="168"/>
      <c r="EX57" s="168"/>
      <c r="EY57" s="168"/>
      <c r="EZ57" s="168"/>
      <c r="FA57" s="168"/>
      <c r="FB57" s="168"/>
      <c r="FC57" s="168"/>
      <c r="FD57" s="168"/>
      <c r="FE57" s="168"/>
      <c r="FF57" s="168"/>
      <c r="FG57" s="168"/>
      <c r="FH57" s="168"/>
      <c r="FI57" s="168"/>
      <c r="FJ57" s="168"/>
      <c r="FK57" s="168"/>
      <c r="FL57" s="168"/>
      <c r="FM57" s="168"/>
      <c r="FN57" s="168"/>
      <c r="FO57" s="168"/>
      <c r="FP57" s="168"/>
      <c r="FQ57" s="168"/>
      <c r="FR57" s="168"/>
      <c r="FS57" s="168"/>
      <c r="FT57" s="168"/>
      <c r="FU57" s="168"/>
      <c r="FV57" s="168"/>
      <c r="FW57" s="168"/>
      <c r="FX57" s="168"/>
      <c r="FY57" s="168"/>
      <c r="FZ57" s="168"/>
      <c r="GA57" s="168"/>
      <c r="GB57" s="168"/>
      <c r="GC57" s="168"/>
      <c r="GD57" s="168"/>
      <c r="GE57" s="168"/>
      <c r="GF57" s="168"/>
      <c r="GG57" s="168"/>
      <c r="GH57" s="168"/>
      <c r="GI57" s="168"/>
      <c r="GJ57" s="168"/>
      <c r="GK57" s="168"/>
      <c r="GL57" s="168"/>
      <c r="GM57" s="168"/>
      <c r="GN57" s="168"/>
      <c r="GO57" s="168"/>
      <c r="GP57" s="168"/>
      <c r="GQ57" s="168"/>
      <c r="GR57" s="168"/>
      <c r="GS57" s="168"/>
      <c r="GT57" s="168"/>
      <c r="GU57" s="168"/>
      <c r="GV57" s="168"/>
      <c r="GW57" s="168"/>
      <c r="GX57" s="168"/>
      <c r="GY57" s="168"/>
      <c r="GZ57" s="168"/>
      <c r="HA57" s="168"/>
      <c r="HB57" s="168"/>
      <c r="HC57" s="168"/>
      <c r="HD57" s="168"/>
      <c r="HE57" s="168"/>
      <c r="HF57" s="168"/>
      <c r="HG57" s="168"/>
      <c r="HH57" s="168"/>
      <c r="HI57" s="168"/>
      <c r="HJ57" s="168"/>
      <c r="HK57" s="168"/>
      <c r="HL57" s="168"/>
      <c r="HM57" s="168"/>
      <c r="HN57" s="168"/>
      <c r="HO57" s="168"/>
      <c r="HP57" s="168"/>
      <c r="HQ57" s="168"/>
      <c r="HR57" s="168"/>
      <c r="HS57" s="168"/>
      <c r="HT57" s="168"/>
      <c r="HU57" s="168"/>
      <c r="HV57" s="168"/>
      <c r="HW57" s="168"/>
      <c r="HX57" s="168"/>
      <c r="HY57" s="168"/>
      <c r="HZ57" s="168"/>
      <c r="IA57" s="168"/>
      <c r="IB57" s="168"/>
      <c r="IC57" s="168"/>
      <c r="ID57" s="168"/>
      <c r="IE57" s="168"/>
      <c r="IF57" s="168"/>
      <c r="IG57" s="168"/>
      <c r="IH57" s="168"/>
      <c r="II57" s="168"/>
      <c r="IJ57" s="168"/>
      <c r="IK57" s="168"/>
      <c r="IL57" s="168"/>
      <c r="IM57" s="168"/>
      <c r="IN57" s="168"/>
      <c r="IO57" s="168"/>
      <c r="IP57" s="168"/>
      <c r="IQ57" s="168"/>
      <c r="IR57" s="168"/>
      <c r="IS57" s="168"/>
      <c r="IT57" s="168"/>
      <c r="IU57" s="168"/>
      <c r="IV57" s="168"/>
      <c r="IW57" s="168"/>
    </row>
    <row r="58" customFormat="false" ht="15" hidden="false" customHeight="false" outlineLevel="0" collapsed="false">
      <c r="A58" s="96"/>
      <c r="B58" s="204"/>
      <c r="C58" s="168"/>
      <c r="D58" s="168"/>
      <c r="E58" s="96"/>
      <c r="F58" s="96"/>
      <c r="G58" s="96"/>
      <c r="H58" s="96"/>
      <c r="I58" s="168"/>
      <c r="J58" s="168"/>
      <c r="K58" s="168"/>
      <c r="L58" s="168"/>
      <c r="M58" s="168"/>
      <c r="N58" s="168"/>
      <c r="O58" s="168"/>
      <c r="P58" s="168"/>
      <c r="Q58" s="168"/>
      <c r="R58" s="209"/>
      <c r="S58" s="168"/>
      <c r="T58" s="168"/>
      <c r="U58" s="168"/>
      <c r="V58" s="96"/>
      <c r="W58" s="96"/>
      <c r="X58" s="96"/>
      <c r="Y58" s="96"/>
      <c r="Z58" s="96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50"/>
      <c r="AS58" s="150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</row>
    <row r="59" customFormat="false" ht="15" hidden="false" customHeight="false" outlineLevel="0" collapsed="false">
      <c r="A59" s="96"/>
      <c r="B59" s="204"/>
      <c r="C59" s="96"/>
      <c r="D59" s="96"/>
      <c r="E59" s="96"/>
      <c r="F59" s="210" t="s">
        <v>86</v>
      </c>
      <c r="G59" s="211" t="n">
        <f aca="false">SUM(K48,P48)</f>
        <v>-11635.7625</v>
      </c>
      <c r="H59" s="96"/>
      <c r="I59" s="96"/>
      <c r="J59" s="96"/>
      <c r="K59" s="96"/>
      <c r="L59" s="96"/>
      <c r="M59" s="168"/>
      <c r="N59" s="168"/>
      <c r="O59" s="168"/>
      <c r="P59" s="168"/>
      <c r="Q59" s="168"/>
      <c r="R59" s="209"/>
      <c r="S59" s="96"/>
      <c r="T59" s="96"/>
      <c r="U59" s="96"/>
      <c r="V59" s="96"/>
      <c r="W59" s="96"/>
      <c r="X59" s="96"/>
      <c r="Y59" s="96"/>
      <c r="Z59" s="96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50"/>
      <c r="AS59" s="150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  <c r="GY59" s="168"/>
      <c r="GZ59" s="168"/>
      <c r="HA59" s="168"/>
      <c r="HB59" s="168"/>
      <c r="HC59" s="168"/>
      <c r="HD59" s="168"/>
      <c r="HE59" s="168"/>
      <c r="HF59" s="168"/>
      <c r="HG59" s="168"/>
      <c r="HH59" s="168"/>
      <c r="HI59" s="168"/>
      <c r="HJ59" s="168"/>
      <c r="HK59" s="168"/>
      <c r="HL59" s="168"/>
      <c r="HM59" s="168"/>
      <c r="HN59" s="168"/>
      <c r="HO59" s="168"/>
      <c r="HP59" s="168"/>
      <c r="HQ59" s="168"/>
      <c r="HR59" s="168"/>
      <c r="HS59" s="168"/>
      <c r="HT59" s="168"/>
      <c r="HU59" s="168"/>
      <c r="HV59" s="168"/>
      <c r="HW59" s="168"/>
      <c r="HX59" s="168"/>
      <c r="HY59" s="168"/>
      <c r="HZ59" s="168"/>
      <c r="IA59" s="168"/>
      <c r="IB59" s="168"/>
      <c r="IC59" s="168"/>
      <c r="ID59" s="168"/>
      <c r="IE59" s="168"/>
      <c r="IF59" s="168"/>
      <c r="IG59" s="168"/>
      <c r="IH59" s="168"/>
      <c r="II59" s="168"/>
      <c r="IJ59" s="168"/>
      <c r="IK59" s="168"/>
      <c r="IL59" s="168"/>
      <c r="IM59" s="168"/>
      <c r="IN59" s="168"/>
      <c r="IO59" s="168"/>
      <c r="IP59" s="168"/>
      <c r="IQ59" s="168"/>
      <c r="IR59" s="168"/>
      <c r="IS59" s="168"/>
      <c r="IT59" s="168"/>
      <c r="IU59" s="168"/>
      <c r="IV59" s="168"/>
      <c r="IW59" s="168"/>
    </row>
    <row r="60" customFormat="false" ht="15" hidden="false" customHeight="false" outlineLevel="0" collapsed="false">
      <c r="A60" s="96"/>
      <c r="B60" s="204"/>
      <c r="C60" s="185"/>
      <c r="D60" s="185"/>
      <c r="E60" s="96"/>
      <c r="F60" s="96"/>
      <c r="G60" s="96"/>
      <c r="H60" s="96"/>
      <c r="I60" s="96"/>
      <c r="J60" s="96"/>
      <c r="K60" s="96"/>
      <c r="L60" s="212"/>
      <c r="M60" s="168"/>
      <c r="N60" s="168"/>
      <c r="O60" s="168"/>
      <c r="P60" s="168"/>
      <c r="Q60" s="168"/>
      <c r="R60" s="209"/>
      <c r="S60" s="168"/>
      <c r="T60" s="168"/>
      <c r="U60" s="168"/>
      <c r="V60" s="168"/>
      <c r="W60" s="168"/>
      <c r="X60" s="168"/>
      <c r="Y60" s="204"/>
      <c r="Z60" s="204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50"/>
      <c r="AS60" s="150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  <c r="GY60" s="168"/>
      <c r="GZ60" s="168"/>
      <c r="HA60" s="168"/>
      <c r="HB60" s="168"/>
      <c r="HC60" s="168"/>
      <c r="HD60" s="168"/>
      <c r="HE60" s="168"/>
      <c r="HF60" s="168"/>
      <c r="HG60" s="168"/>
      <c r="HH60" s="168"/>
      <c r="HI60" s="168"/>
      <c r="HJ60" s="168"/>
      <c r="HK60" s="168"/>
      <c r="HL60" s="168"/>
      <c r="HM60" s="168"/>
      <c r="HN60" s="168"/>
      <c r="HO60" s="168"/>
      <c r="HP60" s="168"/>
      <c r="HQ60" s="168"/>
      <c r="HR60" s="168"/>
      <c r="HS60" s="168"/>
      <c r="HT60" s="168"/>
      <c r="HU60" s="168"/>
      <c r="HV60" s="168"/>
      <c r="HW60" s="168"/>
      <c r="HX60" s="168"/>
      <c r="HY60" s="168"/>
      <c r="HZ60" s="168"/>
      <c r="IA60" s="168"/>
      <c r="IB60" s="168"/>
      <c r="IC60" s="168"/>
      <c r="ID60" s="168"/>
      <c r="IE60" s="168"/>
      <c r="IF60" s="168"/>
      <c r="IG60" s="168"/>
      <c r="IH60" s="168"/>
      <c r="II60" s="168"/>
      <c r="IJ60" s="168"/>
      <c r="IK60" s="168"/>
      <c r="IL60" s="168"/>
      <c r="IM60" s="168"/>
      <c r="IN60" s="168"/>
      <c r="IO60" s="168"/>
      <c r="IP60" s="168"/>
      <c r="IQ60" s="168"/>
      <c r="IR60" s="168"/>
      <c r="IS60" s="168"/>
      <c r="IT60" s="168"/>
      <c r="IU60" s="168"/>
      <c r="IV60" s="168"/>
      <c r="IW60" s="168"/>
    </row>
    <row r="61" customFormat="false" ht="18" hidden="false" customHeight="false" outlineLevel="0" collapsed="false">
      <c r="A61" s="96"/>
      <c r="B61" s="204"/>
      <c r="C61" s="185"/>
      <c r="D61" s="168"/>
      <c r="E61" s="96"/>
      <c r="F61" s="96"/>
      <c r="G61" s="213" t="n">
        <f aca="false">SUM(G51:G60)</f>
        <v>2348306.2375</v>
      </c>
      <c r="H61" s="214" t="s">
        <v>87</v>
      </c>
      <c r="I61" s="215"/>
      <c r="J61" s="215"/>
      <c r="K61" s="215"/>
      <c r="L61" s="215"/>
      <c r="M61" s="216"/>
      <c r="N61" s="216"/>
      <c r="O61" s="216"/>
      <c r="P61" s="216"/>
      <c r="Q61" s="216"/>
      <c r="R61" s="217"/>
      <c r="S61" s="168"/>
      <c r="T61" s="168"/>
      <c r="U61" s="168"/>
      <c r="V61" s="168"/>
      <c r="W61" s="168"/>
      <c r="X61" s="168"/>
      <c r="Y61" s="204"/>
      <c r="Z61" s="204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50"/>
      <c r="AS61" s="150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8"/>
      <c r="EF61" s="168"/>
      <c r="EG61" s="168"/>
      <c r="EH61" s="168"/>
      <c r="EI61" s="168"/>
      <c r="EJ61" s="168"/>
      <c r="EK61" s="168"/>
      <c r="EL61" s="168"/>
      <c r="EM61" s="168"/>
      <c r="EN61" s="168"/>
      <c r="EO61" s="168"/>
      <c r="EP61" s="168"/>
      <c r="EQ61" s="168"/>
      <c r="ER61" s="168"/>
      <c r="ES61" s="168"/>
      <c r="ET61" s="168"/>
      <c r="EU61" s="168"/>
      <c r="EV61" s="168"/>
      <c r="EW61" s="168"/>
      <c r="EX61" s="168"/>
      <c r="EY61" s="168"/>
      <c r="EZ61" s="168"/>
      <c r="FA61" s="168"/>
      <c r="FB61" s="168"/>
      <c r="FC61" s="168"/>
      <c r="FD61" s="168"/>
      <c r="FE61" s="168"/>
      <c r="FF61" s="168"/>
      <c r="FG61" s="168"/>
      <c r="FH61" s="168"/>
      <c r="FI61" s="168"/>
      <c r="FJ61" s="168"/>
      <c r="FK61" s="168"/>
      <c r="FL61" s="168"/>
      <c r="FM61" s="168"/>
      <c r="FN61" s="168"/>
      <c r="FO61" s="168"/>
      <c r="FP61" s="168"/>
      <c r="FQ61" s="168"/>
      <c r="FR61" s="168"/>
      <c r="FS61" s="168"/>
      <c r="FT61" s="168"/>
      <c r="FU61" s="168"/>
      <c r="FV61" s="168"/>
      <c r="FW61" s="168"/>
      <c r="FX61" s="168"/>
      <c r="FY61" s="168"/>
      <c r="FZ61" s="168"/>
      <c r="GA61" s="168"/>
      <c r="GB61" s="168"/>
      <c r="GC61" s="168"/>
      <c r="GD61" s="168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  <c r="GO61" s="168"/>
      <c r="GP61" s="168"/>
      <c r="GQ61" s="168"/>
      <c r="GR61" s="168"/>
      <c r="GS61" s="168"/>
      <c r="GT61" s="168"/>
      <c r="GU61" s="168"/>
      <c r="GV61" s="168"/>
      <c r="GW61" s="168"/>
      <c r="GX61" s="168"/>
      <c r="GY61" s="168"/>
      <c r="GZ61" s="168"/>
      <c r="HA61" s="168"/>
      <c r="HB61" s="168"/>
      <c r="HC61" s="168"/>
      <c r="HD61" s="168"/>
      <c r="HE61" s="168"/>
      <c r="HF61" s="168"/>
      <c r="HG61" s="168"/>
      <c r="HH61" s="168"/>
      <c r="HI61" s="168"/>
      <c r="HJ61" s="168"/>
      <c r="HK61" s="168"/>
      <c r="HL61" s="168"/>
      <c r="HM61" s="168"/>
      <c r="HN61" s="168"/>
      <c r="HO61" s="168"/>
      <c r="HP61" s="168"/>
      <c r="HQ61" s="168"/>
      <c r="HR61" s="168"/>
      <c r="HS61" s="168"/>
      <c r="HT61" s="168"/>
      <c r="HU61" s="168"/>
      <c r="HV61" s="168"/>
      <c r="HW61" s="168"/>
      <c r="HX61" s="168"/>
      <c r="HY61" s="168"/>
      <c r="HZ61" s="168"/>
      <c r="IA61" s="168"/>
      <c r="IB61" s="168"/>
      <c r="IC61" s="168"/>
      <c r="ID61" s="168"/>
      <c r="IE61" s="168"/>
      <c r="IF61" s="168"/>
      <c r="IG61" s="168"/>
      <c r="IH61" s="168"/>
      <c r="II61" s="168"/>
      <c r="IJ61" s="168"/>
      <c r="IK61" s="168"/>
      <c r="IL61" s="168"/>
      <c r="IM61" s="168"/>
      <c r="IN61" s="168"/>
      <c r="IO61" s="168"/>
      <c r="IP61" s="168"/>
      <c r="IQ61" s="168"/>
      <c r="IR61" s="168"/>
      <c r="IS61" s="168"/>
      <c r="IT61" s="168"/>
      <c r="IU61" s="168"/>
      <c r="IV61" s="168"/>
      <c r="IW61" s="168"/>
    </row>
    <row r="62" customFormat="false" ht="15" hidden="false" customHeight="false" outlineLevel="0" collapsed="false">
      <c r="A62" s="96"/>
      <c r="B62" s="204"/>
      <c r="C62" s="185"/>
      <c r="D62" s="168"/>
      <c r="E62" s="96"/>
      <c r="F62" s="96"/>
      <c r="G62" s="96"/>
      <c r="H62" s="96"/>
      <c r="I62" s="96"/>
      <c r="J62" s="96"/>
      <c r="K62" s="96"/>
      <c r="L62" s="96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204"/>
      <c r="Z62" s="204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50"/>
      <c r="AS62" s="150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  <c r="GY62" s="168"/>
      <c r="GZ62" s="168"/>
      <c r="HA62" s="168"/>
      <c r="HB62" s="168"/>
      <c r="HC62" s="168"/>
      <c r="HD62" s="168"/>
      <c r="HE62" s="168"/>
      <c r="HF62" s="168"/>
      <c r="HG62" s="168"/>
      <c r="HH62" s="168"/>
      <c r="HI62" s="168"/>
      <c r="HJ62" s="168"/>
      <c r="HK62" s="168"/>
      <c r="HL62" s="168"/>
      <c r="HM62" s="168"/>
      <c r="HN62" s="168"/>
      <c r="HO62" s="168"/>
      <c r="HP62" s="168"/>
      <c r="HQ62" s="168"/>
      <c r="HR62" s="168"/>
      <c r="HS62" s="168"/>
      <c r="HT62" s="168"/>
      <c r="HU62" s="168"/>
      <c r="HV62" s="168"/>
      <c r="HW62" s="168"/>
      <c r="HX62" s="168"/>
      <c r="HY62" s="168"/>
      <c r="HZ62" s="168"/>
      <c r="IA62" s="168"/>
      <c r="IB62" s="168"/>
      <c r="IC62" s="168"/>
      <c r="ID62" s="168"/>
      <c r="IE62" s="168"/>
      <c r="IF62" s="168"/>
      <c r="IG62" s="168"/>
      <c r="IH62" s="168"/>
      <c r="II62" s="168"/>
      <c r="IJ62" s="168"/>
      <c r="IK62" s="168"/>
      <c r="IL62" s="168"/>
      <c r="IM62" s="168"/>
      <c r="IN62" s="168"/>
      <c r="IO62" s="168"/>
      <c r="IP62" s="168"/>
      <c r="IQ62" s="168"/>
      <c r="IR62" s="168"/>
      <c r="IS62" s="168"/>
      <c r="IT62" s="168"/>
      <c r="IU62" s="168"/>
      <c r="IV62" s="168"/>
      <c r="IW62" s="168"/>
    </row>
    <row r="63" customFormat="false" ht="15" hidden="false" customHeight="false" outlineLevel="0" collapsed="false">
      <c r="A63" s="96"/>
      <c r="B63" s="204"/>
      <c r="C63" s="96"/>
      <c r="D63" s="168"/>
      <c r="E63" s="96"/>
      <c r="F63" s="96"/>
      <c r="G63" s="96"/>
      <c r="H63" s="96"/>
      <c r="I63" s="96"/>
      <c r="J63" s="96"/>
      <c r="K63" s="96"/>
      <c r="L63" s="96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204"/>
      <c r="Z63" s="204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50"/>
      <c r="AS63" s="150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  <c r="GY63" s="168"/>
      <c r="GZ63" s="168"/>
      <c r="HA63" s="168"/>
      <c r="HB63" s="168"/>
      <c r="HC63" s="168"/>
      <c r="HD63" s="168"/>
      <c r="HE63" s="168"/>
      <c r="HF63" s="168"/>
      <c r="HG63" s="168"/>
      <c r="HH63" s="168"/>
      <c r="HI63" s="168"/>
      <c r="HJ63" s="168"/>
      <c r="HK63" s="168"/>
      <c r="HL63" s="168"/>
      <c r="HM63" s="168"/>
      <c r="HN63" s="168"/>
      <c r="HO63" s="168"/>
      <c r="HP63" s="168"/>
      <c r="HQ63" s="168"/>
      <c r="HR63" s="168"/>
      <c r="HS63" s="168"/>
      <c r="HT63" s="168"/>
      <c r="HU63" s="168"/>
      <c r="HV63" s="168"/>
      <c r="HW63" s="168"/>
      <c r="HX63" s="168"/>
      <c r="HY63" s="168"/>
      <c r="HZ63" s="168"/>
      <c r="IA63" s="168"/>
      <c r="IB63" s="168"/>
      <c r="IC63" s="168"/>
      <c r="ID63" s="168"/>
      <c r="IE63" s="168"/>
      <c r="IF63" s="168"/>
      <c r="IG63" s="168"/>
      <c r="IH63" s="168"/>
      <c r="II63" s="168"/>
      <c r="IJ63" s="168"/>
      <c r="IK63" s="168"/>
      <c r="IL63" s="168"/>
      <c r="IM63" s="168"/>
      <c r="IN63" s="168"/>
      <c r="IO63" s="168"/>
      <c r="IP63" s="168"/>
      <c r="IQ63" s="168"/>
      <c r="IR63" s="168"/>
      <c r="IS63" s="168"/>
      <c r="IT63" s="168"/>
      <c r="IU63" s="168"/>
      <c r="IV63" s="168"/>
      <c r="IW63" s="168"/>
    </row>
    <row r="64" customFormat="false" ht="15" hidden="false" customHeight="false" outlineLevel="0" collapsed="false">
      <c r="A64" s="96"/>
      <c r="B64" s="204"/>
      <c r="C64" s="96"/>
      <c r="D64" s="185"/>
      <c r="E64" s="96"/>
      <c r="F64" s="96"/>
      <c r="G64" s="96"/>
      <c r="H64" s="96"/>
      <c r="I64" s="96"/>
      <c r="J64" s="96"/>
      <c r="K64" s="96"/>
      <c r="L64" s="96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204"/>
      <c r="Z64" s="204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50"/>
      <c r="AS64" s="150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  <c r="GY64" s="168"/>
      <c r="GZ64" s="168"/>
      <c r="HA64" s="168"/>
      <c r="HB64" s="168"/>
      <c r="HC64" s="168"/>
      <c r="HD64" s="168"/>
      <c r="HE64" s="168"/>
      <c r="HF64" s="168"/>
      <c r="HG64" s="168"/>
      <c r="HH64" s="168"/>
      <c r="HI64" s="168"/>
      <c r="HJ64" s="168"/>
      <c r="HK64" s="168"/>
      <c r="HL64" s="168"/>
      <c r="HM64" s="168"/>
      <c r="HN64" s="168"/>
      <c r="HO64" s="168"/>
      <c r="HP64" s="168"/>
      <c r="HQ64" s="168"/>
      <c r="HR64" s="168"/>
      <c r="HS64" s="168"/>
      <c r="HT64" s="168"/>
      <c r="HU64" s="168"/>
      <c r="HV64" s="168"/>
      <c r="HW64" s="168"/>
      <c r="HX64" s="168"/>
      <c r="HY64" s="168"/>
      <c r="HZ64" s="168"/>
      <c r="IA64" s="168"/>
      <c r="IB64" s="168"/>
      <c r="IC64" s="168"/>
      <c r="ID64" s="168"/>
      <c r="IE64" s="168"/>
      <c r="IF64" s="168"/>
      <c r="IG64" s="168"/>
      <c r="IH64" s="168"/>
      <c r="II64" s="168"/>
      <c r="IJ64" s="168"/>
      <c r="IK64" s="168"/>
      <c r="IL64" s="168"/>
      <c r="IM64" s="168"/>
      <c r="IN64" s="168"/>
      <c r="IO64" s="168"/>
      <c r="IP64" s="168"/>
      <c r="IQ64" s="168"/>
      <c r="IR64" s="168"/>
      <c r="IS64" s="168"/>
      <c r="IT64" s="168"/>
      <c r="IU64" s="168"/>
      <c r="IV64" s="168"/>
      <c r="IW64" s="168"/>
    </row>
    <row r="65" customFormat="false" ht="15" hidden="false" customHeight="false" outlineLevel="0" collapsed="false">
      <c r="A65" s="96"/>
      <c r="B65" s="204"/>
      <c r="C65" s="96"/>
      <c r="D65" s="185"/>
      <c r="E65" s="96"/>
      <c r="F65" s="96"/>
      <c r="G65" s="96"/>
      <c r="H65" s="96"/>
      <c r="I65" s="96"/>
      <c r="J65" s="96"/>
      <c r="K65" s="96"/>
      <c r="L65" s="96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204"/>
      <c r="Z65" s="204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50"/>
      <c r="AS65" s="150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  <c r="GY65" s="168"/>
      <c r="GZ65" s="168"/>
      <c r="HA65" s="168"/>
      <c r="HB65" s="168"/>
      <c r="HC65" s="168"/>
      <c r="HD65" s="168"/>
      <c r="HE65" s="168"/>
      <c r="HF65" s="168"/>
      <c r="HG65" s="168"/>
      <c r="HH65" s="168"/>
      <c r="HI65" s="168"/>
      <c r="HJ65" s="168"/>
      <c r="HK65" s="168"/>
      <c r="HL65" s="168"/>
      <c r="HM65" s="168"/>
      <c r="HN65" s="168"/>
      <c r="HO65" s="168"/>
      <c r="HP65" s="168"/>
      <c r="HQ65" s="168"/>
      <c r="HR65" s="168"/>
      <c r="HS65" s="168"/>
      <c r="HT65" s="168"/>
      <c r="HU65" s="168"/>
      <c r="HV65" s="168"/>
      <c r="HW65" s="168"/>
      <c r="HX65" s="168"/>
      <c r="HY65" s="168"/>
      <c r="HZ65" s="168"/>
      <c r="IA65" s="168"/>
      <c r="IB65" s="168"/>
      <c r="IC65" s="168"/>
      <c r="ID65" s="168"/>
      <c r="IE65" s="168"/>
      <c r="IF65" s="168"/>
      <c r="IG65" s="168"/>
      <c r="IH65" s="168"/>
      <c r="II65" s="168"/>
      <c r="IJ65" s="168"/>
      <c r="IK65" s="168"/>
      <c r="IL65" s="168"/>
      <c r="IM65" s="168"/>
      <c r="IN65" s="168"/>
      <c r="IO65" s="168"/>
      <c r="IP65" s="168"/>
      <c r="IQ65" s="168"/>
      <c r="IR65" s="168"/>
      <c r="IS65" s="168"/>
      <c r="IT65" s="168"/>
      <c r="IU65" s="168"/>
      <c r="IV65" s="168"/>
      <c r="IW65" s="168"/>
    </row>
    <row r="66" customFormat="false" ht="15" hidden="false" customHeight="false" outlineLevel="0" collapsed="false">
      <c r="A66" s="96"/>
      <c r="B66" s="204"/>
      <c r="C66" s="96"/>
      <c r="D66" s="184"/>
      <c r="E66" s="96"/>
      <c r="F66" s="96"/>
      <c r="G66" s="96"/>
      <c r="H66" s="96"/>
      <c r="I66" s="185"/>
      <c r="J66" s="185"/>
      <c r="K66" s="185"/>
      <c r="L66" s="185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204"/>
      <c r="Z66" s="204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50"/>
      <c r="AS66" s="150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</row>
    <row r="67" customFormat="false" ht="15" hidden="false" customHeight="false" outlineLevel="0" collapsed="false">
      <c r="A67" s="96"/>
      <c r="B67" s="204"/>
      <c r="C67" s="96"/>
      <c r="D67" s="184"/>
      <c r="E67" s="96"/>
      <c r="F67" s="96"/>
      <c r="G67" s="96"/>
      <c r="H67" s="96"/>
      <c r="I67" s="185"/>
      <c r="J67" s="185"/>
      <c r="K67" s="185"/>
      <c r="L67" s="96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204"/>
      <c r="Z67" s="204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50"/>
      <c r="AS67" s="150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  <c r="GY67" s="168"/>
      <c r="GZ67" s="168"/>
      <c r="HA67" s="168"/>
      <c r="HB67" s="168"/>
      <c r="HC67" s="168"/>
      <c r="HD67" s="168"/>
      <c r="HE67" s="168"/>
      <c r="HF67" s="168"/>
      <c r="HG67" s="168"/>
      <c r="HH67" s="168"/>
      <c r="HI67" s="168"/>
      <c r="HJ67" s="168"/>
      <c r="HK67" s="168"/>
      <c r="HL67" s="168"/>
      <c r="HM67" s="168"/>
      <c r="HN67" s="168"/>
      <c r="HO67" s="168"/>
      <c r="HP67" s="168"/>
      <c r="HQ67" s="168"/>
      <c r="HR67" s="168"/>
      <c r="HS67" s="168"/>
      <c r="HT67" s="168"/>
      <c r="HU67" s="168"/>
      <c r="HV67" s="168"/>
      <c r="HW67" s="168"/>
      <c r="HX67" s="168"/>
      <c r="HY67" s="168"/>
      <c r="HZ67" s="168"/>
      <c r="IA67" s="168"/>
      <c r="IB67" s="168"/>
      <c r="IC67" s="168"/>
      <c r="ID67" s="168"/>
      <c r="IE67" s="168"/>
      <c r="IF67" s="168"/>
      <c r="IG67" s="168"/>
      <c r="IH67" s="168"/>
      <c r="II67" s="168"/>
      <c r="IJ67" s="168"/>
      <c r="IK67" s="168"/>
      <c r="IL67" s="168"/>
      <c r="IM67" s="168"/>
      <c r="IN67" s="168"/>
      <c r="IO67" s="168"/>
      <c r="IP67" s="168"/>
      <c r="IQ67" s="168"/>
      <c r="IR67" s="168"/>
      <c r="IS67" s="168"/>
      <c r="IT67" s="168"/>
      <c r="IU67" s="168"/>
      <c r="IV67" s="168"/>
      <c r="IW67" s="168"/>
    </row>
    <row r="68" customFormat="false" ht="15" hidden="false" customHeight="false" outlineLevel="0" collapsed="false">
      <c r="A68" s="96"/>
      <c r="B68" s="204"/>
      <c r="C68" s="96"/>
      <c r="D68" s="184"/>
      <c r="E68" s="96"/>
      <c r="F68" s="96"/>
      <c r="G68" s="96"/>
      <c r="H68" s="96"/>
      <c r="I68" s="185"/>
      <c r="J68" s="185"/>
      <c r="K68" s="185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204"/>
      <c r="Z68" s="204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50"/>
      <c r="AS68" s="150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  <c r="GY68" s="168"/>
      <c r="GZ68" s="168"/>
      <c r="HA68" s="168"/>
      <c r="HB68" s="168"/>
      <c r="HC68" s="168"/>
      <c r="HD68" s="168"/>
      <c r="HE68" s="168"/>
      <c r="HF68" s="168"/>
      <c r="HG68" s="168"/>
      <c r="HH68" s="168"/>
      <c r="HI68" s="168"/>
      <c r="HJ68" s="168"/>
      <c r="HK68" s="168"/>
      <c r="HL68" s="168"/>
      <c r="HM68" s="168"/>
      <c r="HN68" s="168"/>
      <c r="HO68" s="168"/>
      <c r="HP68" s="168"/>
      <c r="HQ68" s="168"/>
      <c r="HR68" s="168"/>
      <c r="HS68" s="168"/>
      <c r="HT68" s="168"/>
      <c r="HU68" s="168"/>
      <c r="HV68" s="168"/>
      <c r="HW68" s="168"/>
      <c r="HX68" s="168"/>
      <c r="HY68" s="168"/>
      <c r="HZ68" s="168"/>
      <c r="IA68" s="168"/>
      <c r="IB68" s="168"/>
      <c r="IC68" s="168"/>
      <c r="ID68" s="168"/>
      <c r="IE68" s="168"/>
      <c r="IF68" s="168"/>
      <c r="IG68" s="168"/>
      <c r="IH68" s="168"/>
      <c r="II68" s="168"/>
      <c r="IJ68" s="168"/>
      <c r="IK68" s="168"/>
      <c r="IL68" s="168"/>
      <c r="IM68" s="168"/>
      <c r="IN68" s="168"/>
      <c r="IO68" s="168"/>
      <c r="IP68" s="168"/>
      <c r="IQ68" s="168"/>
      <c r="IR68" s="168"/>
      <c r="IS68" s="168"/>
      <c r="IT68" s="168"/>
      <c r="IU68" s="168"/>
      <c r="IV68" s="168"/>
      <c r="IW68" s="168"/>
    </row>
    <row r="69" customFormat="false" ht="15" hidden="false" customHeight="false" outlineLevel="0" collapsed="false">
      <c r="A69" s="96"/>
      <c r="B69" s="204"/>
      <c r="C69" s="96"/>
      <c r="D69" s="185"/>
      <c r="E69" s="185"/>
      <c r="F69" s="218"/>
      <c r="G69" s="185"/>
      <c r="H69" s="185"/>
      <c r="I69" s="185"/>
      <c r="J69" s="185"/>
      <c r="K69" s="185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204"/>
      <c r="Z69" s="204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50"/>
      <c r="AS69" s="150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168"/>
      <c r="EP69" s="168"/>
      <c r="EQ69" s="168"/>
      <c r="ER69" s="168"/>
      <c r="ES69" s="168"/>
      <c r="ET69" s="168"/>
      <c r="EU69" s="168"/>
      <c r="EV69" s="168"/>
      <c r="EW69" s="168"/>
      <c r="EX69" s="168"/>
      <c r="EY69" s="168"/>
      <c r="EZ69" s="168"/>
      <c r="FA69" s="168"/>
      <c r="FB69" s="168"/>
      <c r="FC69" s="168"/>
      <c r="FD69" s="168"/>
      <c r="FE69" s="168"/>
      <c r="FF69" s="168"/>
      <c r="FG69" s="168"/>
      <c r="FH69" s="168"/>
      <c r="FI69" s="168"/>
      <c r="FJ69" s="168"/>
      <c r="FK69" s="168"/>
      <c r="FL69" s="168"/>
      <c r="FM69" s="168"/>
      <c r="FN69" s="168"/>
      <c r="FO69" s="168"/>
      <c r="FP69" s="168"/>
      <c r="FQ69" s="168"/>
      <c r="FR69" s="168"/>
      <c r="FS69" s="168"/>
      <c r="FT69" s="168"/>
      <c r="FU69" s="168"/>
      <c r="FV69" s="168"/>
      <c r="FW69" s="168"/>
      <c r="FX69" s="168"/>
      <c r="FY69" s="168"/>
      <c r="FZ69" s="168"/>
      <c r="GA69" s="168"/>
      <c r="GB69" s="168"/>
      <c r="GC69" s="168"/>
      <c r="GD69" s="168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  <c r="GO69" s="168"/>
      <c r="GP69" s="168"/>
      <c r="GQ69" s="168"/>
      <c r="GR69" s="168"/>
      <c r="GS69" s="168"/>
      <c r="GT69" s="168"/>
      <c r="GU69" s="168"/>
      <c r="GV69" s="168"/>
      <c r="GW69" s="168"/>
      <c r="GX69" s="168"/>
      <c r="GY69" s="168"/>
      <c r="GZ69" s="168"/>
      <c r="HA69" s="168"/>
      <c r="HB69" s="168"/>
      <c r="HC69" s="168"/>
      <c r="HD69" s="168"/>
      <c r="HE69" s="168"/>
      <c r="HF69" s="168"/>
      <c r="HG69" s="168"/>
      <c r="HH69" s="168"/>
      <c r="HI69" s="168"/>
      <c r="HJ69" s="168"/>
      <c r="HK69" s="168"/>
      <c r="HL69" s="168"/>
      <c r="HM69" s="168"/>
      <c r="HN69" s="168"/>
      <c r="HO69" s="168"/>
      <c r="HP69" s="168"/>
      <c r="HQ69" s="168"/>
      <c r="HR69" s="168"/>
      <c r="HS69" s="168"/>
      <c r="HT69" s="168"/>
      <c r="HU69" s="168"/>
      <c r="HV69" s="168"/>
      <c r="HW69" s="168"/>
      <c r="HX69" s="168"/>
      <c r="HY69" s="168"/>
      <c r="HZ69" s="168"/>
      <c r="IA69" s="168"/>
      <c r="IB69" s="168"/>
      <c r="IC69" s="168"/>
      <c r="ID69" s="168"/>
      <c r="IE69" s="168"/>
      <c r="IF69" s="168"/>
      <c r="IG69" s="168"/>
      <c r="IH69" s="168"/>
      <c r="II69" s="168"/>
      <c r="IJ69" s="168"/>
      <c r="IK69" s="168"/>
      <c r="IL69" s="168"/>
      <c r="IM69" s="168"/>
      <c r="IN69" s="168"/>
      <c r="IO69" s="168"/>
      <c r="IP69" s="168"/>
      <c r="IQ69" s="168"/>
      <c r="IR69" s="168"/>
      <c r="IS69" s="168"/>
      <c r="IT69" s="168"/>
      <c r="IU69" s="168"/>
      <c r="IV69" s="168"/>
      <c r="IW69" s="168"/>
    </row>
    <row r="70" customFormat="false" ht="15" hidden="false" customHeight="false" outlineLevel="0" collapsed="false">
      <c r="A70" s="96"/>
      <c r="B70" s="204"/>
      <c r="C70" s="96"/>
      <c r="D70" s="96"/>
      <c r="E70" s="96"/>
      <c r="F70" s="219"/>
      <c r="G70" s="96"/>
      <c r="H70" s="220"/>
      <c r="I70" s="96"/>
      <c r="J70" s="96"/>
      <c r="K70" s="96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204"/>
      <c r="Z70" s="204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50"/>
      <c r="AS70" s="150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68"/>
      <c r="DM70" s="168"/>
      <c r="DN70" s="168"/>
      <c r="DO70" s="168"/>
      <c r="DP70" s="168"/>
      <c r="DQ70" s="168"/>
      <c r="DR70" s="168"/>
      <c r="DS70" s="168"/>
      <c r="DT70" s="168"/>
      <c r="DU70" s="168"/>
      <c r="DV70" s="168"/>
      <c r="DW70" s="168"/>
      <c r="DX70" s="168"/>
      <c r="DY70" s="168"/>
      <c r="DZ70" s="168"/>
      <c r="EA70" s="168"/>
      <c r="EB70" s="168"/>
      <c r="EC70" s="168"/>
      <c r="ED70" s="168"/>
      <c r="EE70" s="168"/>
      <c r="EF70" s="168"/>
      <c r="EG70" s="168"/>
      <c r="EH70" s="168"/>
      <c r="EI70" s="168"/>
      <c r="EJ70" s="168"/>
      <c r="EK70" s="168"/>
      <c r="EL70" s="168"/>
      <c r="EM70" s="168"/>
      <c r="EN70" s="168"/>
      <c r="EO70" s="168"/>
      <c r="EP70" s="168"/>
      <c r="EQ70" s="168"/>
      <c r="ER70" s="168"/>
      <c r="ES70" s="168"/>
      <c r="ET70" s="168"/>
      <c r="EU70" s="168"/>
      <c r="EV70" s="168"/>
      <c r="EW70" s="168"/>
      <c r="EX70" s="168"/>
      <c r="EY70" s="168"/>
      <c r="EZ70" s="168"/>
      <c r="FA70" s="168"/>
      <c r="FB70" s="168"/>
      <c r="FC70" s="168"/>
      <c r="FD70" s="168"/>
      <c r="FE70" s="168"/>
      <c r="FF70" s="168"/>
      <c r="FG70" s="168"/>
      <c r="FH70" s="168"/>
      <c r="FI70" s="168"/>
      <c r="FJ70" s="168"/>
      <c r="FK70" s="168"/>
      <c r="FL70" s="168"/>
      <c r="FM70" s="168"/>
      <c r="FN70" s="168"/>
      <c r="FO70" s="168"/>
      <c r="FP70" s="168"/>
      <c r="FQ70" s="168"/>
      <c r="FR70" s="168"/>
      <c r="FS70" s="168"/>
      <c r="FT70" s="168"/>
      <c r="FU70" s="168"/>
      <c r="FV70" s="168"/>
      <c r="FW70" s="168"/>
      <c r="FX70" s="168"/>
      <c r="FY70" s="168"/>
      <c r="FZ70" s="168"/>
      <c r="GA70" s="168"/>
      <c r="GB70" s="168"/>
      <c r="GC70" s="168"/>
      <c r="GD70" s="168"/>
      <c r="GE70" s="168"/>
      <c r="GF70" s="168"/>
      <c r="GG70" s="168"/>
      <c r="GH70" s="168"/>
      <c r="GI70" s="168"/>
      <c r="GJ70" s="168"/>
      <c r="GK70" s="168"/>
      <c r="GL70" s="168"/>
      <c r="GM70" s="168"/>
      <c r="GN70" s="168"/>
      <c r="GO70" s="168"/>
      <c r="GP70" s="168"/>
      <c r="GQ70" s="168"/>
      <c r="GR70" s="168"/>
      <c r="GS70" s="168"/>
      <c r="GT70" s="168"/>
      <c r="GU70" s="168"/>
      <c r="GV70" s="168"/>
      <c r="GW70" s="168"/>
      <c r="GX70" s="168"/>
      <c r="GY70" s="168"/>
      <c r="GZ70" s="168"/>
      <c r="HA70" s="168"/>
      <c r="HB70" s="168"/>
      <c r="HC70" s="168"/>
      <c r="HD70" s="168"/>
      <c r="HE70" s="168"/>
      <c r="HF70" s="168"/>
      <c r="HG70" s="168"/>
      <c r="HH70" s="168"/>
      <c r="HI70" s="168"/>
      <c r="HJ70" s="168"/>
      <c r="HK70" s="168"/>
      <c r="HL70" s="168"/>
      <c r="HM70" s="168"/>
      <c r="HN70" s="168"/>
      <c r="HO70" s="168"/>
      <c r="HP70" s="168"/>
      <c r="HQ70" s="168"/>
      <c r="HR70" s="168"/>
      <c r="HS70" s="168"/>
      <c r="HT70" s="168"/>
      <c r="HU70" s="168"/>
      <c r="HV70" s="168"/>
      <c r="HW70" s="168"/>
      <c r="HX70" s="168"/>
      <c r="HY70" s="168"/>
      <c r="HZ70" s="168"/>
      <c r="IA70" s="168"/>
      <c r="IB70" s="168"/>
      <c r="IC70" s="168"/>
      <c r="ID70" s="168"/>
      <c r="IE70" s="168"/>
      <c r="IF70" s="168"/>
      <c r="IG70" s="168"/>
      <c r="IH70" s="168"/>
      <c r="II70" s="168"/>
      <c r="IJ70" s="168"/>
      <c r="IK70" s="168"/>
      <c r="IL70" s="168"/>
      <c r="IM70" s="168"/>
      <c r="IN70" s="168"/>
      <c r="IO70" s="168"/>
      <c r="IP70" s="168"/>
      <c r="IQ70" s="168"/>
      <c r="IR70" s="168"/>
      <c r="IS70" s="168"/>
      <c r="IT70" s="168"/>
      <c r="IU70" s="168"/>
      <c r="IV70" s="168"/>
      <c r="IW70" s="168"/>
    </row>
    <row r="71" customFormat="false" ht="15" hidden="false" customHeight="false" outlineLevel="0" collapsed="false">
      <c r="A71" s="96"/>
      <c r="B71" s="204"/>
      <c r="C71" s="96"/>
      <c r="D71" s="96"/>
      <c r="E71" s="96"/>
      <c r="F71" s="221"/>
      <c r="G71" s="96"/>
      <c r="H71" s="220"/>
      <c r="I71" s="96"/>
      <c r="J71" s="96"/>
      <c r="K71" s="96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204"/>
      <c r="Z71" s="204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50"/>
      <c r="AS71" s="150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15" hidden="false" customHeight="false" outlineLevel="0" collapsed="false">
      <c r="A72" s="96"/>
      <c r="B72" s="204"/>
      <c r="C72" s="168"/>
      <c r="D72" s="96"/>
      <c r="E72" s="96"/>
      <c r="F72" s="221"/>
      <c r="G72" s="96"/>
      <c r="H72" s="220"/>
      <c r="I72" s="96"/>
      <c r="J72" s="96"/>
      <c r="K72" s="96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204"/>
      <c r="Z72" s="204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50"/>
      <c r="AS72" s="150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  <c r="GY72" s="168"/>
      <c r="GZ72" s="168"/>
      <c r="HA72" s="168"/>
      <c r="HB72" s="168"/>
      <c r="HC72" s="168"/>
      <c r="HD72" s="168"/>
      <c r="HE72" s="168"/>
      <c r="HF72" s="168"/>
      <c r="HG72" s="168"/>
      <c r="HH72" s="168"/>
      <c r="HI72" s="168"/>
      <c r="HJ72" s="168"/>
      <c r="HK72" s="168"/>
      <c r="HL72" s="168"/>
      <c r="HM72" s="168"/>
      <c r="HN72" s="168"/>
      <c r="HO72" s="168"/>
      <c r="HP72" s="168"/>
      <c r="HQ72" s="168"/>
      <c r="HR72" s="168"/>
      <c r="HS72" s="168"/>
      <c r="HT72" s="168"/>
      <c r="HU72" s="168"/>
      <c r="HV72" s="168"/>
      <c r="HW72" s="168"/>
      <c r="HX72" s="168"/>
      <c r="HY72" s="168"/>
      <c r="HZ72" s="168"/>
      <c r="IA72" s="168"/>
      <c r="IB72" s="168"/>
      <c r="IC72" s="168"/>
      <c r="ID72" s="168"/>
      <c r="IE72" s="168"/>
      <c r="IF72" s="168"/>
      <c r="IG72" s="168"/>
      <c r="IH72" s="168"/>
      <c r="II72" s="168"/>
      <c r="IJ72" s="168"/>
      <c r="IK72" s="168"/>
      <c r="IL72" s="168"/>
      <c r="IM72" s="168"/>
      <c r="IN72" s="168"/>
      <c r="IO72" s="168"/>
      <c r="IP72" s="168"/>
      <c r="IQ72" s="168"/>
      <c r="IR72" s="168"/>
      <c r="IS72" s="168"/>
      <c r="IT72" s="168"/>
      <c r="IU72" s="168"/>
      <c r="IV72" s="168"/>
      <c r="IW72" s="168"/>
    </row>
    <row r="73" customFormat="false" ht="15" hidden="false" customHeight="false" outlineLevel="0" collapsed="false">
      <c r="A73" s="96"/>
      <c r="B73" s="204"/>
      <c r="C73" s="168"/>
      <c r="D73" s="96"/>
      <c r="E73" s="222"/>
      <c r="F73" s="221"/>
      <c r="G73" s="96"/>
      <c r="H73" s="220"/>
      <c r="I73" s="96"/>
      <c r="J73" s="96"/>
      <c r="K73" s="96"/>
      <c r="L73" s="168"/>
      <c r="M73" s="96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204"/>
      <c r="Z73" s="204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50"/>
      <c r="AS73" s="150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  <c r="GY73" s="168"/>
      <c r="GZ73" s="168"/>
      <c r="HA73" s="168"/>
      <c r="HB73" s="168"/>
      <c r="HC73" s="168"/>
      <c r="HD73" s="168"/>
      <c r="HE73" s="168"/>
      <c r="HF73" s="168"/>
      <c r="HG73" s="168"/>
      <c r="HH73" s="168"/>
      <c r="HI73" s="168"/>
      <c r="HJ73" s="168"/>
      <c r="HK73" s="168"/>
      <c r="HL73" s="168"/>
      <c r="HM73" s="168"/>
      <c r="HN73" s="168"/>
      <c r="HO73" s="168"/>
      <c r="HP73" s="168"/>
      <c r="HQ73" s="168"/>
      <c r="HR73" s="168"/>
      <c r="HS73" s="168"/>
      <c r="HT73" s="168"/>
      <c r="HU73" s="168"/>
      <c r="HV73" s="168"/>
      <c r="HW73" s="168"/>
      <c r="HX73" s="168"/>
      <c r="HY73" s="168"/>
      <c r="HZ73" s="168"/>
      <c r="IA73" s="168"/>
      <c r="IB73" s="168"/>
      <c r="IC73" s="168"/>
      <c r="ID73" s="168"/>
      <c r="IE73" s="168"/>
      <c r="IF73" s="168"/>
      <c r="IG73" s="168"/>
      <c r="IH73" s="168"/>
      <c r="II73" s="168"/>
      <c r="IJ73" s="168"/>
      <c r="IK73" s="168"/>
      <c r="IL73" s="168"/>
      <c r="IM73" s="168"/>
      <c r="IN73" s="168"/>
      <c r="IO73" s="168"/>
      <c r="IP73" s="168"/>
      <c r="IQ73" s="168"/>
      <c r="IR73" s="168"/>
      <c r="IS73" s="168"/>
      <c r="IT73" s="168"/>
      <c r="IU73" s="168"/>
      <c r="IV73" s="168"/>
      <c r="IW73" s="168"/>
    </row>
    <row r="74" customFormat="false" ht="15" hidden="false" customHeight="false" outlineLevel="0" collapsed="false">
      <c r="A74" s="96"/>
      <c r="B74" s="204"/>
      <c r="C74" s="168"/>
      <c r="D74" s="96"/>
      <c r="E74" s="222"/>
      <c r="F74" s="221"/>
      <c r="G74" s="223"/>
      <c r="H74" s="220"/>
      <c r="I74" s="96"/>
      <c r="J74" s="96"/>
      <c r="K74" s="96"/>
      <c r="L74" s="168"/>
      <c r="M74" s="96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204"/>
      <c r="Z74" s="204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50"/>
      <c r="AS74" s="150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</row>
    <row r="75" customFormat="false" ht="15" hidden="false" customHeight="false" outlineLevel="0" collapsed="false">
      <c r="A75" s="96"/>
      <c r="B75" s="204"/>
      <c r="C75" s="168"/>
      <c r="D75" s="96"/>
      <c r="E75" s="96"/>
      <c r="F75" s="221"/>
      <c r="G75" s="96"/>
      <c r="H75" s="96"/>
      <c r="I75" s="96"/>
      <c r="J75" s="168"/>
      <c r="K75" s="96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204"/>
      <c r="Z75" s="204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50"/>
      <c r="AS75" s="150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  <c r="GY75" s="168"/>
      <c r="GZ75" s="168"/>
      <c r="HA75" s="168"/>
      <c r="HB75" s="168"/>
      <c r="HC75" s="168"/>
      <c r="HD75" s="168"/>
      <c r="HE75" s="168"/>
      <c r="HF75" s="168"/>
      <c r="HG75" s="168"/>
      <c r="HH75" s="168"/>
      <c r="HI75" s="168"/>
      <c r="HJ75" s="168"/>
      <c r="HK75" s="168"/>
      <c r="HL75" s="168"/>
      <c r="HM75" s="168"/>
      <c r="HN75" s="168"/>
      <c r="HO75" s="168"/>
      <c r="HP75" s="168"/>
      <c r="HQ75" s="168"/>
      <c r="HR75" s="168"/>
      <c r="HS75" s="168"/>
      <c r="HT75" s="168"/>
      <c r="HU75" s="168"/>
      <c r="HV75" s="168"/>
      <c r="HW75" s="168"/>
      <c r="HX75" s="168"/>
      <c r="HY75" s="168"/>
      <c r="HZ75" s="168"/>
      <c r="IA75" s="168"/>
      <c r="IB75" s="168"/>
      <c r="IC75" s="168"/>
      <c r="ID75" s="168"/>
      <c r="IE75" s="168"/>
      <c r="IF75" s="168"/>
      <c r="IG75" s="168"/>
      <c r="IH75" s="168"/>
      <c r="II75" s="168"/>
      <c r="IJ75" s="168"/>
      <c r="IK75" s="168"/>
      <c r="IL75" s="168"/>
      <c r="IM75" s="168"/>
      <c r="IN75" s="168"/>
      <c r="IO75" s="168"/>
      <c r="IP75" s="168"/>
      <c r="IQ75" s="168"/>
      <c r="IR75" s="168"/>
      <c r="IS75" s="168"/>
      <c r="IT75" s="168"/>
      <c r="IU75" s="168"/>
      <c r="IV75" s="168"/>
      <c r="IW75" s="168"/>
    </row>
    <row r="76" customFormat="false" ht="15" hidden="false" customHeight="false" outlineLevel="0" collapsed="false">
      <c r="A76" s="96"/>
      <c r="B76" s="204"/>
      <c r="C76" s="224"/>
      <c r="D76" s="224"/>
      <c r="E76" s="224"/>
      <c r="F76" s="224"/>
      <c r="G76" s="224"/>
      <c r="H76" s="96"/>
      <c r="I76" s="168"/>
      <c r="J76" s="224"/>
      <c r="K76" s="225"/>
      <c r="L76" s="225"/>
      <c r="M76" s="225"/>
      <c r="N76" s="225"/>
      <c r="O76" s="225"/>
      <c r="P76" s="225"/>
      <c r="Q76" s="168"/>
      <c r="R76" s="168"/>
      <c r="S76" s="168"/>
      <c r="T76" s="168"/>
      <c r="U76" s="168"/>
      <c r="V76" s="168"/>
      <c r="W76" s="168"/>
      <c r="X76" s="168"/>
      <c r="Y76" s="204"/>
      <c r="Z76" s="204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50"/>
      <c r="AS76" s="150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168"/>
      <c r="DN76" s="168"/>
      <c r="DO76" s="168"/>
      <c r="DP76" s="168"/>
      <c r="DQ76" s="168"/>
      <c r="DR76" s="168"/>
      <c r="DS76" s="168"/>
      <c r="DT76" s="168"/>
      <c r="DU76" s="168"/>
      <c r="DV76" s="168"/>
      <c r="DW76" s="168"/>
      <c r="DX76" s="168"/>
      <c r="DY76" s="168"/>
      <c r="DZ76" s="168"/>
      <c r="EA76" s="168"/>
      <c r="EB76" s="168"/>
      <c r="EC76" s="168"/>
      <c r="ED76" s="168"/>
      <c r="EE76" s="168"/>
      <c r="EF76" s="168"/>
      <c r="EG76" s="168"/>
      <c r="EH76" s="168"/>
      <c r="EI76" s="168"/>
      <c r="EJ76" s="168"/>
      <c r="EK76" s="168"/>
      <c r="EL76" s="168"/>
      <c r="EM76" s="168"/>
      <c r="EN76" s="168"/>
      <c r="EO76" s="168"/>
      <c r="EP76" s="168"/>
      <c r="EQ76" s="168"/>
      <c r="ER76" s="168"/>
      <c r="ES76" s="168"/>
      <c r="ET76" s="168"/>
      <c r="EU76" s="168"/>
      <c r="EV76" s="168"/>
      <c r="EW76" s="168"/>
      <c r="EX76" s="168"/>
      <c r="EY76" s="168"/>
      <c r="EZ76" s="168"/>
      <c r="FA76" s="168"/>
      <c r="FB76" s="168"/>
      <c r="FC76" s="168"/>
      <c r="FD76" s="168"/>
      <c r="FE76" s="168"/>
      <c r="FF76" s="168"/>
      <c r="FG76" s="168"/>
      <c r="FH76" s="168"/>
      <c r="FI76" s="168"/>
      <c r="FJ76" s="168"/>
      <c r="FK76" s="168"/>
      <c r="FL76" s="168"/>
      <c r="FM76" s="168"/>
      <c r="FN76" s="168"/>
      <c r="FO76" s="168"/>
      <c r="FP76" s="168"/>
      <c r="FQ76" s="168"/>
      <c r="FR76" s="168"/>
      <c r="FS76" s="168"/>
      <c r="FT76" s="168"/>
      <c r="FU76" s="168"/>
      <c r="FV76" s="168"/>
      <c r="FW76" s="168"/>
      <c r="FX76" s="168"/>
      <c r="FY76" s="168"/>
      <c r="FZ76" s="168"/>
      <c r="GA76" s="168"/>
      <c r="GB76" s="168"/>
      <c r="GC76" s="168"/>
      <c r="GD76" s="168"/>
      <c r="GE76" s="168"/>
      <c r="GF76" s="168"/>
      <c r="GG76" s="168"/>
      <c r="GH76" s="168"/>
      <c r="GI76" s="168"/>
      <c r="GJ76" s="168"/>
      <c r="GK76" s="168"/>
      <c r="GL76" s="168"/>
      <c r="GM76" s="168"/>
      <c r="GN76" s="168"/>
      <c r="GO76" s="168"/>
      <c r="GP76" s="168"/>
      <c r="GQ76" s="168"/>
      <c r="GR76" s="168"/>
      <c r="GS76" s="168"/>
      <c r="GT76" s="168"/>
      <c r="GU76" s="168"/>
      <c r="GV76" s="168"/>
      <c r="GW76" s="168"/>
      <c r="GX76" s="168"/>
      <c r="GY76" s="168"/>
      <c r="GZ76" s="168"/>
      <c r="HA76" s="168"/>
      <c r="HB76" s="168"/>
      <c r="HC76" s="168"/>
      <c r="HD76" s="168"/>
      <c r="HE76" s="168"/>
      <c r="HF76" s="168"/>
      <c r="HG76" s="168"/>
      <c r="HH76" s="168"/>
      <c r="HI76" s="168"/>
      <c r="HJ76" s="168"/>
      <c r="HK76" s="168"/>
      <c r="HL76" s="168"/>
      <c r="HM76" s="168"/>
      <c r="HN76" s="168"/>
      <c r="HO76" s="168"/>
      <c r="HP76" s="168"/>
      <c r="HQ76" s="168"/>
      <c r="HR76" s="168"/>
      <c r="HS76" s="168"/>
      <c r="HT76" s="168"/>
      <c r="HU76" s="168"/>
      <c r="HV76" s="168"/>
      <c r="HW76" s="168"/>
      <c r="HX76" s="168"/>
      <c r="HY76" s="168"/>
      <c r="HZ76" s="168"/>
      <c r="IA76" s="168"/>
      <c r="IB76" s="168"/>
      <c r="IC76" s="168"/>
      <c r="ID76" s="168"/>
      <c r="IE76" s="168"/>
      <c r="IF76" s="168"/>
      <c r="IG76" s="168"/>
      <c r="IH76" s="168"/>
      <c r="II76" s="168"/>
      <c r="IJ76" s="168"/>
      <c r="IK76" s="168"/>
      <c r="IL76" s="168"/>
      <c r="IM76" s="168"/>
      <c r="IN76" s="168"/>
      <c r="IO76" s="168"/>
      <c r="IP76" s="168"/>
      <c r="IQ76" s="168"/>
      <c r="IR76" s="168"/>
      <c r="IS76" s="168"/>
      <c r="IT76" s="168"/>
      <c r="IU76" s="168"/>
      <c r="IV76" s="168"/>
      <c r="IW76" s="168"/>
    </row>
    <row r="77" customFormat="false" ht="15" hidden="false" customHeight="false" outlineLevel="0" collapsed="false">
      <c r="A77" s="96"/>
      <c r="B77" s="204"/>
      <c r="C77" s="168"/>
      <c r="D77" s="168"/>
      <c r="E77" s="168"/>
      <c r="F77" s="168"/>
      <c r="G77" s="168"/>
      <c r="H77" s="168"/>
      <c r="I77" s="168"/>
      <c r="J77" s="96"/>
      <c r="K77" s="168"/>
      <c r="L77" s="168"/>
      <c r="M77" s="226"/>
      <c r="N77" s="226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204"/>
      <c r="Z77" s="204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50"/>
      <c r="AS77" s="150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  <c r="IP77" s="168"/>
      <c r="IQ77" s="168"/>
      <c r="IR77" s="168"/>
      <c r="IS77" s="168"/>
      <c r="IT77" s="168"/>
      <c r="IU77" s="168"/>
      <c r="IV77" s="168"/>
      <c r="IW77" s="168"/>
    </row>
    <row r="78" customFormat="false" ht="15" hidden="false" customHeight="false" outlineLevel="0" collapsed="false">
      <c r="A78" s="96"/>
      <c r="B78" s="204"/>
      <c r="C78" s="168"/>
      <c r="D78" s="168"/>
      <c r="E78" s="168"/>
      <c r="F78" s="168"/>
      <c r="G78" s="168"/>
      <c r="H78" s="96"/>
      <c r="I78" s="96"/>
      <c r="J78" s="96"/>
      <c r="K78" s="224"/>
      <c r="L78" s="168"/>
      <c r="M78" s="226"/>
      <c r="N78" s="226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204"/>
      <c r="Z78" s="204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50"/>
      <c r="AS78" s="150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  <c r="GY78" s="168"/>
      <c r="GZ78" s="168"/>
      <c r="HA78" s="168"/>
      <c r="HB78" s="168"/>
      <c r="HC78" s="168"/>
      <c r="HD78" s="168"/>
      <c r="HE78" s="168"/>
      <c r="HF78" s="168"/>
      <c r="HG78" s="168"/>
      <c r="HH78" s="168"/>
      <c r="HI78" s="168"/>
      <c r="HJ78" s="168"/>
      <c r="HK78" s="168"/>
      <c r="HL78" s="168"/>
      <c r="HM78" s="168"/>
      <c r="HN78" s="168"/>
      <c r="HO78" s="168"/>
      <c r="HP78" s="168"/>
      <c r="HQ78" s="168"/>
      <c r="HR78" s="168"/>
      <c r="HS78" s="168"/>
      <c r="HT78" s="168"/>
      <c r="HU78" s="168"/>
      <c r="HV78" s="168"/>
      <c r="HW78" s="168"/>
      <c r="HX78" s="168"/>
      <c r="HY78" s="168"/>
      <c r="HZ78" s="168"/>
      <c r="IA78" s="168"/>
      <c r="IB78" s="168"/>
      <c r="IC78" s="168"/>
      <c r="ID78" s="168"/>
      <c r="IE78" s="168"/>
      <c r="IF78" s="168"/>
      <c r="IG78" s="168"/>
      <c r="IH78" s="168"/>
      <c r="II78" s="168"/>
      <c r="IJ78" s="168"/>
      <c r="IK78" s="168"/>
      <c r="IL78" s="168"/>
      <c r="IM78" s="168"/>
      <c r="IN78" s="168"/>
      <c r="IO78" s="168"/>
      <c r="IP78" s="168"/>
      <c r="IQ78" s="168"/>
      <c r="IR78" s="168"/>
      <c r="IS78" s="168"/>
      <c r="IT78" s="168"/>
      <c r="IU78" s="168"/>
      <c r="IV78" s="168"/>
      <c r="IW78" s="168"/>
    </row>
    <row r="79" customFormat="false" ht="15" hidden="false" customHeight="false" outlineLevel="0" collapsed="false">
      <c r="A79" s="96"/>
      <c r="B79" s="204"/>
      <c r="C79" s="168"/>
      <c r="D79" s="96"/>
      <c r="E79" s="96"/>
      <c r="F79" s="96"/>
      <c r="G79" s="168"/>
      <c r="H79" s="96"/>
      <c r="I79" s="168"/>
      <c r="J79" s="204"/>
      <c r="K79" s="225"/>
      <c r="L79" s="168"/>
      <c r="M79" s="168"/>
      <c r="N79" s="168"/>
      <c r="O79" s="96"/>
      <c r="P79" s="168"/>
      <c r="Q79" s="168"/>
      <c r="R79" s="168"/>
      <c r="S79" s="168"/>
      <c r="T79" s="168"/>
      <c r="U79" s="168"/>
      <c r="V79" s="168"/>
      <c r="W79" s="168"/>
      <c r="X79" s="168"/>
      <c r="Y79" s="204"/>
      <c r="Z79" s="204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50"/>
      <c r="AS79" s="150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E79" s="168"/>
      <c r="CF79" s="168"/>
      <c r="CG79" s="168"/>
      <c r="CH79" s="168"/>
      <c r="CI79" s="168"/>
      <c r="CJ79" s="168"/>
      <c r="CK79" s="168"/>
      <c r="CL79" s="168"/>
      <c r="CM79" s="168"/>
      <c r="CN79" s="168"/>
      <c r="CO79" s="168"/>
      <c r="CP79" s="168"/>
      <c r="CQ79" s="168"/>
      <c r="CR79" s="168"/>
      <c r="CS79" s="168"/>
      <c r="CT79" s="168"/>
      <c r="CU79" s="168"/>
      <c r="CV79" s="168"/>
      <c r="CW79" s="168"/>
      <c r="CX79" s="168"/>
      <c r="CY79" s="168"/>
      <c r="CZ79" s="168"/>
      <c r="DA79" s="168"/>
      <c r="DB79" s="168"/>
      <c r="DC79" s="168"/>
      <c r="DD79" s="168"/>
      <c r="DE79" s="168"/>
      <c r="DF79" s="168"/>
      <c r="DG79" s="168"/>
      <c r="DH79" s="168"/>
      <c r="DI79" s="168"/>
      <c r="DJ79" s="168"/>
      <c r="DK79" s="168"/>
      <c r="DL79" s="168"/>
      <c r="DM79" s="168"/>
      <c r="DN79" s="168"/>
      <c r="DO79" s="168"/>
      <c r="DP79" s="168"/>
      <c r="DQ79" s="168"/>
      <c r="DR79" s="168"/>
      <c r="DS79" s="168"/>
      <c r="DT79" s="168"/>
      <c r="DU79" s="168"/>
      <c r="DV79" s="168"/>
      <c r="DW79" s="168"/>
      <c r="DX79" s="168"/>
      <c r="DY79" s="168"/>
      <c r="DZ79" s="168"/>
      <c r="EA79" s="168"/>
      <c r="EB79" s="168"/>
      <c r="EC79" s="168"/>
      <c r="ED79" s="168"/>
      <c r="EE79" s="168"/>
      <c r="EF79" s="168"/>
      <c r="EG79" s="168"/>
      <c r="EH79" s="168"/>
      <c r="EI79" s="168"/>
      <c r="EJ79" s="168"/>
      <c r="EK79" s="168"/>
      <c r="EL79" s="168"/>
      <c r="EM79" s="168"/>
      <c r="EN79" s="168"/>
      <c r="EO79" s="168"/>
      <c r="EP79" s="168"/>
      <c r="EQ79" s="168"/>
      <c r="ER79" s="168"/>
      <c r="ES79" s="168"/>
      <c r="ET79" s="168"/>
      <c r="EU79" s="168"/>
      <c r="EV79" s="168"/>
      <c r="EW79" s="168"/>
      <c r="EX79" s="168"/>
      <c r="EY79" s="168"/>
      <c r="EZ79" s="168"/>
      <c r="FA79" s="168"/>
      <c r="FB79" s="168"/>
      <c r="FC79" s="168"/>
      <c r="FD79" s="168"/>
      <c r="FE79" s="168"/>
      <c r="FF79" s="168"/>
      <c r="FG79" s="168"/>
      <c r="FH79" s="168"/>
      <c r="FI79" s="168"/>
      <c r="FJ79" s="168"/>
      <c r="FK79" s="168"/>
      <c r="FL79" s="168"/>
      <c r="FM79" s="168"/>
      <c r="FN79" s="168"/>
      <c r="FO79" s="168"/>
      <c r="FP79" s="168"/>
      <c r="FQ79" s="168"/>
      <c r="FR79" s="168"/>
      <c r="FS79" s="168"/>
      <c r="FT79" s="168"/>
      <c r="FU79" s="168"/>
      <c r="FV79" s="168"/>
      <c r="FW79" s="168"/>
      <c r="FX79" s="168"/>
      <c r="FY79" s="168"/>
      <c r="FZ79" s="168"/>
      <c r="GA79" s="168"/>
      <c r="GB79" s="168"/>
      <c r="GC79" s="168"/>
      <c r="GD79" s="168"/>
      <c r="GE79" s="168"/>
      <c r="GF79" s="168"/>
      <c r="GG79" s="168"/>
      <c r="GH79" s="168"/>
      <c r="GI79" s="168"/>
      <c r="GJ79" s="168"/>
      <c r="GK79" s="168"/>
      <c r="GL79" s="168"/>
      <c r="GM79" s="168"/>
      <c r="GN79" s="168"/>
      <c r="GO79" s="168"/>
      <c r="GP79" s="168"/>
      <c r="GQ79" s="168"/>
      <c r="GR79" s="168"/>
      <c r="GS79" s="168"/>
      <c r="GT79" s="168"/>
      <c r="GU79" s="168"/>
      <c r="GV79" s="168"/>
      <c r="GW79" s="168"/>
      <c r="GX79" s="168"/>
      <c r="GY79" s="168"/>
      <c r="GZ79" s="168"/>
      <c r="HA79" s="168"/>
      <c r="HB79" s="168"/>
      <c r="HC79" s="168"/>
      <c r="HD79" s="168"/>
      <c r="HE79" s="168"/>
      <c r="HF79" s="168"/>
      <c r="HG79" s="168"/>
      <c r="HH79" s="168"/>
      <c r="HI79" s="168"/>
      <c r="HJ79" s="168"/>
      <c r="HK79" s="168"/>
      <c r="HL79" s="168"/>
      <c r="HM79" s="168"/>
      <c r="HN79" s="168"/>
      <c r="HO79" s="168"/>
      <c r="HP79" s="168"/>
      <c r="HQ79" s="168"/>
      <c r="HR79" s="168"/>
      <c r="HS79" s="168"/>
      <c r="HT79" s="168"/>
      <c r="HU79" s="168"/>
      <c r="HV79" s="168"/>
      <c r="HW79" s="168"/>
      <c r="HX79" s="168"/>
      <c r="HY79" s="168"/>
      <c r="HZ79" s="168"/>
      <c r="IA79" s="168"/>
      <c r="IB79" s="168"/>
      <c r="IC79" s="168"/>
      <c r="ID79" s="168"/>
      <c r="IE79" s="168"/>
      <c r="IF79" s="168"/>
      <c r="IG79" s="168"/>
      <c r="IH79" s="168"/>
      <c r="II79" s="168"/>
      <c r="IJ79" s="168"/>
      <c r="IK79" s="168"/>
      <c r="IL79" s="168"/>
      <c r="IM79" s="168"/>
      <c r="IN79" s="168"/>
      <c r="IO79" s="168"/>
      <c r="IP79" s="168"/>
      <c r="IQ79" s="168"/>
      <c r="IR79" s="168"/>
      <c r="IS79" s="168"/>
      <c r="IT79" s="168"/>
      <c r="IU79" s="168"/>
      <c r="IV79" s="168"/>
      <c r="IW79" s="168"/>
    </row>
    <row r="80" customFormat="false" ht="15" hidden="false" customHeight="false" outlineLevel="0" collapsed="false">
      <c r="A80" s="96"/>
      <c r="B80" s="204"/>
      <c r="C80" s="168"/>
      <c r="D80" s="96"/>
      <c r="E80" s="96"/>
      <c r="F80" s="96"/>
      <c r="G80" s="168"/>
      <c r="H80" s="96"/>
      <c r="I80" s="168"/>
      <c r="J80" s="204"/>
      <c r="K80" s="225"/>
      <c r="L80" s="168"/>
      <c r="M80" s="168"/>
      <c r="N80" s="168"/>
      <c r="O80" s="96"/>
      <c r="P80" s="168"/>
      <c r="Q80" s="168"/>
      <c r="R80" s="168"/>
      <c r="S80" s="168"/>
      <c r="T80" s="168"/>
      <c r="U80" s="168"/>
      <c r="V80" s="168"/>
      <c r="W80" s="168"/>
      <c r="X80" s="168"/>
      <c r="Y80" s="204"/>
      <c r="Z80" s="204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50"/>
      <c r="AS80" s="150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  <c r="GY80" s="168"/>
      <c r="GZ80" s="168"/>
      <c r="HA80" s="168"/>
      <c r="HB80" s="168"/>
      <c r="HC80" s="168"/>
      <c r="HD80" s="168"/>
      <c r="HE80" s="168"/>
      <c r="HF80" s="168"/>
      <c r="HG80" s="168"/>
      <c r="HH80" s="168"/>
      <c r="HI80" s="168"/>
      <c r="HJ80" s="168"/>
      <c r="HK80" s="168"/>
      <c r="HL80" s="168"/>
      <c r="HM80" s="168"/>
      <c r="HN80" s="168"/>
      <c r="HO80" s="168"/>
      <c r="HP80" s="168"/>
      <c r="HQ80" s="168"/>
      <c r="HR80" s="168"/>
      <c r="HS80" s="168"/>
      <c r="HT80" s="168"/>
      <c r="HU80" s="168"/>
      <c r="HV80" s="168"/>
      <c r="HW80" s="168"/>
      <c r="HX80" s="168"/>
      <c r="HY80" s="168"/>
      <c r="HZ80" s="168"/>
      <c r="IA80" s="168"/>
      <c r="IB80" s="168"/>
      <c r="IC80" s="168"/>
      <c r="ID80" s="168"/>
      <c r="IE80" s="168"/>
      <c r="IF80" s="168"/>
      <c r="IG80" s="168"/>
      <c r="IH80" s="168"/>
      <c r="II80" s="168"/>
      <c r="IJ80" s="168"/>
      <c r="IK80" s="168"/>
      <c r="IL80" s="168"/>
      <c r="IM80" s="168"/>
      <c r="IN80" s="168"/>
      <c r="IO80" s="168"/>
      <c r="IP80" s="168"/>
      <c r="IQ80" s="168"/>
      <c r="IR80" s="168"/>
      <c r="IS80" s="168"/>
      <c r="IT80" s="168"/>
      <c r="IU80" s="168"/>
      <c r="IV80" s="168"/>
      <c r="IW80" s="168"/>
    </row>
    <row r="81" customFormat="false" ht="15" hidden="false" customHeight="false" outlineLevel="0" collapsed="false">
      <c r="A81" s="96"/>
      <c r="B81" s="204"/>
      <c r="C81" s="168"/>
      <c r="D81" s="96"/>
      <c r="E81" s="96"/>
      <c r="F81" s="96"/>
      <c r="G81" s="168"/>
      <c r="H81" s="96"/>
      <c r="I81" s="168"/>
      <c r="J81" s="204"/>
      <c r="K81" s="225"/>
      <c r="L81" s="168"/>
      <c r="M81" s="168"/>
      <c r="N81" s="168"/>
      <c r="O81" s="96"/>
      <c r="P81" s="168"/>
      <c r="Q81" s="168"/>
      <c r="R81" s="168"/>
      <c r="S81" s="168"/>
      <c r="T81" s="168"/>
      <c r="U81" s="168"/>
      <c r="V81" s="168"/>
      <c r="W81" s="168"/>
      <c r="X81" s="168"/>
      <c r="Y81" s="204"/>
      <c r="Z81" s="204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50"/>
      <c r="AS81" s="150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  <c r="GY81" s="168"/>
      <c r="GZ81" s="168"/>
      <c r="HA81" s="168"/>
      <c r="HB81" s="168"/>
      <c r="HC81" s="168"/>
      <c r="HD81" s="168"/>
      <c r="HE81" s="168"/>
      <c r="HF81" s="168"/>
      <c r="HG81" s="168"/>
      <c r="HH81" s="168"/>
      <c r="HI81" s="168"/>
      <c r="HJ81" s="168"/>
      <c r="HK81" s="168"/>
      <c r="HL81" s="168"/>
      <c r="HM81" s="168"/>
      <c r="HN81" s="168"/>
      <c r="HO81" s="168"/>
      <c r="HP81" s="168"/>
      <c r="HQ81" s="168"/>
      <c r="HR81" s="168"/>
      <c r="HS81" s="168"/>
      <c r="HT81" s="168"/>
      <c r="HU81" s="168"/>
      <c r="HV81" s="168"/>
      <c r="HW81" s="168"/>
      <c r="HX81" s="168"/>
      <c r="HY81" s="168"/>
      <c r="HZ81" s="168"/>
      <c r="IA81" s="168"/>
      <c r="IB81" s="168"/>
      <c r="IC81" s="168"/>
      <c r="ID81" s="168"/>
      <c r="IE81" s="168"/>
      <c r="IF81" s="168"/>
      <c r="IG81" s="168"/>
      <c r="IH81" s="168"/>
      <c r="II81" s="168"/>
      <c r="IJ81" s="168"/>
      <c r="IK81" s="168"/>
      <c r="IL81" s="168"/>
      <c r="IM81" s="168"/>
      <c r="IN81" s="168"/>
      <c r="IO81" s="168"/>
      <c r="IP81" s="168"/>
      <c r="IQ81" s="168"/>
      <c r="IR81" s="168"/>
      <c r="IS81" s="168"/>
      <c r="IT81" s="168"/>
      <c r="IU81" s="168"/>
      <c r="IV81" s="168"/>
      <c r="IW81" s="168"/>
    </row>
    <row r="82" customFormat="false" ht="15" hidden="false" customHeight="false" outlineLevel="0" collapsed="false">
      <c r="A82" s="96"/>
      <c r="B82" s="204"/>
      <c r="C82" s="168"/>
      <c r="D82" s="96"/>
      <c r="E82" s="96"/>
      <c r="F82" s="96"/>
      <c r="G82" s="168"/>
      <c r="H82" s="96"/>
      <c r="I82" s="168"/>
      <c r="J82" s="204"/>
      <c r="K82" s="225"/>
      <c r="L82" s="168"/>
      <c r="M82" s="168"/>
      <c r="N82" s="168"/>
      <c r="O82" s="96"/>
      <c r="P82" s="168"/>
      <c r="Q82" s="168"/>
      <c r="R82" s="168"/>
      <c r="S82" s="168"/>
      <c r="T82" s="168"/>
      <c r="U82" s="168"/>
      <c r="V82" s="168"/>
      <c r="W82" s="168"/>
      <c r="X82" s="168"/>
      <c r="Y82" s="204"/>
      <c r="Z82" s="204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50"/>
      <c r="AS82" s="150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68"/>
      <c r="CU82" s="168"/>
      <c r="CV82" s="168"/>
      <c r="CW82" s="168"/>
      <c r="CX82" s="168"/>
      <c r="CY82" s="168"/>
      <c r="CZ82" s="168"/>
      <c r="DA82" s="168"/>
      <c r="DB82" s="168"/>
      <c r="DC82" s="168"/>
      <c r="DD82" s="168"/>
      <c r="DE82" s="168"/>
      <c r="DF82" s="168"/>
      <c r="DG82" s="168"/>
      <c r="DH82" s="168"/>
      <c r="DI82" s="168"/>
      <c r="DJ82" s="168"/>
      <c r="DK82" s="168"/>
      <c r="DL82" s="168"/>
      <c r="DM82" s="168"/>
      <c r="DN82" s="168"/>
      <c r="DO82" s="168"/>
      <c r="DP82" s="168"/>
      <c r="DQ82" s="168"/>
      <c r="DR82" s="168"/>
      <c r="DS82" s="168"/>
      <c r="DT82" s="168"/>
      <c r="DU82" s="168"/>
      <c r="DV82" s="168"/>
      <c r="DW82" s="168"/>
      <c r="DX82" s="168"/>
      <c r="DY82" s="168"/>
      <c r="DZ82" s="168"/>
      <c r="EA82" s="168"/>
      <c r="EB82" s="168"/>
      <c r="EC82" s="168"/>
      <c r="ED82" s="168"/>
      <c r="EE82" s="168"/>
      <c r="EF82" s="168"/>
      <c r="EG82" s="168"/>
      <c r="EH82" s="168"/>
      <c r="EI82" s="168"/>
      <c r="EJ82" s="168"/>
      <c r="EK82" s="168"/>
      <c r="EL82" s="168"/>
      <c r="EM82" s="168"/>
      <c r="EN82" s="168"/>
      <c r="EO82" s="168"/>
      <c r="EP82" s="168"/>
      <c r="EQ82" s="168"/>
      <c r="ER82" s="168"/>
      <c r="ES82" s="168"/>
      <c r="ET82" s="168"/>
      <c r="EU82" s="168"/>
      <c r="EV82" s="168"/>
      <c r="EW82" s="168"/>
      <c r="EX82" s="168"/>
      <c r="EY82" s="168"/>
      <c r="EZ82" s="168"/>
      <c r="FA82" s="168"/>
      <c r="FB82" s="168"/>
      <c r="FC82" s="168"/>
      <c r="FD82" s="168"/>
      <c r="FE82" s="168"/>
      <c r="FF82" s="168"/>
      <c r="FG82" s="168"/>
      <c r="FH82" s="168"/>
      <c r="FI82" s="168"/>
      <c r="FJ82" s="168"/>
      <c r="FK82" s="168"/>
      <c r="FL82" s="168"/>
      <c r="FM82" s="168"/>
      <c r="FN82" s="168"/>
      <c r="FO82" s="168"/>
      <c r="FP82" s="168"/>
      <c r="FQ82" s="168"/>
      <c r="FR82" s="168"/>
      <c r="FS82" s="168"/>
      <c r="FT82" s="168"/>
      <c r="FU82" s="168"/>
      <c r="FV82" s="168"/>
      <c r="FW82" s="168"/>
      <c r="FX82" s="168"/>
      <c r="FY82" s="168"/>
      <c r="FZ82" s="168"/>
      <c r="GA82" s="168"/>
      <c r="GB82" s="168"/>
      <c r="GC82" s="168"/>
      <c r="GD82" s="168"/>
      <c r="GE82" s="168"/>
      <c r="GF82" s="168"/>
      <c r="GG82" s="168"/>
      <c r="GH82" s="168"/>
      <c r="GI82" s="168"/>
      <c r="GJ82" s="168"/>
      <c r="GK82" s="168"/>
      <c r="GL82" s="168"/>
      <c r="GM82" s="168"/>
      <c r="GN82" s="168"/>
      <c r="GO82" s="168"/>
      <c r="GP82" s="168"/>
      <c r="GQ82" s="168"/>
      <c r="GR82" s="168"/>
      <c r="GS82" s="168"/>
      <c r="GT82" s="168"/>
      <c r="GU82" s="168"/>
      <c r="GV82" s="168"/>
      <c r="GW82" s="168"/>
      <c r="GX82" s="168"/>
      <c r="GY82" s="168"/>
      <c r="GZ82" s="168"/>
      <c r="HA82" s="168"/>
      <c r="HB82" s="168"/>
      <c r="HC82" s="168"/>
      <c r="HD82" s="168"/>
      <c r="HE82" s="168"/>
      <c r="HF82" s="168"/>
      <c r="HG82" s="168"/>
      <c r="HH82" s="168"/>
      <c r="HI82" s="168"/>
      <c r="HJ82" s="168"/>
      <c r="HK82" s="168"/>
      <c r="HL82" s="168"/>
      <c r="HM82" s="168"/>
      <c r="HN82" s="168"/>
      <c r="HO82" s="168"/>
      <c r="HP82" s="168"/>
      <c r="HQ82" s="168"/>
      <c r="HR82" s="168"/>
      <c r="HS82" s="168"/>
      <c r="HT82" s="168"/>
      <c r="HU82" s="168"/>
      <c r="HV82" s="168"/>
      <c r="HW82" s="168"/>
      <c r="HX82" s="168"/>
      <c r="HY82" s="168"/>
      <c r="HZ82" s="168"/>
      <c r="IA82" s="168"/>
      <c r="IB82" s="168"/>
      <c r="IC82" s="168"/>
      <c r="ID82" s="168"/>
      <c r="IE82" s="168"/>
      <c r="IF82" s="168"/>
      <c r="IG82" s="168"/>
      <c r="IH82" s="168"/>
      <c r="II82" s="168"/>
      <c r="IJ82" s="168"/>
      <c r="IK82" s="168"/>
      <c r="IL82" s="168"/>
      <c r="IM82" s="168"/>
      <c r="IN82" s="168"/>
      <c r="IO82" s="168"/>
      <c r="IP82" s="168"/>
      <c r="IQ82" s="168"/>
      <c r="IR82" s="168"/>
      <c r="IS82" s="168"/>
      <c r="IT82" s="168"/>
      <c r="IU82" s="168"/>
      <c r="IV82" s="168"/>
      <c r="IW82" s="168"/>
    </row>
    <row r="83" customFormat="false" ht="15" hidden="false" customHeight="false" outlineLevel="0" collapsed="false">
      <c r="A83" s="96"/>
      <c r="B83" s="204"/>
      <c r="C83" s="168"/>
      <c r="D83" s="96"/>
      <c r="E83" s="96"/>
      <c r="F83" s="204"/>
      <c r="G83" s="204"/>
      <c r="H83" s="96"/>
      <c r="I83" s="168"/>
      <c r="J83" s="204"/>
      <c r="K83" s="225"/>
      <c r="L83" s="168"/>
      <c r="M83" s="168"/>
      <c r="N83" s="168"/>
      <c r="O83" s="96"/>
      <c r="P83" s="204"/>
      <c r="Q83" s="168"/>
      <c r="R83" s="168"/>
      <c r="S83" s="168"/>
      <c r="T83" s="168"/>
      <c r="U83" s="168"/>
      <c r="V83" s="168"/>
      <c r="W83" s="168"/>
      <c r="X83" s="168"/>
      <c r="Y83" s="204"/>
      <c r="Z83" s="204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50"/>
      <c r="AS83" s="150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  <c r="GY83" s="168"/>
      <c r="GZ83" s="168"/>
      <c r="HA83" s="168"/>
      <c r="HB83" s="168"/>
      <c r="HC83" s="168"/>
      <c r="HD83" s="168"/>
      <c r="HE83" s="168"/>
      <c r="HF83" s="168"/>
      <c r="HG83" s="168"/>
      <c r="HH83" s="168"/>
      <c r="HI83" s="168"/>
      <c r="HJ83" s="168"/>
      <c r="HK83" s="168"/>
      <c r="HL83" s="168"/>
      <c r="HM83" s="168"/>
      <c r="HN83" s="168"/>
      <c r="HO83" s="168"/>
      <c r="HP83" s="168"/>
      <c r="HQ83" s="168"/>
      <c r="HR83" s="168"/>
      <c r="HS83" s="168"/>
      <c r="HT83" s="168"/>
      <c r="HU83" s="168"/>
      <c r="HV83" s="168"/>
      <c r="HW83" s="168"/>
      <c r="HX83" s="168"/>
      <c r="HY83" s="168"/>
      <c r="HZ83" s="168"/>
      <c r="IA83" s="168"/>
      <c r="IB83" s="168"/>
      <c r="IC83" s="168"/>
      <c r="ID83" s="168"/>
      <c r="IE83" s="168"/>
      <c r="IF83" s="168"/>
      <c r="IG83" s="168"/>
      <c r="IH83" s="168"/>
      <c r="II83" s="168"/>
      <c r="IJ83" s="168"/>
      <c r="IK83" s="168"/>
      <c r="IL83" s="168"/>
      <c r="IM83" s="168"/>
      <c r="IN83" s="168"/>
      <c r="IO83" s="168"/>
      <c r="IP83" s="168"/>
      <c r="IQ83" s="168"/>
      <c r="IR83" s="168"/>
      <c r="IS83" s="168"/>
      <c r="IT83" s="168"/>
      <c r="IU83" s="168"/>
      <c r="IV83" s="168"/>
      <c r="IW83" s="168"/>
    </row>
    <row r="84" customFormat="false" ht="15" hidden="false" customHeight="false" outlineLevel="0" collapsed="false">
      <c r="A84" s="77"/>
      <c r="B84" s="119"/>
      <c r="D84" s="77"/>
      <c r="E84" s="77"/>
      <c r="F84" s="119"/>
      <c r="G84" s="119"/>
      <c r="H84" s="77"/>
      <c r="J84" s="119"/>
      <c r="K84" s="75"/>
      <c r="O84" s="77"/>
      <c r="P84" s="119"/>
      <c r="Y84" s="119"/>
      <c r="Z84" s="119"/>
    </row>
    <row r="85" customFormat="false" ht="15" hidden="false" customHeight="false" outlineLevel="0" collapsed="false">
      <c r="A85" s="77"/>
      <c r="B85" s="119"/>
      <c r="D85" s="77"/>
      <c r="E85" s="77"/>
      <c r="F85" s="119"/>
      <c r="G85" s="119"/>
      <c r="H85" s="77"/>
      <c r="J85" s="119"/>
      <c r="K85" s="75"/>
      <c r="O85" s="77"/>
      <c r="P85" s="119"/>
      <c r="Y85" s="119"/>
      <c r="Z85" s="119"/>
    </row>
    <row r="86" customFormat="false" ht="15" hidden="false" customHeight="false" outlineLevel="0" collapsed="false">
      <c r="A86" s="77"/>
      <c r="B86" s="119"/>
      <c r="D86" s="77"/>
      <c r="E86" s="77"/>
      <c r="F86" s="119"/>
      <c r="G86" s="119"/>
      <c r="H86" s="77"/>
      <c r="J86" s="119"/>
      <c r="K86" s="75"/>
      <c r="O86" s="77"/>
      <c r="P86" s="119"/>
      <c r="Y86" s="119"/>
      <c r="Z86" s="119"/>
    </row>
    <row r="87" customFormat="false" ht="15" hidden="false" customHeight="false" outlineLevel="0" collapsed="false">
      <c r="A87" s="77"/>
      <c r="B87" s="119"/>
      <c r="D87" s="77"/>
      <c r="E87" s="77"/>
      <c r="F87" s="119"/>
      <c r="G87" s="119"/>
      <c r="H87" s="77"/>
      <c r="J87" s="119"/>
      <c r="K87" s="75"/>
      <c r="O87" s="77"/>
      <c r="P87" s="119"/>
      <c r="Y87" s="119"/>
      <c r="Z87" s="119"/>
    </row>
    <row r="88" customFormat="false" ht="15" hidden="false" customHeight="false" outlineLevel="0" collapsed="false">
      <c r="A88" s="77"/>
      <c r="B88" s="119"/>
      <c r="D88" s="77"/>
      <c r="E88" s="77"/>
      <c r="F88" s="119"/>
      <c r="G88" s="119"/>
      <c r="H88" s="77"/>
      <c r="J88" s="119"/>
      <c r="K88" s="75"/>
      <c r="O88" s="77"/>
      <c r="P88" s="119"/>
      <c r="Y88" s="119"/>
      <c r="Z88" s="119"/>
    </row>
    <row r="89" customFormat="false" ht="15" hidden="false" customHeight="false" outlineLevel="0" collapsed="false">
      <c r="A89" s="77"/>
      <c r="B89" s="119"/>
      <c r="D89" s="77"/>
      <c r="E89" s="77"/>
      <c r="F89" s="119"/>
      <c r="G89" s="119"/>
      <c r="H89" s="77"/>
      <c r="J89" s="119"/>
      <c r="K89" s="75"/>
      <c r="O89" s="77"/>
      <c r="P89" s="119"/>
      <c r="Y89" s="119"/>
      <c r="Z89" s="119"/>
    </row>
    <row r="90" customFormat="false" ht="15" hidden="false" customHeight="false" outlineLevel="0" collapsed="false">
      <c r="A90" s="77"/>
      <c r="B90" s="119"/>
      <c r="D90" s="77"/>
      <c r="E90" s="77"/>
      <c r="F90" s="119"/>
      <c r="G90" s="119"/>
      <c r="H90" s="77"/>
      <c r="J90" s="119"/>
      <c r="K90" s="75"/>
      <c r="O90" s="77"/>
      <c r="P90" s="119"/>
      <c r="Y90" s="119"/>
      <c r="Z90" s="119"/>
    </row>
    <row r="91" customFormat="false" ht="15" hidden="false" customHeight="false" outlineLevel="0" collapsed="false">
      <c r="A91" s="77"/>
      <c r="B91" s="119"/>
      <c r="D91" s="77"/>
      <c r="E91" s="77"/>
      <c r="F91" s="119"/>
      <c r="G91" s="119"/>
      <c r="H91" s="77"/>
      <c r="J91" s="119"/>
      <c r="K91" s="75"/>
      <c r="O91" s="77"/>
      <c r="P91" s="119"/>
      <c r="Y91" s="119"/>
      <c r="Z91" s="119"/>
    </row>
    <row r="92" customFormat="false" ht="15" hidden="false" customHeight="false" outlineLevel="0" collapsed="false">
      <c r="A92" s="77"/>
      <c r="B92" s="119"/>
      <c r="D92" s="77"/>
      <c r="E92" s="77"/>
      <c r="F92" s="119"/>
      <c r="G92" s="119"/>
      <c r="H92" s="77"/>
      <c r="J92" s="119"/>
      <c r="K92" s="75"/>
      <c r="O92" s="77"/>
      <c r="P92" s="119"/>
      <c r="Y92" s="119"/>
      <c r="Z92" s="119"/>
    </row>
    <row r="93" customFormat="false" ht="15" hidden="false" customHeight="false" outlineLevel="0" collapsed="false">
      <c r="A93" s="77"/>
      <c r="B93" s="119"/>
      <c r="D93" s="77"/>
      <c r="E93" s="77"/>
      <c r="F93" s="119"/>
      <c r="G93" s="119"/>
      <c r="H93" s="77"/>
      <c r="J93" s="119"/>
      <c r="K93" s="75"/>
      <c r="O93" s="77"/>
      <c r="P93" s="119"/>
      <c r="X93" s="77"/>
      <c r="Y93" s="119"/>
      <c r="Z93" s="119"/>
    </row>
    <row r="94" customFormat="false" ht="15" hidden="false" customHeight="false" outlineLevel="0" collapsed="false">
      <c r="A94" s="77"/>
      <c r="B94" s="119"/>
      <c r="D94" s="77"/>
      <c r="E94" s="77"/>
      <c r="F94" s="119"/>
      <c r="G94" s="119"/>
      <c r="H94" s="77"/>
      <c r="J94" s="119"/>
      <c r="K94" s="75"/>
      <c r="O94" s="77"/>
      <c r="P94" s="119"/>
      <c r="X94" s="77"/>
      <c r="Y94" s="119"/>
      <c r="Z94" s="119"/>
    </row>
    <row r="95" customFormat="false" ht="15" hidden="false" customHeight="false" outlineLevel="0" collapsed="false">
      <c r="A95" s="77"/>
      <c r="B95" s="119"/>
      <c r="D95" s="77"/>
      <c r="E95" s="77"/>
      <c r="F95" s="119"/>
      <c r="G95" s="119"/>
      <c r="H95" s="77"/>
      <c r="J95" s="119"/>
      <c r="K95" s="75"/>
      <c r="O95" s="77"/>
      <c r="P95" s="119"/>
      <c r="S95" s="75"/>
      <c r="X95" s="77"/>
      <c r="Y95" s="119"/>
      <c r="Z95" s="119"/>
    </row>
    <row r="96" customFormat="false" ht="15" hidden="false" customHeight="false" outlineLevel="0" collapsed="false">
      <c r="A96" s="77"/>
      <c r="B96" s="119"/>
      <c r="D96" s="77"/>
      <c r="E96" s="77"/>
      <c r="F96" s="119"/>
      <c r="G96" s="119"/>
      <c r="H96" s="77"/>
      <c r="J96" s="119"/>
      <c r="K96" s="75"/>
      <c r="O96" s="77"/>
      <c r="P96" s="119"/>
      <c r="S96" s="75"/>
      <c r="X96" s="77"/>
      <c r="Y96" s="119"/>
      <c r="Z96" s="119"/>
    </row>
    <row r="97" customFormat="false" ht="15" hidden="false" customHeight="false" outlineLevel="0" collapsed="false">
      <c r="A97" s="77"/>
      <c r="B97" s="119"/>
      <c r="D97" s="77"/>
      <c r="E97" s="77"/>
      <c r="F97" s="119"/>
      <c r="G97" s="119"/>
      <c r="H97" s="77"/>
      <c r="J97" s="119"/>
      <c r="K97" s="75"/>
      <c r="O97" s="77"/>
      <c r="P97" s="119"/>
      <c r="S97" s="75"/>
      <c r="X97" s="77"/>
      <c r="Y97" s="119"/>
      <c r="Z97" s="119"/>
    </row>
    <row r="98" customFormat="false" ht="15" hidden="false" customHeight="false" outlineLevel="0" collapsed="false">
      <c r="A98" s="77"/>
      <c r="B98" s="119"/>
      <c r="D98" s="77"/>
      <c r="E98" s="77"/>
      <c r="F98" s="119"/>
      <c r="G98" s="119"/>
      <c r="H98" s="77"/>
      <c r="J98" s="119"/>
      <c r="K98" s="75"/>
      <c r="O98" s="77"/>
      <c r="P98" s="119"/>
      <c r="S98" s="75"/>
      <c r="X98" s="77"/>
      <c r="Y98" s="119"/>
      <c r="Z98" s="119"/>
    </row>
    <row r="99" customFormat="false" ht="15" hidden="false" customHeight="false" outlineLevel="0" collapsed="false">
      <c r="A99" s="77"/>
      <c r="B99" s="119"/>
      <c r="D99" s="77"/>
      <c r="E99" s="77"/>
      <c r="F99" s="119"/>
      <c r="G99" s="119"/>
      <c r="H99" s="77"/>
      <c r="J99" s="119"/>
      <c r="K99" s="75"/>
      <c r="O99" s="77"/>
      <c r="P99" s="119"/>
      <c r="S99" s="75"/>
      <c r="X99" s="77"/>
      <c r="Y99" s="119"/>
      <c r="Z99" s="119"/>
    </row>
    <row r="100" customFormat="false" ht="15" hidden="false" customHeight="false" outlineLevel="0" collapsed="false">
      <c r="A100" s="77"/>
      <c r="B100" s="119"/>
      <c r="D100" s="77"/>
      <c r="E100" s="77"/>
      <c r="F100" s="119"/>
      <c r="G100" s="119"/>
      <c r="H100" s="77"/>
      <c r="J100" s="119"/>
      <c r="K100" s="75"/>
      <c r="O100" s="77"/>
      <c r="P100" s="119"/>
      <c r="S100" s="75"/>
      <c r="X100" s="77"/>
      <c r="Y100" s="119"/>
      <c r="Z100" s="119"/>
    </row>
    <row r="101" customFormat="false" ht="15" hidden="false" customHeight="false" outlineLevel="0" collapsed="false">
      <c r="A101" s="77"/>
      <c r="B101" s="119"/>
      <c r="D101" s="77"/>
      <c r="E101" s="77"/>
      <c r="F101" s="119"/>
      <c r="G101" s="119"/>
      <c r="H101" s="77"/>
      <c r="J101" s="119"/>
      <c r="K101" s="75"/>
      <c r="O101" s="77"/>
      <c r="P101" s="119"/>
      <c r="S101" s="75"/>
      <c r="X101" s="77"/>
      <c r="Y101" s="119"/>
      <c r="Z101" s="119"/>
    </row>
    <row r="102" customFormat="false" ht="15" hidden="false" customHeight="false" outlineLevel="0" collapsed="false">
      <c r="A102" s="77"/>
      <c r="B102" s="119"/>
      <c r="D102" s="77"/>
      <c r="E102" s="77"/>
      <c r="F102" s="119"/>
      <c r="G102" s="119"/>
      <c r="H102" s="77"/>
      <c r="J102" s="119"/>
      <c r="K102" s="75"/>
      <c r="O102" s="77"/>
      <c r="P102" s="119"/>
      <c r="S102" s="75"/>
      <c r="X102" s="77"/>
      <c r="Y102" s="119"/>
      <c r="Z102" s="119"/>
    </row>
    <row r="103" customFormat="false" ht="15" hidden="false" customHeight="false" outlineLevel="0" collapsed="false">
      <c r="A103" s="77"/>
      <c r="B103" s="119"/>
      <c r="D103" s="77"/>
      <c r="E103" s="77"/>
      <c r="F103" s="119"/>
      <c r="G103" s="119"/>
      <c r="H103" s="77"/>
      <c r="J103" s="119"/>
      <c r="K103" s="75"/>
      <c r="O103" s="77"/>
      <c r="P103" s="119"/>
      <c r="S103" s="75"/>
      <c r="X103" s="77"/>
      <c r="Y103" s="119"/>
      <c r="Z103" s="119"/>
    </row>
    <row r="104" customFormat="false" ht="15" hidden="false" customHeight="false" outlineLevel="0" collapsed="false">
      <c r="A104" s="77"/>
      <c r="B104" s="119"/>
      <c r="D104" s="77"/>
      <c r="E104" s="77"/>
      <c r="F104" s="119"/>
      <c r="G104" s="119"/>
      <c r="H104" s="77"/>
      <c r="J104" s="119"/>
      <c r="K104" s="75"/>
      <c r="O104" s="77"/>
      <c r="P104" s="119"/>
      <c r="S104" s="75"/>
      <c r="X104" s="77"/>
      <c r="Y104" s="119"/>
      <c r="Z104" s="119"/>
    </row>
    <row r="105" customFormat="false" ht="15" hidden="false" customHeight="false" outlineLevel="0" collapsed="false">
      <c r="A105" s="77"/>
      <c r="B105" s="119"/>
      <c r="D105" s="77"/>
      <c r="E105" s="77"/>
      <c r="F105" s="119"/>
      <c r="G105" s="119"/>
      <c r="H105" s="77"/>
      <c r="J105" s="119"/>
      <c r="K105" s="75"/>
      <c r="O105" s="77"/>
      <c r="P105" s="119"/>
      <c r="S105" s="75"/>
      <c r="X105" s="77"/>
      <c r="Y105" s="119"/>
      <c r="Z105" s="119"/>
    </row>
    <row r="106" customFormat="false" ht="15" hidden="false" customHeight="false" outlineLevel="0" collapsed="false">
      <c r="A106" s="77"/>
      <c r="B106" s="119"/>
      <c r="D106" s="77"/>
      <c r="E106" s="77"/>
      <c r="F106" s="119"/>
      <c r="G106" s="119"/>
      <c r="H106" s="77"/>
      <c r="J106" s="119"/>
      <c r="K106" s="75"/>
      <c r="O106" s="77"/>
      <c r="P106" s="119"/>
      <c r="S106" s="75"/>
      <c r="X106" s="77"/>
      <c r="Y106" s="119"/>
      <c r="Z106" s="119"/>
    </row>
    <row r="107" customFormat="false" ht="15" hidden="false" customHeight="false" outlineLevel="0" collapsed="false">
      <c r="A107" s="77"/>
      <c r="B107" s="119"/>
      <c r="D107" s="77"/>
      <c r="E107" s="77"/>
      <c r="F107" s="119"/>
      <c r="G107" s="119"/>
      <c r="H107" s="77"/>
      <c r="J107" s="119"/>
      <c r="K107" s="75"/>
      <c r="O107" s="77"/>
      <c r="P107" s="119"/>
      <c r="S107" s="75"/>
      <c r="X107" s="77"/>
      <c r="Y107" s="119"/>
      <c r="Z107" s="119"/>
    </row>
    <row r="108" customFormat="false" ht="15" hidden="false" customHeight="false" outlineLevel="0" collapsed="false">
      <c r="A108" s="77"/>
      <c r="B108" s="119"/>
      <c r="D108" s="77"/>
      <c r="E108" s="77"/>
      <c r="F108" s="119"/>
      <c r="G108" s="119"/>
      <c r="H108" s="77"/>
      <c r="J108" s="119"/>
      <c r="K108" s="75"/>
      <c r="O108" s="77"/>
      <c r="P108" s="119"/>
      <c r="S108" s="75"/>
      <c r="X108" s="77"/>
      <c r="Y108" s="119"/>
      <c r="Z108" s="119"/>
    </row>
    <row r="109" customFormat="false" ht="15" hidden="false" customHeight="false" outlineLevel="0" collapsed="false">
      <c r="A109" s="77"/>
      <c r="B109" s="119"/>
      <c r="D109" s="77"/>
      <c r="E109" s="77"/>
      <c r="F109" s="119"/>
      <c r="G109" s="119"/>
      <c r="H109" s="77"/>
      <c r="J109" s="119"/>
      <c r="K109" s="75"/>
      <c r="O109" s="77"/>
      <c r="P109" s="119"/>
      <c r="S109" s="75"/>
      <c r="X109" s="77"/>
      <c r="Y109" s="119"/>
      <c r="Z109" s="119"/>
    </row>
    <row r="110" customFormat="false" ht="15" hidden="false" customHeight="false" outlineLevel="0" collapsed="false">
      <c r="A110" s="77"/>
      <c r="B110" s="119"/>
      <c r="D110" s="227"/>
      <c r="E110" s="77"/>
      <c r="F110" s="228"/>
      <c r="G110" s="228"/>
      <c r="H110" s="77"/>
      <c r="I110" s="77"/>
      <c r="J110" s="77"/>
      <c r="K110" s="229"/>
      <c r="L110" s="230"/>
      <c r="N110" s="231"/>
      <c r="P110" s="228"/>
      <c r="S110" s="75"/>
      <c r="X110" s="77"/>
      <c r="Y110" s="119"/>
      <c r="Z110" s="119"/>
    </row>
    <row r="111" customFormat="false" ht="15" hidden="false" customHeight="false" outlineLevel="0" collapsed="false">
      <c r="A111" s="77"/>
      <c r="B111" s="119"/>
      <c r="C111" s="77"/>
      <c r="D111" s="77"/>
      <c r="E111" s="77"/>
      <c r="F111" s="77"/>
      <c r="G111" s="77"/>
      <c r="H111" s="77"/>
      <c r="I111" s="77"/>
      <c r="J111" s="77"/>
      <c r="L111" s="230"/>
      <c r="S111" s="75"/>
      <c r="X111" s="77"/>
      <c r="Y111" s="119"/>
      <c r="Z111" s="119"/>
    </row>
    <row r="112" customFormat="false" ht="15" hidden="false" customHeight="false" outlineLevel="0" collapsed="false">
      <c r="A112" s="77"/>
      <c r="B112" s="119"/>
      <c r="C112" s="77"/>
      <c r="D112" s="77"/>
      <c r="E112" s="77"/>
      <c r="F112" s="77"/>
      <c r="G112" s="77"/>
      <c r="H112" s="77"/>
      <c r="I112" s="77"/>
      <c r="J112" s="77"/>
      <c r="S112" s="75"/>
      <c r="X112" s="77"/>
      <c r="Y112" s="119"/>
      <c r="Z112" s="119"/>
    </row>
    <row r="113" customFormat="false" ht="15" hidden="false" customHeight="false" outlineLevel="0" collapsed="false">
      <c r="A113" s="77"/>
      <c r="B113" s="119"/>
      <c r="S113" s="75"/>
      <c r="X113" s="77"/>
      <c r="Y113" s="119"/>
      <c r="Z113" s="119"/>
    </row>
    <row r="114" customFormat="false" ht="15" hidden="false" customHeight="false" outlineLevel="0" collapsed="false">
      <c r="A114" s="77"/>
      <c r="B114" s="119"/>
      <c r="S114" s="75"/>
      <c r="X114" s="77"/>
      <c r="Y114" s="119"/>
      <c r="Z114" s="119"/>
    </row>
    <row r="115" customFormat="false" ht="15" hidden="false" customHeight="false" outlineLevel="0" collapsed="false">
      <c r="A115" s="77"/>
      <c r="B115" s="119"/>
      <c r="S115" s="75"/>
      <c r="X115" s="77"/>
      <c r="Y115" s="119"/>
      <c r="Z115" s="119"/>
    </row>
    <row r="116" customFormat="false" ht="15" hidden="false" customHeight="false" outlineLevel="0" collapsed="false">
      <c r="A116" s="77"/>
      <c r="B116" s="119"/>
      <c r="S116" s="75"/>
      <c r="X116" s="77"/>
      <c r="Y116" s="119"/>
      <c r="Z116" s="119"/>
    </row>
    <row r="117" customFormat="false" ht="15" hidden="false" customHeight="false" outlineLevel="0" collapsed="false">
      <c r="A117" s="77"/>
      <c r="B117" s="119"/>
      <c r="S117" s="75"/>
      <c r="X117" s="77"/>
      <c r="Y117" s="119"/>
      <c r="Z117" s="119"/>
    </row>
    <row r="118" customFormat="false" ht="15" hidden="false" customHeight="false" outlineLevel="0" collapsed="false">
      <c r="A118" s="77"/>
      <c r="B118" s="119"/>
      <c r="Q118" s="77"/>
      <c r="R118" s="119"/>
      <c r="S118" s="75"/>
      <c r="X118" s="77"/>
      <c r="Y118" s="119"/>
      <c r="Z118" s="119"/>
    </row>
    <row r="119" customFormat="false" ht="15" hidden="false" customHeight="false" outlineLevel="0" collapsed="false">
      <c r="A119" s="77"/>
      <c r="B119" s="119"/>
      <c r="Q119" s="77"/>
      <c r="R119" s="119"/>
      <c r="S119" s="75"/>
      <c r="X119" s="77"/>
      <c r="Y119" s="119"/>
      <c r="Z119" s="119"/>
    </row>
    <row r="120" customFormat="false" ht="15" hidden="false" customHeight="false" outlineLevel="0" collapsed="false">
      <c r="A120" s="77"/>
      <c r="B120" s="119"/>
      <c r="Q120" s="77"/>
      <c r="R120" s="119"/>
      <c r="S120" s="75"/>
      <c r="X120" s="77"/>
      <c r="Y120" s="119"/>
      <c r="Z120" s="119"/>
    </row>
    <row r="121" customFormat="false" ht="15" hidden="false" customHeight="false" outlineLevel="0" collapsed="false">
      <c r="A121" s="77"/>
      <c r="B121" s="119"/>
      <c r="C121" s="77"/>
      <c r="D121" s="77"/>
      <c r="Q121" s="77"/>
      <c r="R121" s="119"/>
      <c r="S121" s="75"/>
      <c r="X121" s="77"/>
      <c r="Y121" s="119"/>
      <c r="Z121" s="119"/>
    </row>
    <row r="122" customFormat="false" ht="15" hidden="false" customHeight="false" outlineLevel="0" collapsed="false">
      <c r="A122" s="77"/>
      <c r="B122" s="119"/>
      <c r="C122" s="77"/>
      <c r="D122" s="77"/>
      <c r="Q122" s="77"/>
      <c r="R122" s="119"/>
      <c r="S122" s="75"/>
      <c r="X122" s="77"/>
      <c r="Y122" s="119"/>
      <c r="Z122" s="119"/>
    </row>
    <row r="123" customFormat="false" ht="15" hidden="false" customHeight="false" outlineLevel="0" collapsed="false">
      <c r="A123" s="77"/>
      <c r="B123" s="119"/>
      <c r="C123" s="77"/>
      <c r="D123" s="77"/>
      <c r="Q123" s="77"/>
      <c r="R123" s="119"/>
      <c r="S123" s="75"/>
      <c r="X123" s="77"/>
      <c r="Y123" s="119"/>
      <c r="Z123" s="119"/>
    </row>
    <row r="124" customFormat="false" ht="15" hidden="false" customHeight="false" outlineLevel="0" collapsed="false">
      <c r="A124" s="77"/>
      <c r="B124" s="119"/>
      <c r="C124" s="77"/>
      <c r="D124" s="77"/>
      <c r="Q124" s="77"/>
      <c r="R124" s="119"/>
      <c r="S124" s="75"/>
      <c r="X124" s="77"/>
      <c r="Y124" s="119"/>
      <c r="Z124" s="119"/>
    </row>
    <row r="125" customFormat="false" ht="15" hidden="false" customHeight="false" outlineLevel="0" collapsed="false">
      <c r="A125" s="77"/>
      <c r="B125" s="119"/>
      <c r="C125" s="77"/>
      <c r="D125" s="77"/>
      <c r="Q125" s="77"/>
      <c r="R125" s="119"/>
      <c r="S125" s="75"/>
      <c r="X125" s="77"/>
      <c r="Y125" s="119"/>
      <c r="Z125" s="119"/>
    </row>
    <row r="126" customFormat="false" ht="15" hidden="false" customHeight="false" outlineLevel="0" collapsed="false">
      <c r="A126" s="77"/>
      <c r="B126" s="119"/>
      <c r="C126" s="77"/>
      <c r="D126" s="77"/>
      <c r="Q126" s="77"/>
      <c r="R126" s="228"/>
      <c r="X126" s="77"/>
      <c r="Y126" s="119"/>
      <c r="Z126" s="119"/>
    </row>
    <row r="127" customFormat="false" ht="15" hidden="false" customHeight="false" outlineLevel="0" collapsed="false">
      <c r="A127" s="77"/>
    </row>
    <row r="128" customFormat="false" ht="15" hidden="false" customHeight="false" outlineLevel="0" collapsed="false">
      <c r="A128" s="77"/>
    </row>
    <row r="129" customFormat="false" ht="15" hidden="false" customHeight="false" outlineLevel="0" collapsed="false">
      <c r="A129" s="77"/>
    </row>
    <row r="130" customFormat="false" ht="15" hidden="false" customHeight="false" outlineLevel="0" collapsed="false">
      <c r="A130" s="77"/>
    </row>
    <row r="131" customFormat="false" ht="15" hidden="false" customHeight="false" outlineLevel="0" collapsed="false">
      <c r="A131" s="77"/>
    </row>
    <row r="132" customFormat="false" ht="15" hidden="false" customHeight="false" outlineLevel="0" collapsed="false">
      <c r="A132" s="77"/>
    </row>
    <row r="133" customFormat="false" ht="15" hidden="false" customHeight="false" outlineLevel="0" collapsed="false">
      <c r="A133" s="77"/>
    </row>
    <row r="134" customFormat="false" ht="15" hidden="false" customHeight="false" outlineLevel="0" collapsed="false">
      <c r="A134" s="77"/>
    </row>
    <row r="135" customFormat="false" ht="15" hidden="false" customHeight="false" outlineLevel="0" collapsed="false">
      <c r="A135" s="77"/>
    </row>
    <row r="136" customFormat="false" ht="15" hidden="false" customHeight="false" outlineLevel="0" collapsed="false">
      <c r="A136" s="77"/>
    </row>
    <row r="137" customFormat="false" ht="15" hidden="false" customHeight="false" outlineLevel="0" collapsed="false">
      <c r="A137" s="77"/>
    </row>
    <row r="138" customFormat="false" ht="15" hidden="false" customHeight="false" outlineLevel="0" collapsed="false">
      <c r="A138" s="77"/>
    </row>
    <row r="139" customFormat="false" ht="15" hidden="false" customHeight="false" outlineLevel="0" collapsed="false">
      <c r="A139" s="77"/>
    </row>
    <row r="140" customFormat="false" ht="15" hidden="false" customHeight="false" outlineLevel="0" collapsed="false">
      <c r="A140" s="77"/>
    </row>
    <row r="141" customFormat="false" ht="15" hidden="false" customHeight="false" outlineLevel="0" collapsed="false">
      <c r="A141" s="77"/>
    </row>
    <row r="142" customFormat="false" ht="15" hidden="false" customHeight="false" outlineLevel="0" collapsed="false">
      <c r="A142" s="77"/>
    </row>
    <row r="143" customFormat="false" ht="15" hidden="false" customHeight="false" outlineLevel="0" collapsed="false">
      <c r="A143" s="77"/>
    </row>
    <row r="144" customFormat="false" ht="15" hidden="false" customHeight="false" outlineLevel="0" collapsed="false">
      <c r="A144" s="77"/>
    </row>
    <row r="145" customFormat="false" ht="15" hidden="false" customHeight="false" outlineLevel="0" collapsed="false">
      <c r="A145" s="77"/>
    </row>
    <row r="146" customFormat="false" ht="15" hidden="false" customHeight="false" outlineLevel="0" collapsed="false">
      <c r="A146" s="77"/>
    </row>
    <row r="147" customFormat="false" ht="15" hidden="false" customHeight="false" outlineLevel="0" collapsed="false">
      <c r="A147" s="77"/>
    </row>
    <row r="148" customFormat="false" ht="15" hidden="false" customHeight="false" outlineLevel="0" collapsed="false">
      <c r="A148" s="77"/>
    </row>
    <row r="149" customFormat="false" ht="15" hidden="false" customHeight="false" outlineLevel="0" collapsed="false">
      <c r="A149" s="77"/>
    </row>
    <row r="150" customFormat="false" ht="15" hidden="false" customHeight="false" outlineLevel="0" collapsed="false">
      <c r="A150" s="77"/>
    </row>
    <row r="151" customFormat="false" ht="15" hidden="false" customHeight="false" outlineLevel="0" collapsed="false">
      <c r="A151" s="77"/>
    </row>
    <row r="152" customFormat="false" ht="15" hidden="false" customHeight="false" outlineLevel="0" collapsed="false">
      <c r="A152" s="77"/>
    </row>
    <row r="153" customFormat="false" ht="15" hidden="false" customHeight="false" outlineLevel="0" collapsed="false">
      <c r="A153" s="77"/>
    </row>
    <row r="154" customFormat="false" ht="15" hidden="false" customHeight="false" outlineLevel="0" collapsed="false">
      <c r="A154" s="77"/>
    </row>
    <row r="155" customFormat="false" ht="15" hidden="false" customHeight="false" outlineLevel="0" collapsed="false">
      <c r="A155" s="77"/>
    </row>
    <row r="156" customFormat="false" ht="15" hidden="false" customHeight="false" outlineLevel="0" collapsed="false">
      <c r="A156" s="77"/>
    </row>
    <row r="157" customFormat="false" ht="15" hidden="false" customHeight="false" outlineLevel="0" collapsed="false">
      <c r="A157" s="77"/>
    </row>
    <row r="158" customFormat="false" ht="15" hidden="false" customHeight="false" outlineLevel="0" collapsed="false">
      <c r="A158" s="77"/>
    </row>
    <row r="159" customFormat="false" ht="15" hidden="false" customHeight="false" outlineLevel="0" collapsed="false">
      <c r="A159" s="77"/>
    </row>
    <row r="160" customFormat="false" ht="15" hidden="false" customHeight="false" outlineLevel="0" collapsed="false">
      <c r="A160" s="77"/>
    </row>
    <row r="161" customFormat="false" ht="15" hidden="false" customHeight="false" outlineLevel="0" collapsed="false">
      <c r="A161" s="77"/>
    </row>
    <row r="162" customFormat="false" ht="15" hidden="false" customHeight="false" outlineLevel="0" collapsed="false">
      <c r="A162" s="77"/>
    </row>
    <row r="163" customFormat="false" ht="15" hidden="false" customHeight="false" outlineLevel="0" collapsed="false">
      <c r="A163" s="77"/>
    </row>
    <row r="164" customFormat="false" ht="15" hidden="false" customHeight="false" outlineLevel="0" collapsed="false">
      <c r="A164" s="77"/>
    </row>
    <row r="165" customFormat="false" ht="15" hidden="false" customHeight="false" outlineLevel="0" collapsed="false">
      <c r="A165" s="77"/>
    </row>
    <row r="166" customFormat="false" ht="15" hidden="false" customHeight="false" outlineLevel="0" collapsed="false">
      <c r="A166" s="77"/>
    </row>
    <row r="167" customFormat="false" ht="15" hidden="false" customHeight="false" outlineLevel="0" collapsed="false">
      <c r="A167" s="77"/>
    </row>
    <row r="168" customFormat="false" ht="15" hidden="false" customHeight="false" outlineLevel="0" collapsed="false">
      <c r="A168" s="77"/>
    </row>
    <row r="169" customFormat="false" ht="15" hidden="false" customHeight="false" outlineLevel="0" collapsed="false">
      <c r="A169" s="77"/>
    </row>
    <row r="170" customFormat="false" ht="15" hidden="false" customHeight="false" outlineLevel="0" collapsed="false">
      <c r="A170" s="77"/>
    </row>
    <row r="171" customFormat="false" ht="15" hidden="false" customHeight="false" outlineLevel="0" collapsed="false">
      <c r="A171" s="77"/>
    </row>
    <row r="172" customFormat="false" ht="15" hidden="false" customHeight="false" outlineLevel="0" collapsed="false">
      <c r="A172" s="77"/>
    </row>
    <row r="173" customFormat="false" ht="15" hidden="false" customHeight="false" outlineLevel="0" collapsed="false">
      <c r="A173" s="77"/>
    </row>
    <row r="174" customFormat="false" ht="15" hidden="false" customHeight="false" outlineLevel="0" collapsed="false">
      <c r="A174" s="77"/>
    </row>
    <row r="175" customFormat="false" ht="15" hidden="false" customHeight="false" outlineLevel="0" collapsed="false">
      <c r="A175" s="77"/>
    </row>
    <row r="176" customFormat="false" ht="15" hidden="false" customHeight="false" outlineLevel="0" collapsed="false">
      <c r="A176" s="77"/>
    </row>
    <row r="177" customFormat="false" ht="15" hidden="false" customHeight="false" outlineLevel="0" collapsed="false">
      <c r="A177" s="77"/>
    </row>
    <row r="178" customFormat="false" ht="15" hidden="false" customHeight="false" outlineLevel="0" collapsed="false">
      <c r="A178" s="77"/>
    </row>
    <row r="179" customFormat="false" ht="15" hidden="false" customHeight="false" outlineLevel="0" collapsed="false">
      <c r="A179" s="77"/>
    </row>
    <row r="180" customFormat="false" ht="15" hidden="false" customHeight="false" outlineLevel="0" collapsed="false">
      <c r="A180" s="77"/>
    </row>
    <row r="181" customFormat="false" ht="15" hidden="false" customHeight="false" outlineLevel="0" collapsed="false">
      <c r="A181" s="77"/>
    </row>
    <row r="182" customFormat="false" ht="15" hidden="false" customHeight="false" outlineLevel="0" collapsed="false">
      <c r="A182" s="77"/>
    </row>
    <row r="183" customFormat="false" ht="15" hidden="false" customHeight="false" outlineLevel="0" collapsed="false">
      <c r="A183" s="77"/>
    </row>
    <row r="184" customFormat="false" ht="15" hidden="false" customHeight="false" outlineLevel="0" collapsed="false">
      <c r="A184" s="77"/>
    </row>
    <row r="185" customFormat="false" ht="15" hidden="false" customHeight="false" outlineLevel="0" collapsed="false">
      <c r="A185" s="77"/>
    </row>
    <row r="186" customFormat="false" ht="15" hidden="false" customHeight="false" outlineLevel="0" collapsed="false">
      <c r="A186" s="77"/>
    </row>
    <row r="187" customFormat="false" ht="15" hidden="false" customHeight="false" outlineLevel="0" collapsed="false">
      <c r="A187" s="77"/>
    </row>
    <row r="188" customFormat="false" ht="15" hidden="false" customHeight="false" outlineLevel="0" collapsed="false">
      <c r="A188" s="77"/>
    </row>
    <row r="189" customFormat="false" ht="15" hidden="false" customHeight="false" outlineLevel="0" collapsed="false">
      <c r="A189" s="77"/>
    </row>
    <row r="190" customFormat="false" ht="15" hidden="false" customHeight="false" outlineLevel="0" collapsed="false">
      <c r="A190" s="77"/>
    </row>
    <row r="191" customFormat="false" ht="15" hidden="false" customHeight="false" outlineLevel="0" collapsed="false">
      <c r="A191" s="77"/>
    </row>
    <row r="192" customFormat="false" ht="15" hidden="false" customHeight="false" outlineLevel="0" collapsed="false">
      <c r="A192" s="77"/>
    </row>
    <row r="193" customFormat="false" ht="15" hidden="false" customHeight="false" outlineLevel="0" collapsed="false">
      <c r="A193" s="77"/>
    </row>
    <row r="194" customFormat="false" ht="15" hidden="false" customHeight="false" outlineLevel="0" collapsed="false">
      <c r="A194" s="77"/>
    </row>
    <row r="195" customFormat="false" ht="15" hidden="false" customHeight="false" outlineLevel="0" collapsed="false">
      <c r="A195" s="77"/>
    </row>
    <row r="196" customFormat="false" ht="15" hidden="false" customHeight="false" outlineLevel="0" collapsed="false">
      <c r="A196" s="77"/>
    </row>
    <row r="197" customFormat="false" ht="15" hidden="false" customHeight="false" outlineLevel="0" collapsed="false">
      <c r="A197" s="77"/>
    </row>
    <row r="198" customFormat="false" ht="15" hidden="false" customHeight="false" outlineLevel="0" collapsed="false">
      <c r="A198" s="77"/>
    </row>
    <row r="199" customFormat="false" ht="15" hidden="false" customHeight="false" outlineLevel="0" collapsed="false">
      <c r="A199" s="77"/>
    </row>
    <row r="200" customFormat="false" ht="15" hidden="false" customHeight="false" outlineLevel="0" collapsed="false">
      <c r="A200" s="77"/>
    </row>
    <row r="201" customFormat="false" ht="15" hidden="false" customHeight="false" outlineLevel="0" collapsed="false">
      <c r="A201" s="77"/>
    </row>
    <row r="202" customFormat="false" ht="15" hidden="false" customHeight="false" outlineLevel="0" collapsed="false">
      <c r="A202" s="77"/>
    </row>
    <row r="203" customFormat="false" ht="15" hidden="false" customHeight="false" outlineLevel="0" collapsed="false">
      <c r="A203" s="77"/>
    </row>
    <row r="204" customFormat="false" ht="15" hidden="false" customHeight="false" outlineLevel="0" collapsed="false">
      <c r="A204" s="77"/>
    </row>
    <row r="205" customFormat="false" ht="15" hidden="false" customHeight="false" outlineLevel="0" collapsed="false">
      <c r="A205" s="77"/>
    </row>
    <row r="206" customFormat="false" ht="15" hidden="false" customHeight="false" outlineLevel="0" collapsed="false">
      <c r="A206" s="77"/>
    </row>
    <row r="207" customFormat="false" ht="15" hidden="false" customHeight="false" outlineLevel="0" collapsed="false">
      <c r="A207" s="77"/>
    </row>
    <row r="208" customFormat="false" ht="15" hidden="false" customHeight="false" outlineLevel="0" collapsed="false">
      <c r="A208" s="77"/>
    </row>
    <row r="209" customFormat="false" ht="15" hidden="false" customHeight="false" outlineLevel="0" collapsed="false">
      <c r="A209" s="77"/>
    </row>
    <row r="210" customFormat="false" ht="15" hidden="false" customHeight="false" outlineLevel="0" collapsed="false">
      <c r="A210" s="77"/>
    </row>
    <row r="211" customFormat="false" ht="15" hidden="false" customHeight="false" outlineLevel="0" collapsed="false">
      <c r="A211" s="77"/>
    </row>
    <row r="212" customFormat="false" ht="15" hidden="false" customHeight="false" outlineLevel="0" collapsed="false">
      <c r="A212" s="77"/>
    </row>
    <row r="213" customFormat="false" ht="15" hidden="false" customHeight="false" outlineLevel="0" collapsed="false">
      <c r="A213" s="77"/>
    </row>
    <row r="214" customFormat="false" ht="15" hidden="false" customHeight="false" outlineLevel="0" collapsed="false">
      <c r="A214" s="77"/>
    </row>
    <row r="215" customFormat="false" ht="15" hidden="false" customHeight="false" outlineLevel="0" collapsed="false">
      <c r="A215" s="77"/>
    </row>
    <row r="216" customFormat="false" ht="15" hidden="false" customHeight="false" outlineLevel="0" collapsed="false">
      <c r="A216" s="77"/>
    </row>
    <row r="217" customFormat="false" ht="15" hidden="false" customHeight="false" outlineLevel="0" collapsed="false">
      <c r="A217" s="77"/>
    </row>
    <row r="218" customFormat="false" ht="15" hidden="false" customHeight="false" outlineLevel="0" collapsed="false">
      <c r="A218" s="77"/>
    </row>
    <row r="219" customFormat="false" ht="15" hidden="false" customHeight="false" outlineLevel="0" collapsed="false">
      <c r="A219" s="77"/>
    </row>
    <row r="220" customFormat="false" ht="15" hidden="false" customHeight="false" outlineLevel="0" collapsed="false">
      <c r="A220" s="77"/>
    </row>
    <row r="221" customFormat="false" ht="15" hidden="false" customHeight="false" outlineLevel="0" collapsed="false">
      <c r="A221" s="77"/>
    </row>
    <row r="222" customFormat="false" ht="15" hidden="false" customHeight="false" outlineLevel="0" collapsed="false">
      <c r="A222" s="77"/>
    </row>
    <row r="223" customFormat="false" ht="15" hidden="false" customHeight="false" outlineLevel="0" collapsed="false">
      <c r="A223" s="77"/>
    </row>
    <row r="224" customFormat="false" ht="15" hidden="false" customHeight="false" outlineLevel="0" collapsed="false">
      <c r="A224" s="77"/>
    </row>
    <row r="225" customFormat="false" ht="15" hidden="false" customHeight="false" outlineLevel="0" collapsed="false">
      <c r="A225" s="77"/>
    </row>
    <row r="226" customFormat="false" ht="15" hidden="false" customHeight="false" outlineLevel="0" collapsed="false">
      <c r="A226" s="77"/>
    </row>
    <row r="227" customFormat="false" ht="15" hidden="false" customHeight="false" outlineLevel="0" collapsed="false">
      <c r="A227" s="77"/>
    </row>
    <row r="228" customFormat="false" ht="15" hidden="false" customHeight="false" outlineLevel="0" collapsed="false">
      <c r="A228" s="77"/>
    </row>
    <row r="229" customFormat="false" ht="15" hidden="false" customHeight="false" outlineLevel="0" collapsed="false">
      <c r="A229" s="77"/>
    </row>
    <row r="230" customFormat="false" ht="15" hidden="false" customHeight="false" outlineLevel="0" collapsed="false">
      <c r="A230" s="77"/>
    </row>
    <row r="231" customFormat="false" ht="15" hidden="false" customHeight="false" outlineLevel="0" collapsed="false">
      <c r="A231" s="77"/>
    </row>
    <row r="232" customFormat="false" ht="15" hidden="false" customHeight="false" outlineLevel="0" collapsed="false">
      <c r="A232" s="77"/>
    </row>
    <row r="233" customFormat="false" ht="15" hidden="false" customHeight="false" outlineLevel="0" collapsed="false">
      <c r="A233" s="77"/>
    </row>
    <row r="234" customFormat="false" ht="15" hidden="false" customHeight="false" outlineLevel="0" collapsed="false">
      <c r="A234" s="77"/>
    </row>
    <row r="235" customFormat="false" ht="15" hidden="false" customHeight="false" outlineLevel="0" collapsed="false">
      <c r="A235" s="77"/>
    </row>
    <row r="236" customFormat="false" ht="15" hidden="false" customHeight="false" outlineLevel="0" collapsed="false">
      <c r="A236" s="77"/>
    </row>
    <row r="237" customFormat="false" ht="15" hidden="false" customHeight="false" outlineLevel="0" collapsed="false">
      <c r="A237" s="77"/>
    </row>
    <row r="238" customFormat="false" ht="15" hidden="false" customHeight="false" outlineLevel="0" collapsed="false">
      <c r="A238" s="77"/>
    </row>
    <row r="239" customFormat="false" ht="15" hidden="false" customHeight="false" outlineLevel="0" collapsed="false">
      <c r="A239" s="77"/>
    </row>
    <row r="240" customFormat="false" ht="15" hidden="false" customHeight="false" outlineLevel="0" collapsed="false">
      <c r="A240" s="77"/>
    </row>
    <row r="241" customFormat="false" ht="15" hidden="false" customHeight="false" outlineLevel="0" collapsed="false">
      <c r="A241" s="77"/>
    </row>
    <row r="242" customFormat="false" ht="15" hidden="false" customHeight="false" outlineLevel="0" collapsed="false">
      <c r="A242" s="77"/>
    </row>
    <row r="243" customFormat="false" ht="15" hidden="false" customHeight="false" outlineLevel="0" collapsed="false">
      <c r="A243" s="77"/>
    </row>
    <row r="244" customFormat="false" ht="15" hidden="false" customHeight="false" outlineLevel="0" collapsed="false">
      <c r="A244" s="77"/>
    </row>
    <row r="245" customFormat="false" ht="15" hidden="false" customHeight="false" outlineLevel="0" collapsed="false">
      <c r="A245" s="77"/>
    </row>
    <row r="246" customFormat="false" ht="15" hidden="false" customHeight="false" outlineLevel="0" collapsed="false">
      <c r="A246" s="77"/>
    </row>
    <row r="247" customFormat="false" ht="15" hidden="false" customHeight="false" outlineLevel="0" collapsed="false">
      <c r="A247" s="77"/>
    </row>
    <row r="248" customFormat="false" ht="15" hidden="false" customHeight="false" outlineLevel="0" collapsed="false">
      <c r="A248" s="77"/>
    </row>
    <row r="249" customFormat="false" ht="15" hidden="false" customHeight="false" outlineLevel="0" collapsed="false">
      <c r="A249" s="77"/>
    </row>
    <row r="250" customFormat="false" ht="15" hidden="false" customHeight="false" outlineLevel="0" collapsed="false">
      <c r="A250" s="77"/>
    </row>
    <row r="251" customFormat="false" ht="15" hidden="false" customHeight="false" outlineLevel="0" collapsed="false">
      <c r="A251" s="77"/>
    </row>
    <row r="252" customFormat="false" ht="15" hidden="false" customHeight="false" outlineLevel="0" collapsed="false">
      <c r="A252" s="77"/>
    </row>
    <row r="253" customFormat="false" ht="15" hidden="false" customHeight="false" outlineLevel="0" collapsed="false">
      <c r="A253" s="77"/>
    </row>
    <row r="254" customFormat="false" ht="15" hidden="false" customHeight="false" outlineLevel="0" collapsed="false">
      <c r="A254" s="77"/>
    </row>
    <row r="255" customFormat="false" ht="15" hidden="false" customHeight="false" outlineLevel="0" collapsed="false">
      <c r="A255" s="77"/>
    </row>
    <row r="256" customFormat="false" ht="15" hidden="false" customHeight="false" outlineLevel="0" collapsed="false">
      <c r="A256" s="77"/>
    </row>
    <row r="257" customFormat="false" ht="15" hidden="false" customHeight="false" outlineLevel="0" collapsed="false">
      <c r="A257" s="77"/>
    </row>
    <row r="258" customFormat="false" ht="15" hidden="false" customHeight="false" outlineLevel="0" collapsed="false">
      <c r="A258" s="77"/>
    </row>
    <row r="259" customFormat="false" ht="15" hidden="false" customHeight="false" outlineLevel="0" collapsed="false">
      <c r="A259" s="77"/>
    </row>
    <row r="260" customFormat="false" ht="15" hidden="false" customHeight="false" outlineLevel="0" collapsed="false">
      <c r="A260" s="77"/>
    </row>
    <row r="261" customFormat="false" ht="15" hidden="false" customHeight="false" outlineLevel="0" collapsed="false">
      <c r="A261" s="77"/>
    </row>
    <row r="262" customFormat="false" ht="15" hidden="false" customHeight="false" outlineLevel="0" collapsed="false">
      <c r="A262" s="77"/>
    </row>
    <row r="263" customFormat="false" ht="15" hidden="false" customHeight="false" outlineLevel="0" collapsed="false">
      <c r="A263" s="77"/>
    </row>
    <row r="264" customFormat="false" ht="15" hidden="false" customHeight="false" outlineLevel="0" collapsed="false">
      <c r="A264" s="77"/>
    </row>
    <row r="265" customFormat="false" ht="15" hidden="false" customHeight="false" outlineLevel="0" collapsed="false">
      <c r="A265" s="77"/>
    </row>
    <row r="266" customFormat="false" ht="15" hidden="false" customHeight="false" outlineLevel="0" collapsed="false">
      <c r="A266" s="77"/>
    </row>
    <row r="267" customFormat="false" ht="15" hidden="false" customHeight="false" outlineLevel="0" collapsed="false">
      <c r="A267" s="77"/>
    </row>
    <row r="268" customFormat="false" ht="15" hidden="false" customHeight="false" outlineLevel="0" collapsed="false">
      <c r="A268" s="77"/>
    </row>
    <row r="269" customFormat="false" ht="15" hidden="false" customHeight="false" outlineLevel="0" collapsed="false">
      <c r="A269" s="77"/>
    </row>
    <row r="270" customFormat="false" ht="15" hidden="false" customHeight="false" outlineLevel="0" collapsed="false">
      <c r="A270" s="77"/>
    </row>
    <row r="271" customFormat="false" ht="15" hidden="false" customHeight="false" outlineLevel="0" collapsed="false">
      <c r="A271" s="77"/>
    </row>
    <row r="272" customFormat="false" ht="15" hidden="false" customHeight="false" outlineLevel="0" collapsed="false">
      <c r="A272" s="77"/>
    </row>
    <row r="273" customFormat="false" ht="15" hidden="false" customHeight="false" outlineLevel="0" collapsed="false">
      <c r="A273" s="77"/>
    </row>
    <row r="274" customFormat="false" ht="15" hidden="false" customHeight="false" outlineLevel="0" collapsed="false">
      <c r="A274" s="77"/>
    </row>
    <row r="275" customFormat="false" ht="15" hidden="false" customHeight="false" outlineLevel="0" collapsed="false">
      <c r="A275" s="77"/>
    </row>
    <row r="276" customFormat="false" ht="15" hidden="false" customHeight="false" outlineLevel="0" collapsed="false">
      <c r="A276" s="77"/>
    </row>
    <row r="277" customFormat="false" ht="15" hidden="false" customHeight="false" outlineLevel="0" collapsed="false">
      <c r="A277" s="77"/>
    </row>
    <row r="278" customFormat="false" ht="15" hidden="false" customHeight="false" outlineLevel="0" collapsed="false">
      <c r="A278" s="77"/>
    </row>
    <row r="279" customFormat="false" ht="15" hidden="false" customHeight="false" outlineLevel="0" collapsed="false">
      <c r="A279" s="77"/>
    </row>
    <row r="280" customFormat="false" ht="15" hidden="false" customHeight="false" outlineLevel="0" collapsed="false">
      <c r="A280" s="77"/>
    </row>
    <row r="281" customFormat="false" ht="15" hidden="false" customHeight="false" outlineLevel="0" collapsed="false">
      <c r="A281" s="77"/>
    </row>
    <row r="282" customFormat="false" ht="15" hidden="false" customHeight="false" outlineLevel="0" collapsed="false">
      <c r="A282" s="77"/>
    </row>
    <row r="283" customFormat="false" ht="15" hidden="false" customHeight="false" outlineLevel="0" collapsed="false">
      <c r="A283" s="77"/>
    </row>
    <row r="284" customFormat="false" ht="15" hidden="false" customHeight="false" outlineLevel="0" collapsed="false">
      <c r="A284" s="77"/>
    </row>
    <row r="285" customFormat="false" ht="15" hidden="false" customHeight="false" outlineLevel="0" collapsed="false">
      <c r="A285" s="77"/>
    </row>
    <row r="286" customFormat="false" ht="15" hidden="false" customHeight="false" outlineLevel="0" collapsed="false">
      <c r="A286" s="77"/>
    </row>
    <row r="287" customFormat="false" ht="15" hidden="false" customHeight="false" outlineLevel="0" collapsed="false">
      <c r="A287" s="77"/>
    </row>
    <row r="288" customFormat="false" ht="15" hidden="false" customHeight="false" outlineLevel="0" collapsed="false">
      <c r="A288" s="77"/>
    </row>
    <row r="289" customFormat="false" ht="15" hidden="false" customHeight="false" outlineLevel="0" collapsed="false">
      <c r="A289" s="77"/>
    </row>
    <row r="290" customFormat="false" ht="15" hidden="false" customHeight="false" outlineLevel="0" collapsed="false">
      <c r="A290" s="77"/>
    </row>
    <row r="291" customFormat="false" ht="15" hidden="false" customHeight="false" outlineLevel="0" collapsed="false">
      <c r="A291" s="77"/>
    </row>
    <row r="292" customFormat="false" ht="15" hidden="false" customHeight="false" outlineLevel="0" collapsed="false">
      <c r="A292" s="77"/>
    </row>
    <row r="293" customFormat="false" ht="15" hidden="false" customHeight="false" outlineLevel="0" collapsed="false">
      <c r="A293" s="77"/>
    </row>
    <row r="294" customFormat="false" ht="15" hidden="false" customHeight="false" outlineLevel="0" collapsed="false">
      <c r="A294" s="77"/>
    </row>
    <row r="295" customFormat="false" ht="15" hidden="false" customHeight="false" outlineLevel="0" collapsed="false">
      <c r="A295" s="77"/>
    </row>
    <row r="296" customFormat="false" ht="15" hidden="false" customHeight="false" outlineLevel="0" collapsed="false">
      <c r="A296" s="77"/>
    </row>
    <row r="297" customFormat="false" ht="15" hidden="false" customHeight="false" outlineLevel="0" collapsed="false">
      <c r="A297" s="77"/>
    </row>
    <row r="298" customFormat="false" ht="15" hidden="false" customHeight="false" outlineLevel="0" collapsed="false">
      <c r="A298" s="77"/>
    </row>
    <row r="299" customFormat="false" ht="15" hidden="false" customHeight="false" outlineLevel="0" collapsed="false">
      <c r="A299" s="77"/>
    </row>
    <row r="300" customFormat="false" ht="15" hidden="false" customHeight="false" outlineLevel="0" collapsed="false">
      <c r="A300" s="77"/>
    </row>
    <row r="301" customFormat="false" ht="15" hidden="false" customHeight="false" outlineLevel="0" collapsed="false">
      <c r="A301" s="77"/>
    </row>
    <row r="302" customFormat="false" ht="15" hidden="false" customHeight="false" outlineLevel="0" collapsed="false">
      <c r="A302" s="77"/>
    </row>
    <row r="303" customFormat="false" ht="15" hidden="false" customHeight="false" outlineLevel="0" collapsed="false">
      <c r="A303" s="77"/>
    </row>
    <row r="304" customFormat="false" ht="15" hidden="false" customHeight="false" outlineLevel="0" collapsed="false">
      <c r="A304" s="77"/>
    </row>
    <row r="305" customFormat="false" ht="15" hidden="false" customHeight="false" outlineLevel="0" collapsed="false">
      <c r="A305" s="77"/>
    </row>
    <row r="306" customFormat="false" ht="15" hidden="false" customHeight="false" outlineLevel="0" collapsed="false">
      <c r="A306" s="77"/>
    </row>
    <row r="307" customFormat="false" ht="15" hidden="false" customHeight="false" outlineLevel="0" collapsed="false">
      <c r="A307" s="77"/>
    </row>
    <row r="308" customFormat="false" ht="15" hidden="false" customHeight="false" outlineLevel="0" collapsed="false">
      <c r="A308" s="77"/>
    </row>
    <row r="309" customFormat="false" ht="15" hidden="false" customHeight="false" outlineLevel="0" collapsed="false">
      <c r="A309" s="77"/>
    </row>
    <row r="310" customFormat="false" ht="15" hidden="false" customHeight="false" outlineLevel="0" collapsed="false">
      <c r="A310" s="77"/>
    </row>
    <row r="311" customFormat="false" ht="15" hidden="false" customHeight="false" outlineLevel="0" collapsed="false">
      <c r="A311" s="77"/>
    </row>
    <row r="312" customFormat="false" ht="15" hidden="false" customHeight="false" outlineLevel="0" collapsed="false">
      <c r="A312" s="77"/>
    </row>
    <row r="313" customFormat="false" ht="15" hidden="false" customHeight="false" outlineLevel="0" collapsed="false">
      <c r="A313" s="77"/>
    </row>
    <row r="314" customFormat="false" ht="15" hidden="false" customHeight="false" outlineLevel="0" collapsed="false">
      <c r="A314" s="77"/>
    </row>
    <row r="315" customFormat="false" ht="15" hidden="false" customHeight="false" outlineLevel="0" collapsed="false">
      <c r="A315" s="77"/>
    </row>
    <row r="316" customFormat="false" ht="15" hidden="false" customHeight="false" outlineLevel="0" collapsed="false">
      <c r="A316" s="77"/>
    </row>
    <row r="317" customFormat="false" ht="15" hidden="false" customHeight="false" outlineLevel="0" collapsed="false">
      <c r="A317" s="77"/>
    </row>
    <row r="318" customFormat="false" ht="15" hidden="false" customHeight="false" outlineLevel="0" collapsed="false">
      <c r="A318" s="77"/>
    </row>
    <row r="319" customFormat="false" ht="15" hidden="false" customHeight="false" outlineLevel="0" collapsed="false">
      <c r="A319" s="77"/>
    </row>
    <row r="320" customFormat="false" ht="15" hidden="false" customHeight="false" outlineLevel="0" collapsed="false">
      <c r="A320" s="77"/>
    </row>
    <row r="321" customFormat="false" ht="15" hidden="false" customHeight="false" outlineLevel="0" collapsed="false">
      <c r="A321" s="77"/>
    </row>
    <row r="322" customFormat="false" ht="15" hidden="false" customHeight="false" outlineLevel="0" collapsed="false">
      <c r="A322" s="77"/>
    </row>
    <row r="323" customFormat="false" ht="15" hidden="false" customHeight="false" outlineLevel="0" collapsed="false">
      <c r="A323" s="77"/>
    </row>
    <row r="324" customFormat="false" ht="15" hidden="false" customHeight="false" outlineLevel="0" collapsed="false">
      <c r="A324" s="77"/>
    </row>
    <row r="325" customFormat="false" ht="15" hidden="false" customHeight="false" outlineLevel="0" collapsed="false">
      <c r="A325" s="77"/>
    </row>
    <row r="326" customFormat="false" ht="15" hidden="false" customHeight="false" outlineLevel="0" collapsed="false">
      <c r="A326" s="77"/>
    </row>
    <row r="327" customFormat="false" ht="15" hidden="false" customHeight="false" outlineLevel="0" collapsed="false">
      <c r="A327" s="77"/>
    </row>
    <row r="328" customFormat="false" ht="15" hidden="false" customHeight="false" outlineLevel="0" collapsed="false">
      <c r="A328" s="77"/>
    </row>
    <row r="329" customFormat="false" ht="15" hidden="false" customHeight="false" outlineLevel="0" collapsed="false">
      <c r="A329" s="77"/>
    </row>
    <row r="330" customFormat="false" ht="15" hidden="false" customHeight="false" outlineLevel="0" collapsed="false">
      <c r="A330" s="77"/>
    </row>
    <row r="331" customFormat="false" ht="15" hidden="false" customHeight="false" outlineLevel="0" collapsed="false">
      <c r="A331" s="77"/>
    </row>
    <row r="332" customFormat="false" ht="15" hidden="false" customHeight="false" outlineLevel="0" collapsed="false">
      <c r="A332" s="77"/>
    </row>
    <row r="333" customFormat="false" ht="15" hidden="false" customHeight="false" outlineLevel="0" collapsed="false">
      <c r="A333" s="77"/>
    </row>
    <row r="334" customFormat="false" ht="15" hidden="false" customHeight="false" outlineLevel="0" collapsed="false">
      <c r="A334" s="77"/>
    </row>
    <row r="335" customFormat="false" ht="15" hidden="false" customHeight="false" outlineLevel="0" collapsed="false">
      <c r="A335" s="77"/>
    </row>
    <row r="336" customFormat="false" ht="15" hidden="false" customHeight="false" outlineLevel="0" collapsed="false">
      <c r="A336" s="77"/>
    </row>
    <row r="337" customFormat="false" ht="15" hidden="false" customHeight="false" outlineLevel="0" collapsed="false">
      <c r="A337" s="77"/>
    </row>
    <row r="338" customFormat="false" ht="15" hidden="false" customHeight="false" outlineLevel="0" collapsed="false">
      <c r="A338" s="77"/>
    </row>
    <row r="339" customFormat="false" ht="15" hidden="false" customHeight="false" outlineLevel="0" collapsed="false">
      <c r="A339" s="77"/>
    </row>
    <row r="340" customFormat="false" ht="15" hidden="false" customHeight="false" outlineLevel="0" collapsed="false">
      <c r="A340" s="77"/>
    </row>
    <row r="341" customFormat="false" ht="15" hidden="false" customHeight="false" outlineLevel="0" collapsed="false">
      <c r="A341" s="77"/>
    </row>
    <row r="342" customFormat="false" ht="15" hidden="false" customHeight="false" outlineLevel="0" collapsed="false">
      <c r="A342" s="77"/>
    </row>
    <row r="343" customFormat="false" ht="15" hidden="false" customHeight="false" outlineLevel="0" collapsed="false">
      <c r="A343" s="77"/>
    </row>
    <row r="344" customFormat="false" ht="15" hidden="false" customHeight="false" outlineLevel="0" collapsed="false">
      <c r="A344" s="77"/>
    </row>
    <row r="345" customFormat="false" ht="15" hidden="false" customHeight="false" outlineLevel="0" collapsed="false">
      <c r="A345" s="77"/>
    </row>
    <row r="346" customFormat="false" ht="15" hidden="false" customHeight="false" outlineLevel="0" collapsed="false">
      <c r="A346" s="77"/>
    </row>
    <row r="347" customFormat="false" ht="15" hidden="false" customHeight="false" outlineLevel="0" collapsed="false">
      <c r="A347" s="77"/>
    </row>
    <row r="348" customFormat="false" ht="15" hidden="false" customHeight="false" outlineLevel="0" collapsed="false">
      <c r="A348" s="77"/>
    </row>
    <row r="349" customFormat="false" ht="15" hidden="false" customHeight="false" outlineLevel="0" collapsed="false">
      <c r="A349" s="77"/>
    </row>
    <row r="350" customFormat="false" ht="15" hidden="false" customHeight="false" outlineLevel="0" collapsed="false">
      <c r="A350" s="77"/>
    </row>
    <row r="351" customFormat="false" ht="15" hidden="false" customHeight="false" outlineLevel="0" collapsed="false">
      <c r="A351" s="77"/>
    </row>
    <row r="352" customFormat="false" ht="15" hidden="false" customHeight="false" outlineLevel="0" collapsed="false">
      <c r="A352" s="77"/>
    </row>
    <row r="353" customFormat="false" ht="15" hidden="false" customHeight="false" outlineLevel="0" collapsed="false">
      <c r="A353" s="77"/>
    </row>
    <row r="354" customFormat="false" ht="15" hidden="false" customHeight="false" outlineLevel="0" collapsed="false">
      <c r="A354" s="77"/>
    </row>
    <row r="355" customFormat="false" ht="15" hidden="false" customHeight="false" outlineLevel="0" collapsed="false">
      <c r="A355" s="77"/>
    </row>
    <row r="356" customFormat="false" ht="15" hidden="false" customHeight="false" outlineLevel="0" collapsed="false">
      <c r="A356" s="77"/>
    </row>
    <row r="357" customFormat="false" ht="15" hidden="false" customHeight="false" outlineLevel="0" collapsed="false">
      <c r="A357" s="77"/>
    </row>
    <row r="358" customFormat="false" ht="15" hidden="false" customHeight="false" outlineLevel="0" collapsed="false">
      <c r="A358" s="77"/>
    </row>
    <row r="359" customFormat="false" ht="15" hidden="false" customHeight="false" outlineLevel="0" collapsed="false">
      <c r="A359" s="77"/>
    </row>
    <row r="360" customFormat="false" ht="15" hidden="false" customHeight="false" outlineLevel="0" collapsed="false">
      <c r="A360" s="77"/>
    </row>
    <row r="361" customFormat="false" ht="15" hidden="false" customHeight="false" outlineLevel="0" collapsed="false">
      <c r="A361" s="77"/>
    </row>
    <row r="362" customFormat="false" ht="15" hidden="false" customHeight="false" outlineLevel="0" collapsed="false">
      <c r="A362" s="77"/>
    </row>
    <row r="363" customFormat="false" ht="15" hidden="false" customHeight="false" outlineLevel="0" collapsed="false">
      <c r="A363" s="77"/>
    </row>
    <row r="364" customFormat="false" ht="15" hidden="false" customHeight="false" outlineLevel="0" collapsed="false">
      <c r="A364" s="77"/>
    </row>
    <row r="365" customFormat="false" ht="15" hidden="false" customHeight="false" outlineLevel="0" collapsed="false">
      <c r="A365" s="77"/>
    </row>
    <row r="366" customFormat="false" ht="15" hidden="false" customHeight="false" outlineLevel="0" collapsed="false">
      <c r="A366" s="77"/>
    </row>
    <row r="367" customFormat="false" ht="15" hidden="false" customHeight="false" outlineLevel="0" collapsed="false">
      <c r="A367" s="77"/>
    </row>
    <row r="368" customFormat="false" ht="15" hidden="false" customHeight="false" outlineLevel="0" collapsed="false">
      <c r="A368" s="77"/>
    </row>
    <row r="369" customFormat="false" ht="15" hidden="false" customHeight="false" outlineLevel="0" collapsed="false">
      <c r="A369" s="77"/>
    </row>
    <row r="370" customFormat="false" ht="15" hidden="false" customHeight="false" outlineLevel="0" collapsed="false">
      <c r="A370" s="77"/>
    </row>
    <row r="371" customFormat="false" ht="15" hidden="false" customHeight="false" outlineLevel="0" collapsed="false">
      <c r="A371" s="77"/>
    </row>
    <row r="372" customFormat="false" ht="15" hidden="false" customHeight="false" outlineLevel="0" collapsed="false">
      <c r="A372" s="77"/>
    </row>
    <row r="373" customFormat="false" ht="15" hidden="false" customHeight="false" outlineLevel="0" collapsed="false">
      <c r="A373" s="77"/>
    </row>
    <row r="374" customFormat="false" ht="15" hidden="false" customHeight="false" outlineLevel="0" collapsed="false">
      <c r="A374" s="77"/>
    </row>
    <row r="375" customFormat="false" ht="15" hidden="false" customHeight="false" outlineLevel="0" collapsed="false">
      <c r="A375" s="77"/>
    </row>
    <row r="376" customFormat="false" ht="15" hidden="false" customHeight="false" outlineLevel="0" collapsed="false">
      <c r="A376" s="77"/>
    </row>
    <row r="377" customFormat="false" ht="15" hidden="false" customHeight="false" outlineLevel="0" collapsed="false">
      <c r="A377" s="77"/>
    </row>
    <row r="378" customFormat="false" ht="15" hidden="false" customHeight="false" outlineLevel="0" collapsed="false">
      <c r="A378" s="77"/>
    </row>
    <row r="379" customFormat="false" ht="15" hidden="false" customHeight="false" outlineLevel="0" collapsed="false">
      <c r="A379" s="77"/>
    </row>
    <row r="380" customFormat="false" ht="15" hidden="false" customHeight="false" outlineLevel="0" collapsed="false">
      <c r="A380" s="77"/>
    </row>
    <row r="381" customFormat="false" ht="15" hidden="false" customHeight="false" outlineLevel="0" collapsed="false">
      <c r="A381" s="77"/>
    </row>
    <row r="382" customFormat="false" ht="15" hidden="false" customHeight="false" outlineLevel="0" collapsed="false">
      <c r="A382" s="77"/>
    </row>
    <row r="383" customFormat="false" ht="15" hidden="false" customHeight="false" outlineLevel="0" collapsed="false">
      <c r="A383" s="77"/>
    </row>
    <row r="384" customFormat="false" ht="15" hidden="false" customHeight="false" outlineLevel="0" collapsed="false">
      <c r="A384" s="77"/>
    </row>
    <row r="385" customFormat="false" ht="15" hidden="false" customHeight="false" outlineLevel="0" collapsed="false">
      <c r="A385" s="77"/>
    </row>
    <row r="386" customFormat="false" ht="15" hidden="false" customHeight="false" outlineLevel="0" collapsed="false">
      <c r="A386" s="77"/>
    </row>
    <row r="387" customFormat="false" ht="15" hidden="false" customHeight="false" outlineLevel="0" collapsed="false">
      <c r="A387" s="77"/>
    </row>
    <row r="388" customFormat="false" ht="15" hidden="false" customHeight="false" outlineLevel="0" collapsed="false">
      <c r="A388" s="77"/>
    </row>
    <row r="389" customFormat="false" ht="15" hidden="false" customHeight="false" outlineLevel="0" collapsed="false">
      <c r="A389" s="77"/>
    </row>
    <row r="390" customFormat="false" ht="15" hidden="false" customHeight="false" outlineLevel="0" collapsed="false">
      <c r="A390" s="77"/>
    </row>
    <row r="391" customFormat="false" ht="15" hidden="false" customHeight="false" outlineLevel="0" collapsed="false">
      <c r="A391" s="77"/>
    </row>
    <row r="392" customFormat="false" ht="15" hidden="false" customHeight="false" outlineLevel="0" collapsed="false">
      <c r="A392" s="77"/>
    </row>
    <row r="393" customFormat="false" ht="15" hidden="false" customHeight="false" outlineLevel="0" collapsed="false">
      <c r="A393" s="77"/>
    </row>
    <row r="394" customFormat="false" ht="15" hidden="false" customHeight="false" outlineLevel="0" collapsed="false">
      <c r="A394" s="77"/>
    </row>
    <row r="395" customFormat="false" ht="15" hidden="false" customHeight="false" outlineLevel="0" collapsed="false">
      <c r="A395" s="77"/>
    </row>
    <row r="396" customFormat="false" ht="15" hidden="false" customHeight="false" outlineLevel="0" collapsed="false">
      <c r="A396" s="77"/>
    </row>
    <row r="397" customFormat="false" ht="15" hidden="false" customHeight="false" outlineLevel="0" collapsed="false">
      <c r="A397" s="77"/>
    </row>
    <row r="398" customFormat="false" ht="15" hidden="false" customHeight="false" outlineLevel="0" collapsed="false">
      <c r="A398" s="77"/>
    </row>
    <row r="399" customFormat="false" ht="15" hidden="false" customHeight="false" outlineLevel="0" collapsed="false">
      <c r="A399" s="77"/>
    </row>
    <row r="400" customFormat="false" ht="15" hidden="false" customHeight="false" outlineLevel="0" collapsed="false">
      <c r="A400" s="77"/>
    </row>
    <row r="401" customFormat="false" ht="15" hidden="false" customHeight="false" outlineLevel="0" collapsed="false">
      <c r="A401" s="77"/>
    </row>
    <row r="402" customFormat="false" ht="15" hidden="false" customHeight="false" outlineLevel="0" collapsed="false">
      <c r="A402" s="77"/>
    </row>
    <row r="403" customFormat="false" ht="15" hidden="false" customHeight="false" outlineLevel="0" collapsed="false">
      <c r="A403" s="77"/>
    </row>
    <row r="404" customFormat="false" ht="15" hidden="false" customHeight="false" outlineLevel="0" collapsed="false">
      <c r="A404" s="77"/>
    </row>
    <row r="405" customFormat="false" ht="15" hidden="false" customHeight="false" outlineLevel="0" collapsed="false">
      <c r="A405" s="77"/>
    </row>
    <row r="406" customFormat="false" ht="15" hidden="false" customHeight="false" outlineLevel="0" collapsed="false">
      <c r="A406" s="77"/>
    </row>
    <row r="407" customFormat="false" ht="15" hidden="false" customHeight="false" outlineLevel="0" collapsed="false">
      <c r="A407" s="77"/>
    </row>
    <row r="408" customFormat="false" ht="15" hidden="false" customHeight="false" outlineLevel="0" collapsed="false">
      <c r="A408" s="77"/>
    </row>
    <row r="409" customFormat="false" ht="15" hidden="false" customHeight="false" outlineLevel="0" collapsed="false">
      <c r="A409" s="77"/>
    </row>
    <row r="410" customFormat="false" ht="15" hidden="false" customHeight="false" outlineLevel="0" collapsed="false">
      <c r="A410" s="77"/>
    </row>
    <row r="411" customFormat="false" ht="15" hidden="false" customHeight="false" outlineLevel="0" collapsed="false">
      <c r="A411" s="77"/>
    </row>
    <row r="412" customFormat="false" ht="15" hidden="false" customHeight="false" outlineLevel="0" collapsed="false">
      <c r="A412" s="77"/>
    </row>
    <row r="413" customFormat="false" ht="15" hidden="false" customHeight="false" outlineLevel="0" collapsed="false">
      <c r="A413" s="77"/>
    </row>
    <row r="414" customFormat="false" ht="15" hidden="false" customHeight="false" outlineLevel="0" collapsed="false">
      <c r="A414" s="77"/>
    </row>
    <row r="415" customFormat="false" ht="15" hidden="false" customHeight="false" outlineLevel="0" collapsed="false">
      <c r="A415" s="77"/>
    </row>
    <row r="416" customFormat="false" ht="15" hidden="false" customHeight="false" outlineLevel="0" collapsed="false">
      <c r="A416" s="77"/>
    </row>
    <row r="417" customFormat="false" ht="15" hidden="false" customHeight="false" outlineLevel="0" collapsed="false">
      <c r="A417" s="77"/>
    </row>
    <row r="418" customFormat="false" ht="15" hidden="false" customHeight="false" outlineLevel="0" collapsed="false">
      <c r="A418" s="77"/>
    </row>
    <row r="419" customFormat="false" ht="15" hidden="false" customHeight="false" outlineLevel="0" collapsed="false">
      <c r="A419" s="77"/>
    </row>
    <row r="420" customFormat="false" ht="15" hidden="false" customHeight="false" outlineLevel="0" collapsed="false">
      <c r="A420" s="77"/>
    </row>
    <row r="421" customFormat="false" ht="15" hidden="false" customHeight="false" outlineLevel="0" collapsed="false">
      <c r="A421" s="77"/>
    </row>
    <row r="422" customFormat="false" ht="15" hidden="false" customHeight="false" outlineLevel="0" collapsed="false">
      <c r="A422" s="77"/>
    </row>
    <row r="423" customFormat="false" ht="15" hidden="false" customHeight="false" outlineLevel="0" collapsed="false">
      <c r="A423" s="77"/>
    </row>
    <row r="424" customFormat="false" ht="15" hidden="false" customHeight="false" outlineLevel="0" collapsed="false">
      <c r="A424" s="77"/>
    </row>
    <row r="425" customFormat="false" ht="15" hidden="false" customHeight="false" outlineLevel="0" collapsed="false">
      <c r="A425" s="77"/>
    </row>
    <row r="426" customFormat="false" ht="15" hidden="false" customHeight="false" outlineLevel="0" collapsed="false">
      <c r="A426" s="77"/>
    </row>
    <row r="427" customFormat="false" ht="15" hidden="false" customHeight="false" outlineLevel="0" collapsed="false">
      <c r="A427" s="77"/>
    </row>
    <row r="428" customFormat="false" ht="15" hidden="false" customHeight="false" outlineLevel="0" collapsed="false">
      <c r="A428" s="77"/>
    </row>
    <row r="429" customFormat="false" ht="15" hidden="false" customHeight="false" outlineLevel="0" collapsed="false">
      <c r="A429" s="77"/>
    </row>
    <row r="430" customFormat="false" ht="15" hidden="false" customHeight="false" outlineLevel="0" collapsed="false">
      <c r="A430" s="77"/>
    </row>
    <row r="431" customFormat="false" ht="15" hidden="false" customHeight="false" outlineLevel="0" collapsed="false">
      <c r="A431" s="77"/>
    </row>
    <row r="432" customFormat="false" ht="15" hidden="false" customHeight="false" outlineLevel="0" collapsed="false">
      <c r="A432" s="77"/>
    </row>
    <row r="433" customFormat="false" ht="15" hidden="false" customHeight="false" outlineLevel="0" collapsed="false">
      <c r="A433" s="77"/>
    </row>
    <row r="434" customFormat="false" ht="15" hidden="false" customHeight="false" outlineLevel="0" collapsed="false">
      <c r="A434" s="77"/>
    </row>
    <row r="435" customFormat="false" ht="15" hidden="false" customHeight="false" outlineLevel="0" collapsed="false">
      <c r="A435" s="77"/>
    </row>
    <row r="436" customFormat="false" ht="15" hidden="false" customHeight="false" outlineLevel="0" collapsed="false">
      <c r="A436" s="77"/>
    </row>
    <row r="437" customFormat="false" ht="15" hidden="false" customHeight="false" outlineLevel="0" collapsed="false">
      <c r="A437" s="77"/>
    </row>
    <row r="438" customFormat="false" ht="15" hidden="false" customHeight="false" outlineLevel="0" collapsed="false">
      <c r="A438" s="77"/>
    </row>
    <row r="439" customFormat="false" ht="15" hidden="false" customHeight="false" outlineLevel="0" collapsed="false">
      <c r="A439" s="77"/>
    </row>
    <row r="440" customFormat="false" ht="15" hidden="false" customHeight="false" outlineLevel="0" collapsed="false">
      <c r="A440" s="77"/>
    </row>
    <row r="441" customFormat="false" ht="15" hidden="false" customHeight="false" outlineLevel="0" collapsed="false">
      <c r="A441" s="77"/>
    </row>
    <row r="442" customFormat="false" ht="15" hidden="false" customHeight="false" outlineLevel="0" collapsed="false">
      <c r="A442" s="77"/>
    </row>
    <row r="443" customFormat="false" ht="15" hidden="false" customHeight="false" outlineLevel="0" collapsed="false">
      <c r="A443" s="77"/>
    </row>
    <row r="444" customFormat="false" ht="15" hidden="false" customHeight="false" outlineLevel="0" collapsed="false">
      <c r="A444" s="77"/>
    </row>
    <row r="445" customFormat="false" ht="15" hidden="false" customHeight="false" outlineLevel="0" collapsed="false">
      <c r="A445" s="77"/>
    </row>
    <row r="446" customFormat="false" ht="15" hidden="false" customHeight="false" outlineLevel="0" collapsed="false">
      <c r="A446" s="77"/>
    </row>
    <row r="447" customFormat="false" ht="15" hidden="false" customHeight="false" outlineLevel="0" collapsed="false">
      <c r="A447" s="77"/>
    </row>
    <row r="448" customFormat="false" ht="15" hidden="false" customHeight="false" outlineLevel="0" collapsed="false">
      <c r="A448" s="77"/>
    </row>
    <row r="449" customFormat="false" ht="15" hidden="false" customHeight="false" outlineLevel="0" collapsed="false">
      <c r="A449" s="77"/>
    </row>
    <row r="450" customFormat="false" ht="15" hidden="false" customHeight="false" outlineLevel="0" collapsed="false">
      <c r="A450" s="77"/>
    </row>
    <row r="451" customFormat="false" ht="15" hidden="false" customHeight="false" outlineLevel="0" collapsed="false">
      <c r="A451" s="77"/>
    </row>
    <row r="452" customFormat="false" ht="15" hidden="false" customHeight="false" outlineLevel="0" collapsed="false">
      <c r="A452" s="77"/>
    </row>
    <row r="453" customFormat="false" ht="15" hidden="false" customHeight="false" outlineLevel="0" collapsed="false">
      <c r="A453" s="77"/>
    </row>
    <row r="454" customFormat="false" ht="15" hidden="false" customHeight="false" outlineLevel="0" collapsed="false">
      <c r="A454" s="77"/>
    </row>
    <row r="455" customFormat="false" ht="15" hidden="false" customHeight="false" outlineLevel="0" collapsed="false">
      <c r="A455" s="77"/>
    </row>
    <row r="456" customFormat="false" ht="15" hidden="false" customHeight="false" outlineLevel="0" collapsed="false">
      <c r="A456" s="77"/>
    </row>
    <row r="457" customFormat="false" ht="15" hidden="false" customHeight="false" outlineLevel="0" collapsed="false">
      <c r="A457" s="77"/>
    </row>
    <row r="458" customFormat="false" ht="15" hidden="false" customHeight="false" outlineLevel="0" collapsed="false">
      <c r="A458" s="77"/>
    </row>
    <row r="459" customFormat="false" ht="15" hidden="false" customHeight="false" outlineLevel="0" collapsed="false">
      <c r="A459" s="77"/>
    </row>
    <row r="460" customFormat="false" ht="15" hidden="false" customHeight="false" outlineLevel="0" collapsed="false">
      <c r="A460" s="77"/>
    </row>
    <row r="461" customFormat="false" ht="15" hidden="false" customHeight="false" outlineLevel="0" collapsed="false">
      <c r="A461" s="77"/>
    </row>
    <row r="462" customFormat="false" ht="15" hidden="false" customHeight="false" outlineLevel="0" collapsed="false">
      <c r="A462" s="77"/>
    </row>
    <row r="463" customFormat="false" ht="15" hidden="false" customHeight="false" outlineLevel="0" collapsed="false">
      <c r="A463" s="77"/>
    </row>
    <row r="464" customFormat="false" ht="15" hidden="false" customHeight="false" outlineLevel="0" collapsed="false">
      <c r="A464" s="77"/>
    </row>
    <row r="465" customFormat="false" ht="15" hidden="false" customHeight="false" outlineLevel="0" collapsed="false">
      <c r="A465" s="77"/>
    </row>
    <row r="466" customFormat="false" ht="15" hidden="false" customHeight="false" outlineLevel="0" collapsed="false">
      <c r="A466" s="77"/>
    </row>
    <row r="467" customFormat="false" ht="15" hidden="false" customHeight="false" outlineLevel="0" collapsed="false">
      <c r="A467" s="77"/>
    </row>
    <row r="468" customFormat="false" ht="15" hidden="false" customHeight="false" outlineLevel="0" collapsed="false">
      <c r="A468" s="77"/>
    </row>
    <row r="469" customFormat="false" ht="15" hidden="false" customHeight="false" outlineLevel="0" collapsed="false">
      <c r="A469" s="77"/>
    </row>
    <row r="470" customFormat="false" ht="15" hidden="false" customHeight="false" outlineLevel="0" collapsed="false">
      <c r="A470" s="77"/>
    </row>
    <row r="471" customFormat="false" ht="15" hidden="false" customHeight="false" outlineLevel="0" collapsed="false">
      <c r="A471" s="77"/>
    </row>
    <row r="472" customFormat="false" ht="15" hidden="false" customHeight="false" outlineLevel="0" collapsed="false">
      <c r="A472" s="77"/>
    </row>
    <row r="473" customFormat="false" ht="15" hidden="false" customHeight="false" outlineLevel="0" collapsed="false">
      <c r="A473" s="77"/>
    </row>
    <row r="474" customFormat="false" ht="15" hidden="false" customHeight="false" outlineLevel="0" collapsed="false">
      <c r="A474" s="77"/>
    </row>
    <row r="475" customFormat="false" ht="15" hidden="false" customHeight="false" outlineLevel="0" collapsed="false">
      <c r="A475" s="77"/>
    </row>
    <row r="476" customFormat="false" ht="15" hidden="false" customHeight="false" outlineLevel="0" collapsed="false">
      <c r="A476" s="77"/>
    </row>
    <row r="477" customFormat="false" ht="15" hidden="false" customHeight="false" outlineLevel="0" collapsed="false">
      <c r="A477" s="77"/>
    </row>
    <row r="478" customFormat="false" ht="15" hidden="false" customHeight="false" outlineLevel="0" collapsed="false">
      <c r="A478" s="77"/>
    </row>
    <row r="479" customFormat="false" ht="15" hidden="false" customHeight="false" outlineLevel="0" collapsed="false">
      <c r="A479" s="77"/>
    </row>
    <row r="480" customFormat="false" ht="15" hidden="false" customHeight="false" outlineLevel="0" collapsed="false">
      <c r="A480" s="77"/>
    </row>
    <row r="481" customFormat="false" ht="15" hidden="false" customHeight="false" outlineLevel="0" collapsed="false">
      <c r="A481" s="77"/>
    </row>
    <row r="482" customFormat="false" ht="15" hidden="false" customHeight="false" outlineLevel="0" collapsed="false">
      <c r="A482" s="77"/>
    </row>
    <row r="483" customFormat="false" ht="15" hidden="false" customHeight="false" outlineLevel="0" collapsed="false">
      <c r="A483" s="77"/>
    </row>
    <row r="484" customFormat="false" ht="15" hidden="false" customHeight="false" outlineLevel="0" collapsed="false">
      <c r="A484" s="77"/>
    </row>
    <row r="485" customFormat="false" ht="15" hidden="false" customHeight="false" outlineLevel="0" collapsed="false">
      <c r="A485" s="77"/>
    </row>
    <row r="486" customFormat="false" ht="15" hidden="false" customHeight="false" outlineLevel="0" collapsed="false">
      <c r="A486" s="77"/>
    </row>
    <row r="487" customFormat="false" ht="15" hidden="false" customHeight="false" outlineLevel="0" collapsed="false">
      <c r="A487" s="77"/>
    </row>
    <row r="488" customFormat="false" ht="15" hidden="false" customHeight="false" outlineLevel="0" collapsed="false">
      <c r="A488" s="77"/>
    </row>
    <row r="489" customFormat="false" ht="15" hidden="false" customHeight="false" outlineLevel="0" collapsed="false">
      <c r="A489" s="77"/>
    </row>
    <row r="490" customFormat="false" ht="15" hidden="false" customHeight="false" outlineLevel="0" collapsed="false">
      <c r="A490" s="77"/>
    </row>
    <row r="491" customFormat="false" ht="15" hidden="false" customHeight="false" outlineLevel="0" collapsed="false">
      <c r="A491" s="77"/>
    </row>
    <row r="492" customFormat="false" ht="15" hidden="false" customHeight="false" outlineLevel="0" collapsed="false">
      <c r="A492" s="77"/>
    </row>
    <row r="493" customFormat="false" ht="15" hidden="false" customHeight="false" outlineLevel="0" collapsed="false">
      <c r="A493" s="77"/>
    </row>
    <row r="494" customFormat="false" ht="15" hidden="false" customHeight="false" outlineLevel="0" collapsed="false">
      <c r="A494" s="77"/>
    </row>
    <row r="495" customFormat="false" ht="15" hidden="false" customHeight="false" outlineLevel="0" collapsed="false">
      <c r="A495" s="77"/>
    </row>
    <row r="496" customFormat="false" ht="15" hidden="false" customHeight="false" outlineLevel="0" collapsed="false">
      <c r="A496" s="77"/>
    </row>
    <row r="497" customFormat="false" ht="15" hidden="false" customHeight="false" outlineLevel="0" collapsed="false">
      <c r="A497" s="77"/>
    </row>
    <row r="498" customFormat="false" ht="15" hidden="false" customHeight="false" outlineLevel="0" collapsed="false">
      <c r="A498" s="77"/>
    </row>
    <row r="499" customFormat="false" ht="15" hidden="false" customHeight="false" outlineLevel="0" collapsed="false">
      <c r="A499" s="77"/>
    </row>
    <row r="500" customFormat="false" ht="15" hidden="false" customHeight="false" outlineLevel="0" collapsed="false">
      <c r="A500" s="77"/>
    </row>
    <row r="501" customFormat="false" ht="15" hidden="false" customHeight="false" outlineLevel="0" collapsed="false">
      <c r="A501" s="77"/>
    </row>
    <row r="502" customFormat="false" ht="15" hidden="false" customHeight="false" outlineLevel="0" collapsed="false">
      <c r="A502" s="77"/>
    </row>
    <row r="503" customFormat="false" ht="15" hidden="false" customHeight="false" outlineLevel="0" collapsed="false">
      <c r="A503" s="77"/>
    </row>
    <row r="504" customFormat="false" ht="15" hidden="false" customHeight="false" outlineLevel="0" collapsed="false">
      <c r="A504" s="77"/>
    </row>
    <row r="505" customFormat="false" ht="15" hidden="false" customHeight="false" outlineLevel="0" collapsed="false">
      <c r="A505" s="77"/>
    </row>
    <row r="506" customFormat="false" ht="15" hidden="false" customHeight="false" outlineLevel="0" collapsed="false">
      <c r="A506" s="77"/>
    </row>
    <row r="507" customFormat="false" ht="15" hidden="false" customHeight="false" outlineLevel="0" collapsed="false">
      <c r="A507" s="77"/>
    </row>
    <row r="508" customFormat="false" ht="15" hidden="false" customHeight="false" outlineLevel="0" collapsed="false">
      <c r="A508" s="77"/>
    </row>
    <row r="509" customFormat="false" ht="15" hidden="false" customHeight="false" outlineLevel="0" collapsed="false">
      <c r="A509" s="77"/>
    </row>
    <row r="510" customFormat="false" ht="15" hidden="false" customHeight="false" outlineLevel="0" collapsed="false">
      <c r="A510" s="77"/>
    </row>
    <row r="511" customFormat="false" ht="15" hidden="false" customHeight="false" outlineLevel="0" collapsed="false">
      <c r="A511" s="77"/>
    </row>
    <row r="512" customFormat="false" ht="15" hidden="false" customHeight="false" outlineLevel="0" collapsed="false">
      <c r="A512" s="77"/>
    </row>
    <row r="513" customFormat="false" ht="15" hidden="false" customHeight="false" outlineLevel="0" collapsed="false">
      <c r="A513" s="77"/>
    </row>
    <row r="514" customFormat="false" ht="15" hidden="false" customHeight="false" outlineLevel="0" collapsed="false">
      <c r="A514" s="77"/>
    </row>
    <row r="515" customFormat="false" ht="15" hidden="false" customHeight="false" outlineLevel="0" collapsed="false">
      <c r="A515" s="77"/>
    </row>
    <row r="516" customFormat="false" ht="15" hidden="false" customHeight="false" outlineLevel="0" collapsed="false">
      <c r="A516" s="77"/>
    </row>
    <row r="517" customFormat="false" ht="15" hidden="false" customHeight="false" outlineLevel="0" collapsed="false">
      <c r="A517" s="77"/>
    </row>
    <row r="518" customFormat="false" ht="15" hidden="false" customHeight="false" outlineLevel="0" collapsed="false">
      <c r="A518" s="77"/>
    </row>
    <row r="519" customFormat="false" ht="15" hidden="false" customHeight="false" outlineLevel="0" collapsed="false">
      <c r="A519" s="77"/>
    </row>
    <row r="520" customFormat="false" ht="15" hidden="false" customHeight="false" outlineLevel="0" collapsed="false">
      <c r="A520" s="77"/>
    </row>
    <row r="521" customFormat="false" ht="15" hidden="false" customHeight="false" outlineLevel="0" collapsed="false">
      <c r="A521" s="77"/>
    </row>
    <row r="522" customFormat="false" ht="15" hidden="false" customHeight="false" outlineLevel="0" collapsed="false">
      <c r="A522" s="77"/>
    </row>
    <row r="523" customFormat="false" ht="15" hidden="false" customHeight="false" outlineLevel="0" collapsed="false">
      <c r="A523" s="77"/>
    </row>
    <row r="524" customFormat="false" ht="15" hidden="false" customHeight="false" outlineLevel="0" collapsed="false">
      <c r="A524" s="77"/>
    </row>
    <row r="525" customFormat="false" ht="15" hidden="false" customHeight="false" outlineLevel="0" collapsed="false">
      <c r="A525" s="77"/>
    </row>
    <row r="526" customFormat="false" ht="15" hidden="false" customHeight="false" outlineLevel="0" collapsed="false">
      <c r="A526" s="77"/>
    </row>
    <row r="527" customFormat="false" ht="15" hidden="false" customHeight="false" outlineLevel="0" collapsed="false">
      <c r="A527" s="77"/>
    </row>
    <row r="528" customFormat="false" ht="15" hidden="false" customHeight="false" outlineLevel="0" collapsed="false">
      <c r="A528" s="77"/>
    </row>
    <row r="529" customFormat="false" ht="15" hidden="false" customHeight="false" outlineLevel="0" collapsed="false">
      <c r="A529" s="77"/>
    </row>
    <row r="530" customFormat="false" ht="15" hidden="false" customHeight="false" outlineLevel="0" collapsed="false">
      <c r="A530" s="77"/>
    </row>
    <row r="531" customFormat="false" ht="15" hidden="false" customHeight="false" outlineLevel="0" collapsed="false">
      <c r="A531" s="77"/>
    </row>
    <row r="532" customFormat="false" ht="15" hidden="false" customHeight="false" outlineLevel="0" collapsed="false">
      <c r="A532" s="77"/>
    </row>
    <row r="533" customFormat="false" ht="15" hidden="false" customHeight="false" outlineLevel="0" collapsed="false">
      <c r="A533" s="77"/>
    </row>
    <row r="534" customFormat="false" ht="15" hidden="false" customHeight="false" outlineLevel="0" collapsed="false">
      <c r="A534" s="77"/>
    </row>
    <row r="535" customFormat="false" ht="15" hidden="false" customHeight="false" outlineLevel="0" collapsed="false">
      <c r="A535" s="77"/>
    </row>
    <row r="536" customFormat="false" ht="15" hidden="false" customHeight="false" outlineLevel="0" collapsed="false">
      <c r="A536" s="77"/>
    </row>
    <row r="537" customFormat="false" ht="15" hidden="false" customHeight="false" outlineLevel="0" collapsed="false">
      <c r="A537" s="77"/>
    </row>
    <row r="538" customFormat="false" ht="15" hidden="false" customHeight="false" outlineLevel="0" collapsed="false">
      <c r="A538" s="77"/>
    </row>
    <row r="539" customFormat="false" ht="15" hidden="false" customHeight="false" outlineLevel="0" collapsed="false">
      <c r="A539" s="77"/>
    </row>
    <row r="540" customFormat="false" ht="15" hidden="false" customHeight="false" outlineLevel="0" collapsed="false">
      <c r="A540" s="77"/>
    </row>
    <row r="541" customFormat="false" ht="15" hidden="false" customHeight="false" outlineLevel="0" collapsed="false">
      <c r="A541" s="77"/>
    </row>
    <row r="542" customFormat="false" ht="15" hidden="false" customHeight="false" outlineLevel="0" collapsed="false">
      <c r="A542" s="77"/>
    </row>
    <row r="543" customFormat="false" ht="15" hidden="false" customHeight="false" outlineLevel="0" collapsed="false">
      <c r="A543" s="77"/>
    </row>
    <row r="544" customFormat="false" ht="15" hidden="false" customHeight="false" outlineLevel="0" collapsed="false">
      <c r="A544" s="77"/>
    </row>
    <row r="545" customFormat="false" ht="15" hidden="false" customHeight="false" outlineLevel="0" collapsed="false">
      <c r="A545" s="77"/>
    </row>
    <row r="546" customFormat="false" ht="15" hidden="false" customHeight="false" outlineLevel="0" collapsed="false">
      <c r="A546" s="77"/>
    </row>
    <row r="547" customFormat="false" ht="15" hidden="false" customHeight="false" outlineLevel="0" collapsed="false">
      <c r="A547" s="77"/>
    </row>
    <row r="548" customFormat="false" ht="15" hidden="false" customHeight="false" outlineLevel="0" collapsed="false">
      <c r="A548" s="77"/>
    </row>
    <row r="549" customFormat="false" ht="15" hidden="false" customHeight="false" outlineLevel="0" collapsed="false">
      <c r="A549" s="77"/>
    </row>
    <row r="550" customFormat="false" ht="15" hidden="false" customHeight="false" outlineLevel="0" collapsed="false">
      <c r="A550" s="77"/>
    </row>
    <row r="551" customFormat="false" ht="15" hidden="false" customHeight="false" outlineLevel="0" collapsed="false">
      <c r="A551" s="77"/>
    </row>
    <row r="552" customFormat="false" ht="15" hidden="false" customHeight="false" outlineLevel="0" collapsed="false">
      <c r="A552" s="77"/>
    </row>
    <row r="553" customFormat="false" ht="15" hidden="false" customHeight="false" outlineLevel="0" collapsed="false">
      <c r="A553" s="77"/>
    </row>
    <row r="554" customFormat="false" ht="15" hidden="false" customHeight="false" outlineLevel="0" collapsed="false">
      <c r="A554" s="77"/>
    </row>
    <row r="555" customFormat="false" ht="15" hidden="false" customHeight="false" outlineLevel="0" collapsed="false">
      <c r="A555" s="77"/>
    </row>
    <row r="556" customFormat="false" ht="15" hidden="false" customHeight="false" outlineLevel="0" collapsed="false">
      <c r="A556" s="77"/>
    </row>
    <row r="557" customFormat="false" ht="15" hidden="false" customHeight="false" outlineLevel="0" collapsed="false">
      <c r="A557" s="77"/>
    </row>
    <row r="558" customFormat="false" ht="15" hidden="false" customHeight="false" outlineLevel="0" collapsed="false">
      <c r="A558" s="77"/>
    </row>
    <row r="559" customFormat="false" ht="15" hidden="false" customHeight="false" outlineLevel="0" collapsed="false">
      <c r="A559" s="77"/>
    </row>
    <row r="560" customFormat="false" ht="15" hidden="false" customHeight="false" outlineLevel="0" collapsed="false">
      <c r="A560" s="77"/>
    </row>
    <row r="561" customFormat="false" ht="15" hidden="false" customHeight="false" outlineLevel="0" collapsed="false">
      <c r="A561" s="77"/>
    </row>
    <row r="562" customFormat="false" ht="15" hidden="false" customHeight="false" outlineLevel="0" collapsed="false">
      <c r="A562" s="77"/>
    </row>
    <row r="563" customFormat="false" ht="15" hidden="false" customHeight="false" outlineLevel="0" collapsed="false">
      <c r="A563" s="77"/>
    </row>
    <row r="564" customFormat="false" ht="15" hidden="false" customHeight="false" outlineLevel="0" collapsed="false">
      <c r="A564" s="77"/>
    </row>
    <row r="565" customFormat="false" ht="15" hidden="false" customHeight="false" outlineLevel="0" collapsed="false">
      <c r="A565" s="77"/>
    </row>
    <row r="566" customFormat="false" ht="15" hidden="false" customHeight="false" outlineLevel="0" collapsed="false">
      <c r="A566" s="77"/>
    </row>
    <row r="567" customFormat="false" ht="15" hidden="false" customHeight="false" outlineLevel="0" collapsed="false">
      <c r="A567" s="77"/>
    </row>
    <row r="568" customFormat="false" ht="15" hidden="false" customHeight="false" outlineLevel="0" collapsed="false">
      <c r="A568" s="77"/>
    </row>
    <row r="569" customFormat="false" ht="15" hidden="false" customHeight="false" outlineLevel="0" collapsed="false">
      <c r="A569" s="77"/>
    </row>
    <row r="570" customFormat="false" ht="15" hidden="false" customHeight="false" outlineLevel="0" collapsed="false">
      <c r="A570" s="77"/>
    </row>
    <row r="571" customFormat="false" ht="15" hidden="false" customHeight="false" outlineLevel="0" collapsed="false">
      <c r="A571" s="77"/>
    </row>
    <row r="572" customFormat="false" ht="15" hidden="false" customHeight="false" outlineLevel="0" collapsed="false">
      <c r="A572" s="77"/>
    </row>
    <row r="573" customFormat="false" ht="15" hidden="false" customHeight="false" outlineLevel="0" collapsed="false">
      <c r="A573" s="77"/>
    </row>
    <row r="574" customFormat="false" ht="15" hidden="false" customHeight="false" outlineLevel="0" collapsed="false">
      <c r="A574" s="77"/>
    </row>
    <row r="575" customFormat="false" ht="15" hidden="false" customHeight="false" outlineLevel="0" collapsed="false">
      <c r="A575" s="77"/>
    </row>
    <row r="576" customFormat="false" ht="15" hidden="false" customHeight="false" outlineLevel="0" collapsed="false">
      <c r="A576" s="77"/>
    </row>
    <row r="577" customFormat="false" ht="15" hidden="false" customHeight="false" outlineLevel="0" collapsed="false">
      <c r="A577" s="77"/>
    </row>
    <row r="578" customFormat="false" ht="15" hidden="false" customHeight="false" outlineLevel="0" collapsed="false">
      <c r="A578" s="77"/>
    </row>
    <row r="579" customFormat="false" ht="15" hidden="false" customHeight="false" outlineLevel="0" collapsed="false">
      <c r="A579" s="77"/>
    </row>
    <row r="580" customFormat="false" ht="15" hidden="false" customHeight="false" outlineLevel="0" collapsed="false">
      <c r="A580" s="77"/>
    </row>
    <row r="581" customFormat="false" ht="15" hidden="false" customHeight="false" outlineLevel="0" collapsed="false">
      <c r="A581" s="77"/>
    </row>
    <row r="582" customFormat="false" ht="15" hidden="false" customHeight="false" outlineLevel="0" collapsed="false">
      <c r="A582" s="232"/>
      <c r="B582" s="233"/>
      <c r="C582" s="232"/>
      <c r="D582" s="232"/>
      <c r="E582" s="232"/>
      <c r="F582" s="232"/>
      <c r="G582" s="232"/>
      <c r="H582" s="232"/>
      <c r="I582" s="232"/>
      <c r="J582" s="232"/>
      <c r="K582" s="232"/>
      <c r="L582" s="232"/>
      <c r="M582" s="232"/>
      <c r="N582" s="232"/>
      <c r="O582" s="232"/>
      <c r="P582" s="232"/>
      <c r="Q582" s="232"/>
      <c r="R582" s="232"/>
      <c r="S582" s="232"/>
      <c r="T582" s="232"/>
      <c r="U582" s="232"/>
      <c r="V582" s="232"/>
      <c r="W582" s="232"/>
      <c r="X582" s="232"/>
    </row>
    <row r="583" customFormat="false" ht="15" hidden="false" customHeight="false" outlineLevel="0" collapsed="false">
      <c r="A583" s="232"/>
      <c r="B583" s="233"/>
      <c r="C583" s="232"/>
      <c r="D583" s="232"/>
      <c r="E583" s="232"/>
      <c r="F583" s="232"/>
      <c r="G583" s="232"/>
      <c r="H583" s="232"/>
      <c r="I583" s="232"/>
      <c r="J583" s="232"/>
      <c r="K583" s="232"/>
      <c r="L583" s="232"/>
      <c r="M583" s="232"/>
      <c r="N583" s="232"/>
      <c r="O583" s="232"/>
      <c r="P583" s="232"/>
      <c r="Q583" s="232"/>
      <c r="R583" s="232"/>
      <c r="S583" s="232"/>
      <c r="T583" s="232"/>
      <c r="U583" s="232"/>
      <c r="V583" s="232"/>
      <c r="W583" s="232"/>
      <c r="X583" s="232"/>
    </row>
    <row r="584" customFormat="false" ht="15" hidden="false" customHeight="false" outlineLevel="0" collapsed="false">
      <c r="A584" s="232"/>
      <c r="B584" s="233"/>
      <c r="C584" s="232"/>
      <c r="D584" s="232"/>
      <c r="E584" s="232"/>
      <c r="F584" s="232"/>
      <c r="G584" s="232"/>
      <c r="H584" s="232"/>
      <c r="I584" s="232"/>
      <c r="J584" s="232"/>
      <c r="K584" s="232"/>
      <c r="L584" s="232"/>
      <c r="M584" s="232"/>
      <c r="N584" s="232"/>
      <c r="O584" s="232"/>
      <c r="P584" s="232"/>
      <c r="Q584" s="232"/>
      <c r="R584" s="232"/>
      <c r="S584" s="232"/>
      <c r="T584" s="232"/>
      <c r="U584" s="232"/>
      <c r="V584" s="232"/>
      <c r="W584" s="232"/>
      <c r="X584" s="232"/>
    </row>
    <row r="585" customFormat="false" ht="15" hidden="false" customHeight="false" outlineLevel="0" collapsed="false">
      <c r="A585" s="232"/>
      <c r="B585" s="233"/>
      <c r="C585" s="232"/>
      <c r="D585" s="232"/>
      <c r="E585" s="232"/>
      <c r="F585" s="232"/>
      <c r="G585" s="232"/>
      <c r="H585" s="232"/>
      <c r="I585" s="232"/>
      <c r="J585" s="232"/>
      <c r="K585" s="232"/>
      <c r="L585" s="232"/>
      <c r="M585" s="232"/>
      <c r="N585" s="232"/>
      <c r="O585" s="232"/>
      <c r="P585" s="232"/>
      <c r="Q585" s="232"/>
      <c r="R585" s="232"/>
      <c r="S585" s="232"/>
      <c r="T585" s="232"/>
      <c r="U585" s="232"/>
      <c r="V585" s="232"/>
      <c r="W585" s="232"/>
      <c r="X585" s="232"/>
    </row>
    <row r="586" customFormat="false" ht="15" hidden="false" customHeight="false" outlineLevel="0" collapsed="false">
      <c r="A586" s="232"/>
      <c r="B586" s="233"/>
      <c r="C586" s="232"/>
      <c r="D586" s="232"/>
      <c r="E586" s="232"/>
      <c r="F586" s="232"/>
      <c r="G586" s="232"/>
      <c r="H586" s="232"/>
      <c r="I586" s="232"/>
      <c r="J586" s="232"/>
      <c r="K586" s="232"/>
      <c r="L586" s="232"/>
      <c r="M586" s="232"/>
      <c r="N586" s="232"/>
      <c r="O586" s="232"/>
      <c r="P586" s="232"/>
      <c r="Q586" s="232"/>
      <c r="R586" s="232"/>
      <c r="S586" s="232"/>
      <c r="T586" s="232"/>
      <c r="U586" s="232"/>
      <c r="V586" s="232"/>
      <c r="W586" s="232"/>
      <c r="X586" s="232"/>
    </row>
    <row r="587" customFormat="false" ht="15" hidden="false" customHeight="false" outlineLevel="0" collapsed="false">
      <c r="A587" s="232"/>
      <c r="B587" s="233"/>
      <c r="C587" s="232"/>
      <c r="D587" s="232"/>
      <c r="E587" s="232"/>
      <c r="F587" s="232"/>
      <c r="G587" s="232"/>
      <c r="H587" s="232"/>
      <c r="I587" s="232"/>
      <c r="J587" s="232"/>
      <c r="K587" s="232"/>
      <c r="L587" s="232"/>
      <c r="M587" s="232"/>
      <c r="N587" s="232"/>
      <c r="O587" s="232"/>
      <c r="P587" s="232"/>
      <c r="Q587" s="232"/>
      <c r="R587" s="232"/>
      <c r="S587" s="232"/>
      <c r="T587" s="232"/>
      <c r="U587" s="232"/>
      <c r="V587" s="232"/>
      <c r="W587" s="232"/>
      <c r="X587" s="232"/>
    </row>
    <row r="588" customFormat="false" ht="15" hidden="false" customHeight="false" outlineLevel="0" collapsed="false">
      <c r="A588" s="232"/>
      <c r="B588" s="233"/>
      <c r="C588" s="232"/>
      <c r="D588" s="232"/>
      <c r="E588" s="232"/>
      <c r="F588" s="232"/>
      <c r="G588" s="232"/>
      <c r="H588" s="232"/>
      <c r="I588" s="232"/>
      <c r="J588" s="232"/>
      <c r="K588" s="232"/>
      <c r="L588" s="232"/>
      <c r="M588" s="232"/>
      <c r="N588" s="232"/>
      <c r="O588" s="232"/>
      <c r="P588" s="232"/>
      <c r="Q588" s="232"/>
      <c r="R588" s="232"/>
      <c r="S588" s="232"/>
      <c r="T588" s="232"/>
      <c r="U588" s="232"/>
      <c r="V588" s="232"/>
      <c r="W588" s="232"/>
      <c r="X588" s="232"/>
    </row>
    <row r="589" customFormat="false" ht="15" hidden="false" customHeight="false" outlineLevel="0" collapsed="false">
      <c r="A589" s="232"/>
      <c r="B589" s="233"/>
      <c r="C589" s="232"/>
      <c r="D589" s="232"/>
      <c r="E589" s="232"/>
      <c r="F589" s="232"/>
      <c r="G589" s="232"/>
      <c r="H589" s="232"/>
      <c r="I589" s="232"/>
      <c r="J589" s="232"/>
      <c r="K589" s="232"/>
      <c r="L589" s="232"/>
      <c r="M589" s="232"/>
      <c r="N589" s="232"/>
      <c r="O589" s="232"/>
      <c r="P589" s="232"/>
      <c r="Q589" s="232"/>
      <c r="R589" s="232"/>
      <c r="S589" s="232"/>
      <c r="T589" s="232"/>
      <c r="U589" s="232"/>
      <c r="V589" s="232"/>
      <c r="W589" s="232"/>
      <c r="X589" s="232"/>
    </row>
    <row r="590" customFormat="false" ht="15" hidden="false" customHeight="false" outlineLevel="0" collapsed="false">
      <c r="A590" s="232"/>
      <c r="B590" s="233"/>
      <c r="C590" s="232"/>
      <c r="D590" s="232"/>
      <c r="E590" s="232"/>
      <c r="F590" s="232"/>
      <c r="G590" s="232"/>
      <c r="H590" s="232"/>
      <c r="I590" s="232"/>
      <c r="J590" s="232"/>
      <c r="K590" s="232"/>
      <c r="L590" s="232"/>
      <c r="M590" s="232"/>
      <c r="N590" s="232"/>
      <c r="O590" s="232"/>
      <c r="P590" s="232"/>
      <c r="Q590" s="232"/>
      <c r="R590" s="232"/>
      <c r="S590" s="232"/>
      <c r="T590" s="232"/>
      <c r="U590" s="232"/>
      <c r="V590" s="232"/>
      <c r="W590" s="232"/>
      <c r="X590" s="232"/>
    </row>
    <row r="591" customFormat="false" ht="15" hidden="false" customHeight="false" outlineLevel="0" collapsed="false">
      <c r="A591" s="232"/>
      <c r="B591" s="233"/>
      <c r="C591" s="232"/>
      <c r="D591" s="232"/>
      <c r="E591" s="232"/>
      <c r="F591" s="232"/>
      <c r="G591" s="232"/>
      <c r="H591" s="232"/>
      <c r="I591" s="232"/>
      <c r="J591" s="232"/>
      <c r="K591" s="232"/>
      <c r="L591" s="232"/>
      <c r="M591" s="232"/>
      <c r="N591" s="232"/>
      <c r="O591" s="232"/>
      <c r="P591" s="232"/>
      <c r="Q591" s="232"/>
      <c r="R591" s="232"/>
      <c r="S591" s="232"/>
      <c r="T591" s="232"/>
      <c r="U591" s="232"/>
      <c r="V591" s="232"/>
      <c r="W591" s="232"/>
      <c r="X591" s="232"/>
    </row>
    <row r="592" customFormat="false" ht="15" hidden="false" customHeight="false" outlineLevel="0" collapsed="false">
      <c r="A592" s="232"/>
      <c r="B592" s="233"/>
      <c r="C592" s="232"/>
      <c r="D592" s="232"/>
      <c r="E592" s="232"/>
      <c r="F592" s="232"/>
      <c r="G592" s="232"/>
      <c r="H592" s="232"/>
      <c r="I592" s="232"/>
      <c r="J592" s="232"/>
      <c r="K592" s="232"/>
      <c r="L592" s="232"/>
      <c r="M592" s="232"/>
      <c r="N592" s="232"/>
      <c r="O592" s="232"/>
      <c r="P592" s="232"/>
      <c r="Q592" s="232"/>
      <c r="R592" s="232"/>
      <c r="S592" s="232"/>
      <c r="T592" s="232"/>
      <c r="U592" s="232"/>
      <c r="V592" s="232"/>
      <c r="W592" s="232"/>
      <c r="X592" s="232"/>
    </row>
    <row r="593" customFormat="false" ht="15" hidden="false" customHeight="false" outlineLevel="0" collapsed="false">
      <c r="A593" s="232"/>
      <c r="B593" s="233"/>
      <c r="C593" s="232"/>
      <c r="D593" s="232"/>
      <c r="E593" s="232"/>
      <c r="F593" s="232"/>
      <c r="G593" s="232"/>
      <c r="H593" s="232"/>
      <c r="I593" s="232"/>
      <c r="J593" s="232"/>
      <c r="K593" s="232"/>
      <c r="L593" s="232"/>
      <c r="M593" s="232"/>
      <c r="N593" s="232"/>
      <c r="O593" s="232"/>
      <c r="P593" s="232"/>
      <c r="Q593" s="232"/>
      <c r="R593" s="232"/>
      <c r="S593" s="232"/>
      <c r="T593" s="232"/>
      <c r="U593" s="232"/>
      <c r="V593" s="232"/>
      <c r="W593" s="232"/>
      <c r="X593" s="232"/>
    </row>
    <row r="594" customFormat="false" ht="15" hidden="false" customHeight="false" outlineLevel="0" collapsed="false">
      <c r="A594" s="232"/>
      <c r="B594" s="233"/>
      <c r="C594" s="232"/>
      <c r="D594" s="232"/>
      <c r="E594" s="232"/>
      <c r="F594" s="232"/>
      <c r="G594" s="232"/>
      <c r="H594" s="232"/>
      <c r="I594" s="232"/>
      <c r="J594" s="232"/>
      <c r="K594" s="232"/>
      <c r="L594" s="232"/>
      <c r="M594" s="232"/>
      <c r="N594" s="232"/>
      <c r="O594" s="232"/>
      <c r="P594" s="232"/>
      <c r="Q594" s="232"/>
      <c r="R594" s="232"/>
      <c r="S594" s="232"/>
      <c r="T594" s="232"/>
      <c r="U594" s="232"/>
      <c r="V594" s="232"/>
      <c r="W594" s="232"/>
      <c r="X594" s="232"/>
    </row>
    <row r="595" customFormat="false" ht="15" hidden="false" customHeight="false" outlineLevel="0" collapsed="false">
      <c r="A595" s="232"/>
      <c r="B595" s="233"/>
      <c r="C595" s="232"/>
      <c r="D595" s="232"/>
      <c r="E595" s="232"/>
      <c r="F595" s="232"/>
      <c r="G595" s="232"/>
      <c r="H595" s="232"/>
      <c r="I595" s="232"/>
      <c r="J595" s="232"/>
      <c r="K595" s="232"/>
      <c r="L595" s="232"/>
      <c r="M595" s="232"/>
      <c r="N595" s="232"/>
      <c r="O595" s="232"/>
      <c r="P595" s="232"/>
      <c r="Q595" s="232"/>
      <c r="R595" s="232"/>
      <c r="S595" s="232"/>
      <c r="T595" s="232"/>
      <c r="U595" s="232"/>
      <c r="V595" s="232"/>
      <c r="W595" s="232"/>
      <c r="X595" s="232"/>
    </row>
    <row r="596" customFormat="false" ht="15" hidden="false" customHeight="false" outlineLevel="0" collapsed="false">
      <c r="A596" s="232"/>
      <c r="B596" s="233"/>
      <c r="C596" s="232"/>
      <c r="D596" s="232"/>
      <c r="E596" s="232"/>
      <c r="F596" s="232"/>
      <c r="G596" s="232"/>
      <c r="H596" s="232"/>
      <c r="I596" s="232"/>
      <c r="J596" s="232"/>
      <c r="K596" s="232"/>
      <c r="L596" s="232"/>
      <c r="M596" s="232"/>
      <c r="N596" s="232"/>
      <c r="O596" s="232"/>
      <c r="P596" s="232"/>
      <c r="Q596" s="232"/>
      <c r="R596" s="232"/>
      <c r="S596" s="232"/>
      <c r="T596" s="232"/>
      <c r="U596" s="232"/>
      <c r="V596" s="232"/>
      <c r="W596" s="232"/>
      <c r="X596" s="232"/>
    </row>
    <row r="597" customFormat="false" ht="15" hidden="false" customHeight="false" outlineLevel="0" collapsed="false">
      <c r="A597" s="232"/>
    </row>
  </sheetData>
  <mergeCells count="8">
    <mergeCell ref="B1:X1"/>
    <mergeCell ref="B2:X2"/>
    <mergeCell ref="B3:X3"/>
    <mergeCell ref="B4:X4"/>
    <mergeCell ref="C8:F8"/>
    <mergeCell ref="G8:K8"/>
    <mergeCell ref="L8:P8"/>
    <mergeCell ref="T8:W8"/>
  </mergeCells>
  <printOptions headings="false" gridLines="false" gridLinesSet="true" horizontalCentered="true" verticalCentered="true"/>
  <pageMargins left="0.0819444444444444" right="0.164583333333333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7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2" ySplit="13" topLeftCell="C23" activePane="bottomRight" state="frozen"/>
      <selection pane="topLeft" activeCell="A1" activeCellId="0" sqref="A1"/>
      <selection pane="topRight" activeCell="C1" activeCellId="0" sqref="C1"/>
      <selection pane="bottomLeft" activeCell="A23" activeCellId="0" sqref="A23"/>
      <selection pane="bottomRight" activeCell="G31" activeCellId="0" sqref="G31"/>
    </sheetView>
  </sheetViews>
  <sheetFormatPr defaultColWidth="13.70703125" defaultRowHeight="15.75" customHeight="true" zeroHeight="false" outlineLevelRow="0" outlineLevelCol="0"/>
  <cols>
    <col collapsed="false" customWidth="true" hidden="false" outlineLevel="0" max="1" min="1" style="168" width="4.7"/>
    <col collapsed="false" customWidth="true" hidden="false" outlineLevel="0" max="2" min="2" style="234" width="12.28"/>
    <col collapsed="false" customWidth="true" hidden="false" outlineLevel="0" max="3" min="3" style="150" width="20.7"/>
    <col collapsed="false" customWidth="true" hidden="false" outlineLevel="0" max="4" min="4" style="76" width="16.99"/>
    <col collapsed="false" customWidth="true" hidden="false" outlineLevel="0" max="5" min="5" style="74" width="19.7"/>
    <col collapsed="false" customWidth="false" hidden="false" outlineLevel="0" max="6" min="6" style="74" width="13.7"/>
    <col collapsed="false" customWidth="true" hidden="false" outlineLevel="0" max="7" min="7" style="74" width="17.56"/>
    <col collapsed="false" customWidth="false" hidden="false" outlineLevel="0" max="9" min="8" style="74" width="13.7"/>
    <col collapsed="false" customWidth="true" hidden="false" outlineLevel="0" max="10" min="10" style="74" width="21.84"/>
    <col collapsed="false" customWidth="false" hidden="false" outlineLevel="0" max="257" min="11" style="74" width="13.7"/>
  </cols>
  <sheetData>
    <row r="1" customFormat="false" ht="15" hidden="false" customHeight="true" outlineLevel="0" collapsed="false">
      <c r="A1" s="96"/>
      <c r="B1" s="235"/>
      <c r="D1" s="236" t="s">
        <v>88</v>
      </c>
      <c r="E1" s="237" t="n">
        <f aca="false">'Summary-Invoice'!A2</f>
        <v>37165</v>
      </c>
    </row>
    <row r="2" customFormat="false" ht="17.25" hidden="false" customHeight="true" outlineLevel="0" collapsed="false">
      <c r="A2" s="96"/>
      <c r="B2" s="238"/>
    </row>
    <row r="3" customFormat="false" ht="22.5" hidden="false" customHeight="true" outlineLevel="0" collapsed="false">
      <c r="A3" s="96"/>
      <c r="B3" s="235"/>
      <c r="F3" s="239"/>
      <c r="G3" s="240" t="s">
        <v>89</v>
      </c>
    </row>
    <row r="4" customFormat="false" ht="22.5" hidden="false" customHeight="true" outlineLevel="0" collapsed="false">
      <c r="A4" s="96"/>
      <c r="B4" s="235"/>
      <c r="F4" s="241" t="s">
        <v>90</v>
      </c>
      <c r="G4" s="242" t="n">
        <f aca="false">VLOOKUP(E1,'Tier Schedule'!$A$10:$J$37,2)</f>
        <v>15771</v>
      </c>
      <c r="J4" s="74" t="s">
        <v>91</v>
      </c>
      <c r="K4" s="74" t="n">
        <f aca="false">G4+G5</f>
        <v>18028.4300960178</v>
      </c>
    </row>
    <row r="5" customFormat="false" ht="15.75" hidden="false" customHeight="false" outlineLevel="0" collapsed="false">
      <c r="A5" s="96"/>
      <c r="B5" s="243"/>
      <c r="F5" s="241" t="s">
        <v>92</v>
      </c>
      <c r="G5" s="242" t="n">
        <f aca="false">VLOOKUP(E1,'Tier Schedule'!$A$10:$J$37,4)</f>
        <v>2257.43009601776</v>
      </c>
      <c r="J5" s="74" t="s">
        <v>93</v>
      </c>
      <c r="K5" s="74" t="n">
        <f aca="false">G6-G5+G4+G5</f>
        <v>128582</v>
      </c>
    </row>
    <row r="6" customFormat="false" ht="15.75" hidden="false" customHeight="false" outlineLevel="0" collapsed="false">
      <c r="A6" s="96"/>
      <c r="B6" s="243"/>
      <c r="F6" s="241" t="s">
        <v>94</v>
      </c>
      <c r="G6" s="242" t="n">
        <f aca="false">VLOOKUP(E1,'Tier Schedule'!$A$10:$J$37,6)</f>
        <v>112811</v>
      </c>
    </row>
    <row r="7" customFormat="false" ht="15.75" hidden="false" customHeight="false" outlineLevel="0" collapsed="false">
      <c r="A7" s="96"/>
      <c r="B7" s="243"/>
      <c r="C7" s="244"/>
      <c r="F7" s="245" t="s">
        <v>53</v>
      </c>
      <c r="G7" s="246" t="n">
        <f aca="false">VLOOKUP(E1,'Tier Schedule'!$A$10:$J$37,8)</f>
        <v>147657.241772956</v>
      </c>
    </row>
    <row r="8" customFormat="false" ht="17.1" hidden="false" customHeight="true" outlineLevel="0" collapsed="false">
      <c r="A8" s="96"/>
      <c r="B8" s="243"/>
      <c r="C8" s="247"/>
    </row>
    <row r="9" customFormat="false" ht="17.1" hidden="false" customHeight="true" outlineLevel="0" collapsed="false">
      <c r="A9" s="96"/>
      <c r="B9" s="243"/>
    </row>
    <row r="10" customFormat="false" ht="17.1" hidden="false" customHeight="true" outlineLevel="0" collapsed="false">
      <c r="A10" s="96"/>
      <c r="B10" s="243"/>
    </row>
    <row r="11" customFormat="false" ht="17.1" hidden="false" customHeight="true" outlineLevel="0" collapsed="false">
      <c r="A11" s="96"/>
      <c r="B11" s="243"/>
    </row>
    <row r="12" customFormat="false" ht="16.5" hidden="false" customHeight="true" outlineLevel="0" collapsed="false">
      <c r="A12" s="96"/>
      <c r="B12" s="243"/>
      <c r="D12" s="248" t="s">
        <v>95</v>
      </c>
      <c r="E12" s="248" t="s">
        <v>95</v>
      </c>
      <c r="F12" s="249" t="n">
        <f aca="false">G5</f>
        <v>2257.43009601776</v>
      </c>
      <c r="G12" s="249" t="n">
        <f aca="false">G6-G5</f>
        <v>110553.569903982</v>
      </c>
      <c r="H12" s="249" t="n">
        <f aca="false">G7-G6</f>
        <v>34846.2417729565</v>
      </c>
      <c r="I12" s="250" t="s">
        <v>96</v>
      </c>
    </row>
    <row r="13" customFormat="false" ht="19.5" hidden="false" customHeight="true" outlineLevel="0" collapsed="false">
      <c r="A13" s="96"/>
      <c r="B13" s="251"/>
      <c r="C13" s="252" t="s">
        <v>76</v>
      </c>
      <c r="D13" s="253" t="s">
        <v>97</v>
      </c>
      <c r="E13" s="254" t="s">
        <v>98</v>
      </c>
      <c r="F13" s="254" t="s">
        <v>92</v>
      </c>
      <c r="G13" s="254" t="s">
        <v>94</v>
      </c>
      <c r="H13" s="255" t="s">
        <v>53</v>
      </c>
      <c r="I13" s="128"/>
      <c r="J13" s="256" t="s">
        <v>99</v>
      </c>
    </row>
    <row r="14" customFormat="false" ht="12.95" hidden="false" customHeight="true" outlineLevel="0" collapsed="false">
      <c r="A14" s="96"/>
      <c r="B14" s="243"/>
      <c r="D14" s="150"/>
      <c r="E14" s="150"/>
      <c r="F14" s="150"/>
      <c r="G14" s="150"/>
      <c r="H14" s="150"/>
    </row>
    <row r="15" customFormat="false" ht="17.1" hidden="false" customHeight="true" outlineLevel="0" collapsed="false">
      <c r="A15" s="257"/>
      <c r="B15" s="258" t="n">
        <f aca="false">'VNG Sheet'!B15</f>
        <v>37165</v>
      </c>
      <c r="C15" s="136" t="n">
        <f aca="false">'VNG Sheet'!AQ15</f>
        <v>32964.65</v>
      </c>
      <c r="D15" s="259" t="n">
        <f aca="false">$G$4</f>
        <v>15771</v>
      </c>
      <c r="E15" s="259" t="n">
        <f aca="false">IF(C15&lt;$G$4,$G$4-C15,0)</f>
        <v>0</v>
      </c>
      <c r="F15" s="259" t="n">
        <f aca="false">IF(E15=0,IF((C15-D15)&lt;=$G$5,C15-D15,$G$5),0)</f>
        <v>2257.43009601776</v>
      </c>
      <c r="G15" s="259" t="n">
        <f aca="false">IF(F15&gt;0,IF((C15-D15-F15)&gt;$G$12,$G$12,(C15-D15-F15)),0)</f>
        <v>14936.2199039822</v>
      </c>
      <c r="H15" s="259" t="n">
        <f aca="false">IF(C15-$K$5&gt;0,C15-$K$5,0)</f>
        <v>0</v>
      </c>
      <c r="I15" s="169" t="n">
        <f aca="false">D15-E15+F15+G15+H15</f>
        <v>32964.65</v>
      </c>
      <c r="J15" s="74" t="n">
        <f aca="false">C15=I15</f>
        <v>1</v>
      </c>
    </row>
    <row r="16" customFormat="false" ht="17.1" hidden="false" customHeight="true" outlineLevel="0" collapsed="false">
      <c r="A16" s="257"/>
      <c r="B16" s="258" t="n">
        <f aca="false">B15+1</f>
        <v>37166</v>
      </c>
      <c r="C16" s="136" t="n">
        <f aca="false">'VNG Sheet'!AQ16</f>
        <v>23672.65</v>
      </c>
      <c r="D16" s="259" t="n">
        <f aca="false">D15</f>
        <v>15771</v>
      </c>
      <c r="E16" s="259" t="n">
        <f aca="false">IF(C16&lt;$G$4,$G$4-C16,0)</f>
        <v>0</v>
      </c>
      <c r="F16" s="259" t="n">
        <f aca="false">IF(E16=0,IF((C16-D16)&lt;=$G$5,C16-D16,$G$5),0)</f>
        <v>2257.43009601776</v>
      </c>
      <c r="G16" s="259" t="n">
        <f aca="false">IF(F16&gt;0,IF((C16-D16-F16)&gt;$G$12,$G$12,(C16-D16-F16)),0)</f>
        <v>5644.21990398224</v>
      </c>
      <c r="H16" s="259" t="n">
        <f aca="false">IF(C16-$K$5&gt;0,C16-$K$5,0)</f>
        <v>0</v>
      </c>
      <c r="I16" s="169" t="n">
        <f aca="false">D16-E16+F16+G16+H16</f>
        <v>23672.65</v>
      </c>
      <c r="J16" s="74" t="n">
        <f aca="false">C16=I16</f>
        <v>1</v>
      </c>
    </row>
    <row r="17" customFormat="false" ht="17.1" hidden="false" customHeight="true" outlineLevel="0" collapsed="false">
      <c r="A17" s="257"/>
      <c r="B17" s="258" t="n">
        <f aca="false">B16+1</f>
        <v>37167</v>
      </c>
      <c r="C17" s="136" t="n">
        <f aca="false">'VNG Sheet'!AQ17</f>
        <v>23215.65</v>
      </c>
      <c r="D17" s="259" t="n">
        <f aca="false">D16</f>
        <v>15771</v>
      </c>
      <c r="E17" s="259" t="n">
        <f aca="false">IF(C17&lt;$G$4,$G$4-C17,0)</f>
        <v>0</v>
      </c>
      <c r="F17" s="259" t="n">
        <f aca="false">IF(E17=0,IF((C17-D17)&lt;=$G$5,C17-D17,$G$5),0)</f>
        <v>2257.43009601776</v>
      </c>
      <c r="G17" s="259" t="n">
        <f aca="false">IF(F17&gt;0,IF((C17-D17-F17)&gt;$G$12,$G$12,(C17-D17-F17)),0)</f>
        <v>5187.21990398224</v>
      </c>
      <c r="H17" s="259" t="n">
        <f aca="false">IF(C17-$K$5&gt;0,C17-$K$5,0)</f>
        <v>0</v>
      </c>
      <c r="I17" s="169" t="n">
        <f aca="false">D17-E17+F17+G17+H17</f>
        <v>23215.65</v>
      </c>
      <c r="J17" s="74" t="n">
        <f aca="false">C17=I17</f>
        <v>1</v>
      </c>
    </row>
    <row r="18" customFormat="false" ht="17.1" hidden="false" customHeight="true" outlineLevel="0" collapsed="false">
      <c r="A18" s="257"/>
      <c r="B18" s="258" t="n">
        <f aca="false">B17+1</f>
        <v>37168</v>
      </c>
      <c r="C18" s="136" t="n">
        <f aca="false">'VNG Sheet'!AQ18</f>
        <v>24945.65</v>
      </c>
      <c r="D18" s="259" t="n">
        <f aca="false">D17</f>
        <v>15771</v>
      </c>
      <c r="E18" s="259" t="n">
        <f aca="false">IF(C18&lt;$G$4,$G$4-C18,0)</f>
        <v>0</v>
      </c>
      <c r="F18" s="259" t="n">
        <f aca="false">IF(E18=0,IF((C18-D18)&lt;=$G$5,C18-D18,$G$5),0)</f>
        <v>2257.43009601776</v>
      </c>
      <c r="G18" s="259" t="n">
        <f aca="false">IF(F18&gt;0,IF((C18-D18-F18)&gt;$G$12,$G$12,(C18-D18-F18)),0)</f>
        <v>6917.21990398224</v>
      </c>
      <c r="H18" s="259" t="n">
        <f aca="false">IF(C18-$K$5&gt;0,C18-$K$5,0)</f>
        <v>0</v>
      </c>
      <c r="I18" s="169" t="n">
        <f aca="false">D18-E18+F18+G18+H18</f>
        <v>24945.65</v>
      </c>
      <c r="J18" s="74" t="n">
        <f aca="false">C18=I18</f>
        <v>1</v>
      </c>
    </row>
    <row r="19" customFormat="false" ht="17.1" hidden="false" customHeight="true" outlineLevel="0" collapsed="false">
      <c r="A19" s="257"/>
      <c r="B19" s="258" t="n">
        <f aca="false">B18+1</f>
        <v>37169</v>
      </c>
      <c r="C19" s="136" t="n">
        <f aca="false">'VNG Sheet'!AQ19</f>
        <v>24387.65</v>
      </c>
      <c r="D19" s="259" t="n">
        <f aca="false">D18</f>
        <v>15771</v>
      </c>
      <c r="E19" s="259" t="n">
        <f aca="false">IF(C19&lt;$G$4,$G$4-C19,0)</f>
        <v>0</v>
      </c>
      <c r="F19" s="259" t="n">
        <f aca="false">IF(E19=0,IF((C19-D19)&lt;=$G$5,C19-D19,$G$5),0)</f>
        <v>2257.43009601776</v>
      </c>
      <c r="G19" s="259" t="n">
        <f aca="false">IF(F19&gt;0,IF((C19-D19-F19)&gt;$G$12,$G$12,(C19-D19-F19)),0)</f>
        <v>6359.21990398224</v>
      </c>
      <c r="H19" s="259" t="n">
        <f aca="false">IF(C19-$K$5&gt;0,C19-$K$5,0)</f>
        <v>0</v>
      </c>
      <c r="I19" s="169" t="n">
        <f aca="false">D19-E19+F19+G19+H19</f>
        <v>24387.65</v>
      </c>
      <c r="J19" s="74" t="n">
        <f aca="false">C19=I19</f>
        <v>1</v>
      </c>
    </row>
    <row r="20" customFormat="false" ht="17.1" hidden="false" customHeight="true" outlineLevel="0" collapsed="false">
      <c r="A20" s="257"/>
      <c r="B20" s="258" t="n">
        <f aca="false">B19+1</f>
        <v>37170</v>
      </c>
      <c r="C20" s="136" t="n">
        <f aca="false">'VNG Sheet'!AQ20</f>
        <v>32700.65</v>
      </c>
      <c r="D20" s="259" t="n">
        <f aca="false">D19</f>
        <v>15771</v>
      </c>
      <c r="E20" s="259" t="n">
        <f aca="false">IF(C20&lt;$G$4,$G$4-C20,0)</f>
        <v>0</v>
      </c>
      <c r="F20" s="259" t="n">
        <f aca="false">IF(E20=0,IF((C20-D20)&lt;=$G$5,C20-D20,$G$5),0)</f>
        <v>2257.43009601776</v>
      </c>
      <c r="G20" s="259" t="n">
        <f aca="false">IF(F20&gt;0,IF((C20-D20-F20)&gt;$G$12,$G$12,(C20-D20-F20)),0)</f>
        <v>14672.2199039822</v>
      </c>
      <c r="H20" s="259" t="n">
        <f aca="false">IF(C20-$K$5&gt;0,C20-$K$5,0)</f>
        <v>0</v>
      </c>
      <c r="I20" s="169" t="n">
        <f aca="false">D20-E20+F20+G20+H20</f>
        <v>32700.65</v>
      </c>
      <c r="J20" s="74" t="n">
        <f aca="false">C20=I20</f>
        <v>1</v>
      </c>
    </row>
    <row r="21" customFormat="false" ht="17.1" hidden="false" customHeight="true" outlineLevel="0" collapsed="false">
      <c r="A21" s="257"/>
      <c r="B21" s="258" t="n">
        <f aca="false">B20+1</f>
        <v>37171</v>
      </c>
      <c r="C21" s="136" t="n">
        <f aca="false">'VNG Sheet'!AQ21</f>
        <v>43803.65</v>
      </c>
      <c r="D21" s="259" t="n">
        <f aca="false">D20</f>
        <v>15771</v>
      </c>
      <c r="E21" s="259" t="n">
        <f aca="false">IF(C21&lt;$G$4,$G$4-C21,0)</f>
        <v>0</v>
      </c>
      <c r="F21" s="259" t="n">
        <f aca="false">IF(E21=0,IF((C21-D21)&lt;=$G$5,C21-D21,$G$5),0)</f>
        <v>2257.43009601776</v>
      </c>
      <c r="G21" s="259" t="n">
        <f aca="false">IF(F21&gt;0,IF((C21-D21-F21)&gt;$G$12,$G$12,(C21-D21-F21)),0)</f>
        <v>25775.2199039822</v>
      </c>
      <c r="H21" s="259" t="n">
        <f aca="false">IF(C21-$K$5&gt;0,C21-$K$5,0)</f>
        <v>0</v>
      </c>
      <c r="I21" s="169" t="n">
        <f aca="false">D21-E21+F21+G21+H21</f>
        <v>43803.65</v>
      </c>
      <c r="J21" s="74" t="n">
        <f aca="false">C21=I21</f>
        <v>1</v>
      </c>
    </row>
    <row r="22" customFormat="false" ht="17.1" hidden="false" customHeight="true" outlineLevel="0" collapsed="false">
      <c r="A22" s="257"/>
      <c r="B22" s="258" t="n">
        <f aca="false">B21+1</f>
        <v>37172</v>
      </c>
      <c r="C22" s="136" t="n">
        <f aca="false">'VNG Sheet'!AQ22</f>
        <v>69186.65</v>
      </c>
      <c r="D22" s="259" t="n">
        <f aca="false">D21</f>
        <v>15771</v>
      </c>
      <c r="E22" s="259" t="n">
        <f aca="false">IF(C22&lt;$G$4,$G$4-C22,0)</f>
        <v>0</v>
      </c>
      <c r="F22" s="259" t="n">
        <f aca="false">IF(E22=0,IF((C22-D22)&lt;=$G$5,C22-D22,$G$5),0)</f>
        <v>2257.43009601776</v>
      </c>
      <c r="G22" s="259" t="n">
        <f aca="false">IF(F22&gt;0,IF((C22-D22-F22)&gt;$G$12,$G$12,(C22-D22-F22)),0)</f>
        <v>51158.2199039822</v>
      </c>
      <c r="H22" s="259" t="n">
        <f aca="false">IF(C22-$K$5&gt;0,C22-$K$5,0)</f>
        <v>0</v>
      </c>
      <c r="I22" s="169" t="n">
        <f aca="false">D22-E22+F22+G22+H22</f>
        <v>69186.65</v>
      </c>
      <c r="J22" s="74" t="n">
        <f aca="false">C22=I22</f>
        <v>1</v>
      </c>
    </row>
    <row r="23" customFormat="false" ht="17.1" hidden="false" customHeight="true" outlineLevel="0" collapsed="false">
      <c r="A23" s="257"/>
      <c r="B23" s="258" t="n">
        <f aca="false">B22+1</f>
        <v>37173</v>
      </c>
      <c r="C23" s="136" t="n">
        <f aca="false">'VNG Sheet'!AQ23</f>
        <v>60487.65</v>
      </c>
      <c r="D23" s="259" t="n">
        <f aca="false">D22</f>
        <v>15771</v>
      </c>
      <c r="E23" s="259" t="n">
        <f aca="false">IF(C23&lt;$G$4,$G$4-C23,0)</f>
        <v>0</v>
      </c>
      <c r="F23" s="259" t="n">
        <f aca="false">IF(E23=0,IF((C23-D23)&lt;=$G$5,C23-D23,$G$5),0)</f>
        <v>2257.43009601776</v>
      </c>
      <c r="G23" s="259" t="n">
        <f aca="false">IF(F23&gt;0,IF((C23-D23-F23)&gt;$G$12,$G$12,(C23-D23-F23)),0)</f>
        <v>42459.2199039822</v>
      </c>
      <c r="H23" s="259" t="n">
        <f aca="false">IF(C23-$K$5&gt;0,C23-$K$5,0)</f>
        <v>0</v>
      </c>
      <c r="I23" s="169" t="n">
        <f aca="false">D23-E23+F23+G23+H23</f>
        <v>60487.65</v>
      </c>
      <c r="J23" s="74" t="n">
        <f aca="false">C23=I23</f>
        <v>1</v>
      </c>
    </row>
    <row r="24" customFormat="false" ht="17.1" hidden="false" customHeight="true" outlineLevel="0" collapsed="false">
      <c r="A24" s="257"/>
      <c r="B24" s="258" t="n">
        <f aca="false">B23+1</f>
        <v>37174</v>
      </c>
      <c r="C24" s="136" t="n">
        <f aca="false">'VNG Sheet'!AQ24</f>
        <v>32020.65</v>
      </c>
      <c r="D24" s="259" t="n">
        <f aca="false">D23</f>
        <v>15771</v>
      </c>
      <c r="E24" s="259" t="n">
        <f aca="false">IF(C24&lt;$G$4,$G$4-C24,0)</f>
        <v>0</v>
      </c>
      <c r="F24" s="259" t="n">
        <f aca="false">IF(E24=0,IF((C24-D24)&lt;=$G$5,C24-D24,$G$5),0)</f>
        <v>2257.43009601776</v>
      </c>
      <c r="G24" s="259" t="n">
        <f aca="false">IF(F24&gt;0,IF((C24-D24-F24)&gt;$G$12,$G$12,(C24-D24-F24)),0)</f>
        <v>13992.2199039822</v>
      </c>
      <c r="H24" s="259" t="n">
        <f aca="false">IF(C24-$K$5&gt;0,C24-$K$5,0)</f>
        <v>0</v>
      </c>
      <c r="I24" s="169" t="n">
        <f aca="false">D24-E24+F24+G24+H24</f>
        <v>32020.65</v>
      </c>
      <c r="J24" s="74" t="n">
        <f aca="false">C24=I24</f>
        <v>1</v>
      </c>
    </row>
    <row r="25" customFormat="false" ht="17.1" hidden="false" customHeight="true" outlineLevel="0" collapsed="false">
      <c r="A25" s="257"/>
      <c r="B25" s="258" t="n">
        <f aca="false">B24+1</f>
        <v>37175</v>
      </c>
      <c r="C25" s="136" t="n">
        <f aca="false">'VNG Sheet'!AQ25</f>
        <v>30988.65</v>
      </c>
      <c r="D25" s="259" t="n">
        <f aca="false">D24</f>
        <v>15771</v>
      </c>
      <c r="E25" s="259" t="n">
        <f aca="false">IF(C25&lt;$G$4,$G$4-C25,0)</f>
        <v>0</v>
      </c>
      <c r="F25" s="259" t="n">
        <f aca="false">IF(E25=0,IF((C25-D25)&lt;=$G$5,C25-D25,$G$5),0)</f>
        <v>2257.43009601776</v>
      </c>
      <c r="G25" s="259" t="n">
        <f aca="false">IF(F25&gt;0,IF((C25-D25-F25)&gt;$G$12,$G$12,(C25-D25-F25)),0)</f>
        <v>12960.2199039822</v>
      </c>
      <c r="H25" s="259" t="n">
        <f aca="false">IF(C25-$K$5&gt;0,C25-$K$5,0)</f>
        <v>0</v>
      </c>
      <c r="I25" s="169" t="n">
        <f aca="false">D25-E25+F25+G25+H25</f>
        <v>30988.65</v>
      </c>
      <c r="J25" s="74" t="n">
        <f aca="false">C25=I25</f>
        <v>1</v>
      </c>
    </row>
    <row r="26" customFormat="false" ht="17.1" hidden="false" customHeight="true" outlineLevel="0" collapsed="false">
      <c r="A26" s="257"/>
      <c r="B26" s="258" t="n">
        <f aca="false">B25+1</f>
        <v>37176</v>
      </c>
      <c r="C26" s="136" t="n">
        <f aca="false">'VNG Sheet'!AQ26</f>
        <v>23795.65</v>
      </c>
      <c r="D26" s="259" t="n">
        <f aca="false">D25</f>
        <v>15771</v>
      </c>
      <c r="E26" s="259" t="n">
        <f aca="false">IF(C26&lt;$G$4,$G$4-C26,0)</f>
        <v>0</v>
      </c>
      <c r="F26" s="259" t="n">
        <f aca="false">IF(E26=0,IF((C26-D26)&lt;=$G$5,C26-D26,$G$5),0)</f>
        <v>2257.43009601776</v>
      </c>
      <c r="G26" s="259" t="n">
        <f aca="false">IF(F26&gt;0,IF((C26-D26-F26)&gt;$G$12,$G$12,(C26-D26-F26)),0)</f>
        <v>5767.21990398224</v>
      </c>
      <c r="H26" s="259" t="n">
        <f aca="false">IF(C26-$K$5&gt;0,C26-$K$5,0)</f>
        <v>0</v>
      </c>
      <c r="I26" s="169" t="n">
        <f aca="false">D26-E26+F26+G26+H26</f>
        <v>23795.65</v>
      </c>
      <c r="J26" s="74" t="n">
        <f aca="false">C26=I26</f>
        <v>1</v>
      </c>
    </row>
    <row r="27" customFormat="false" ht="17.1" hidden="false" customHeight="true" outlineLevel="0" collapsed="false">
      <c r="A27" s="96"/>
      <c r="B27" s="258" t="n">
        <f aca="false">B26+1</f>
        <v>37177</v>
      </c>
      <c r="C27" s="136" t="n">
        <f aca="false">'VNG Sheet'!AQ27</f>
        <v>24189.65</v>
      </c>
      <c r="D27" s="259" t="n">
        <f aca="false">D26</f>
        <v>15771</v>
      </c>
      <c r="E27" s="259" t="n">
        <f aca="false">IF(C27&lt;$G$4,$G$4-C27,0)</f>
        <v>0</v>
      </c>
      <c r="F27" s="259" t="n">
        <f aca="false">IF(E27=0,IF((C27-D27)&lt;=$G$5,C27-D27,$G$5),0)</f>
        <v>2257.43009601776</v>
      </c>
      <c r="G27" s="259" t="n">
        <f aca="false">IF(F27&gt;0,IF((C27-D27-F27)&gt;$G$12,$G$12,(C27-D27-F27)),0)</f>
        <v>6161.21990398224</v>
      </c>
      <c r="H27" s="259" t="n">
        <f aca="false">IF(C27-$K$5&gt;0,C27-$K$5,0)</f>
        <v>0</v>
      </c>
      <c r="I27" s="169" t="n">
        <f aca="false">D27-E27+F27+G27+H27</f>
        <v>24189.65</v>
      </c>
      <c r="J27" s="74" t="n">
        <f aca="false">C27=I27</f>
        <v>1</v>
      </c>
    </row>
    <row r="28" customFormat="false" ht="17.1" hidden="false" customHeight="true" outlineLevel="0" collapsed="false">
      <c r="A28" s="96"/>
      <c r="B28" s="258" t="n">
        <f aca="false">B27+1</f>
        <v>37178</v>
      </c>
      <c r="C28" s="136" t="n">
        <f aca="false">'VNG Sheet'!AQ28</f>
        <v>25770.65</v>
      </c>
      <c r="D28" s="259" t="n">
        <f aca="false">D27</f>
        <v>15771</v>
      </c>
      <c r="E28" s="259" t="n">
        <f aca="false">IF(C28&lt;$G$4,$G$4-C28,0)</f>
        <v>0</v>
      </c>
      <c r="F28" s="259" t="n">
        <f aca="false">IF(E28=0,IF((C28-D28)&lt;=$G$5,C28-D28,$G$5),0)</f>
        <v>2257.43009601776</v>
      </c>
      <c r="G28" s="259" t="n">
        <f aca="false">IF(F28&gt;0,IF((C28-D28-F28)&gt;$G$12,$G$12,(C28-D28-F28)),0)</f>
        <v>7742.21990398224</v>
      </c>
      <c r="H28" s="259" t="n">
        <f aca="false">IF(C28-$K$5&gt;0,C28-$K$5,0)</f>
        <v>0</v>
      </c>
      <c r="I28" s="169" t="n">
        <f aca="false">D28-E28+F28+G28+H28</f>
        <v>25770.65</v>
      </c>
      <c r="J28" s="74" t="n">
        <f aca="false">C28=I28</f>
        <v>1</v>
      </c>
    </row>
    <row r="29" customFormat="false" ht="17.1" hidden="false" customHeight="true" outlineLevel="0" collapsed="false">
      <c r="A29" s="96"/>
      <c r="B29" s="258" t="n">
        <f aca="false">B28+1</f>
        <v>37179</v>
      </c>
      <c r="C29" s="136" t="n">
        <f aca="false">'VNG Sheet'!AQ29</f>
        <v>30749.65</v>
      </c>
      <c r="D29" s="259" t="n">
        <f aca="false">D28</f>
        <v>15771</v>
      </c>
      <c r="E29" s="259" t="n">
        <f aca="false">IF(C29&lt;$G$4,$G$4-C29,0)</f>
        <v>0</v>
      </c>
      <c r="F29" s="259" t="n">
        <f aca="false">IF(E29=0,IF((C29-D29)&lt;=$G$5,C29-D29,$G$5),0)</f>
        <v>2257.43009601776</v>
      </c>
      <c r="G29" s="259" t="n">
        <f aca="false">IF(F29&gt;0,IF((C29-D29-F29)&gt;$G$12,$G$12,(C29-D29-F29)),0)</f>
        <v>12721.2199039822</v>
      </c>
      <c r="H29" s="259" t="n">
        <f aca="false">IF(C29-$K$5&gt;0,C29-$K$5,0)</f>
        <v>0</v>
      </c>
      <c r="I29" s="169" t="n">
        <f aca="false">D29-E29+F29+G29+H29</f>
        <v>30749.65</v>
      </c>
      <c r="J29" s="74" t="n">
        <f aca="false">C29=I29</f>
        <v>1</v>
      </c>
    </row>
    <row r="30" customFormat="false" ht="17.1" hidden="false" customHeight="true" outlineLevel="0" collapsed="false">
      <c r="A30" s="96"/>
      <c r="B30" s="258" t="n">
        <f aca="false">B29+1</f>
        <v>37180</v>
      </c>
      <c r="C30" s="136" t="n">
        <f aca="false">'VNG Sheet'!AQ30</f>
        <v>34507.65</v>
      </c>
      <c r="D30" s="259" t="n">
        <f aca="false">D29</f>
        <v>15771</v>
      </c>
      <c r="E30" s="259" t="n">
        <f aca="false">IF(C30&lt;$G$4,$G$4-C30,0)</f>
        <v>0</v>
      </c>
      <c r="F30" s="259" t="n">
        <f aca="false">IF(E30=0,IF((C30-D30)&lt;=$G$5,C30-D30,$G$5),0)</f>
        <v>2257.43009601776</v>
      </c>
      <c r="G30" s="259" t="n">
        <f aca="false">IF(F30&gt;0,IF((C30-D30-F30)&gt;$G$12,$G$12,(C30-D30-F30)),0)</f>
        <v>16479.2199039822</v>
      </c>
      <c r="H30" s="259" t="n">
        <f aca="false">IF(C30-$K$5&gt;0,C30-$K$5,0)</f>
        <v>0</v>
      </c>
      <c r="I30" s="169" t="n">
        <f aca="false">D30-E30+F30+G30+H30</f>
        <v>34507.65</v>
      </c>
      <c r="J30" s="74" t="n">
        <f aca="false">C30=I30</f>
        <v>1</v>
      </c>
    </row>
    <row r="31" customFormat="false" ht="17.1" hidden="false" customHeight="true" outlineLevel="0" collapsed="false">
      <c r="A31" s="96"/>
      <c r="B31" s="258" t="n">
        <f aca="false">B30+1</f>
        <v>37181</v>
      </c>
      <c r="C31" s="136" t="n">
        <f aca="false">'VNG Sheet'!AQ31</f>
        <v>60077.65</v>
      </c>
      <c r="D31" s="259" t="n">
        <f aca="false">D30</f>
        <v>15771</v>
      </c>
      <c r="E31" s="259" t="n">
        <f aca="false">IF(C31&lt;$G$4,$G$4-C31,0)</f>
        <v>0</v>
      </c>
      <c r="F31" s="259" t="n">
        <f aca="false">IF(E31=0,IF((C31-D31)&lt;=$G$5,C31-D31,$G$5),0)</f>
        <v>2257.43009601776</v>
      </c>
      <c r="G31" s="259" t="n">
        <f aca="false">IF(F31&gt;0,IF((C31-D31-F31)&gt;$G$12,$G$12,(C31-D31-F31)),0)</f>
        <v>42049.2199039822</v>
      </c>
      <c r="H31" s="259" t="n">
        <f aca="false">IF(C31-$K$5&gt;0,C31-$K$5,0)</f>
        <v>0</v>
      </c>
      <c r="I31" s="169" t="n">
        <f aca="false">D31-E31+F31+G31+H31</f>
        <v>60077.65</v>
      </c>
      <c r="J31" s="74" t="n">
        <f aca="false">C31=I31</f>
        <v>1</v>
      </c>
    </row>
    <row r="32" customFormat="false" ht="17.1" hidden="false" customHeight="true" outlineLevel="0" collapsed="false">
      <c r="A32" s="96"/>
      <c r="B32" s="258" t="n">
        <f aca="false">B31+1</f>
        <v>37182</v>
      </c>
      <c r="C32" s="136" t="n">
        <f aca="false">'VNG Sheet'!AQ32</f>
        <v>77413.65</v>
      </c>
      <c r="D32" s="259" t="n">
        <f aca="false">D31</f>
        <v>15771</v>
      </c>
      <c r="E32" s="259" t="n">
        <f aca="false">IF(C32&lt;$G$4,$G$4-C32,0)</f>
        <v>0</v>
      </c>
      <c r="F32" s="259" t="n">
        <f aca="false">IF(E32=0,IF((C32-D32)&lt;=$G$5,C32-D32,$G$5),0)</f>
        <v>2257.43009601776</v>
      </c>
      <c r="G32" s="259" t="n">
        <f aca="false">IF(F32&gt;0,IF((C32-D32-F32)&gt;$G$12,$G$12,(C32-D32-F32)),0)</f>
        <v>59385.2199039822</v>
      </c>
      <c r="H32" s="259" t="n">
        <f aca="false">IF(C32-$K$5&gt;0,C32-$K$5,0)</f>
        <v>0</v>
      </c>
      <c r="I32" s="169" t="n">
        <f aca="false">D32-E32+F32+G32+H32</f>
        <v>77413.65</v>
      </c>
      <c r="J32" s="74" t="n">
        <f aca="false">C32=I32</f>
        <v>1</v>
      </c>
    </row>
    <row r="33" customFormat="false" ht="17.1" hidden="false" customHeight="true" outlineLevel="0" collapsed="false">
      <c r="A33" s="96"/>
      <c r="B33" s="258" t="n">
        <f aca="false">B32+1</f>
        <v>37183</v>
      </c>
      <c r="C33" s="136" t="n">
        <f aca="false">'VNG Sheet'!AQ33</f>
        <v>45776.65</v>
      </c>
      <c r="D33" s="259" t="n">
        <f aca="false">D32</f>
        <v>15771</v>
      </c>
      <c r="E33" s="259" t="n">
        <f aca="false">IF(C33&lt;$G$4,$G$4-C33,0)</f>
        <v>0</v>
      </c>
      <c r="F33" s="259" t="n">
        <f aca="false">IF(E33=0,IF((C33-D33)&lt;=$G$5,C33-D33,$G$5),0)</f>
        <v>2257.43009601776</v>
      </c>
      <c r="G33" s="259" t="n">
        <f aca="false">IF(F33&gt;0,IF((C33-D33-F33)&gt;$G$12,$G$12,(C33-D33-F33)),0)</f>
        <v>27748.2199039822</v>
      </c>
      <c r="H33" s="259" t="n">
        <f aca="false">IF(C33-$K$5&gt;0,C33-$K$5,0)</f>
        <v>0</v>
      </c>
      <c r="I33" s="169" t="n">
        <f aca="false">D33-E33+F33+G33+H33</f>
        <v>45776.65</v>
      </c>
      <c r="J33" s="74" t="n">
        <f aca="false">C33=I33</f>
        <v>1</v>
      </c>
    </row>
    <row r="34" customFormat="false" ht="17.1" hidden="false" customHeight="true" outlineLevel="0" collapsed="false">
      <c r="A34" s="96"/>
      <c r="B34" s="258" t="n">
        <f aca="false">B33+1</f>
        <v>37184</v>
      </c>
      <c r="C34" s="136" t="n">
        <f aca="false">'VNG Sheet'!AQ34</f>
        <v>33840.65</v>
      </c>
      <c r="D34" s="259" t="n">
        <f aca="false">D33</f>
        <v>15771</v>
      </c>
      <c r="E34" s="259" t="n">
        <f aca="false">IF(C34&lt;$G$4,$G$4-C34,0)</f>
        <v>0</v>
      </c>
      <c r="F34" s="259" t="n">
        <f aca="false">IF(E34=0,IF((C34-D34)&lt;=$G$5,C34-D34,$G$5),0)</f>
        <v>2257.43009601776</v>
      </c>
      <c r="G34" s="259" t="n">
        <f aca="false">IF(F34&gt;0,IF((C34-D34-F34)&gt;$G$12,$G$12,(C34-D34-F34)),0)</f>
        <v>15812.2199039822</v>
      </c>
      <c r="H34" s="259" t="n">
        <f aca="false">IF(C34-$K$5&gt;0,C34-$K$5,0)</f>
        <v>0</v>
      </c>
      <c r="I34" s="169" t="n">
        <f aca="false">D34-E34+F34+G34+H34</f>
        <v>33840.65</v>
      </c>
      <c r="J34" s="74" t="n">
        <f aca="false">C34=I34</f>
        <v>1</v>
      </c>
    </row>
    <row r="35" customFormat="false" ht="17.1" hidden="false" customHeight="true" outlineLevel="0" collapsed="false">
      <c r="A35" s="96"/>
      <c r="B35" s="258" t="n">
        <f aca="false">B34+1</f>
        <v>37185</v>
      </c>
      <c r="C35" s="136" t="n">
        <f aca="false">'VNG Sheet'!AQ35</f>
        <v>24472.65</v>
      </c>
      <c r="D35" s="259" t="n">
        <f aca="false">D34</f>
        <v>15771</v>
      </c>
      <c r="E35" s="259" t="n">
        <f aca="false">IF(C35&lt;$G$4,$G$4-C35,0)</f>
        <v>0</v>
      </c>
      <c r="F35" s="259" t="n">
        <f aca="false">IF(E35=0,IF((C35-D35)&lt;=$G$5,C35-D35,$G$5),0)</f>
        <v>2257.43009601776</v>
      </c>
      <c r="G35" s="259" t="n">
        <f aca="false">IF(F35&gt;0,IF((C35-D35-F35)&gt;$G$12,$G$12,(C35-D35-F35)),0)</f>
        <v>6444.21990398224</v>
      </c>
      <c r="H35" s="259" t="n">
        <f aca="false">IF(C35-$K$5&gt;0,C35-$K$5,0)</f>
        <v>0</v>
      </c>
      <c r="I35" s="169" t="n">
        <f aca="false">D35-E35+F35+G35+H35</f>
        <v>24472.65</v>
      </c>
      <c r="J35" s="74" t="n">
        <f aca="false">C35=I35</f>
        <v>1</v>
      </c>
    </row>
    <row r="36" customFormat="false" ht="17.1" hidden="false" customHeight="true" outlineLevel="0" collapsed="false">
      <c r="A36" s="96"/>
      <c r="B36" s="258" t="n">
        <f aca="false">B35+1</f>
        <v>37186</v>
      </c>
      <c r="C36" s="136" t="n">
        <f aca="false">'VNG Sheet'!AQ36</f>
        <v>28508.65</v>
      </c>
      <c r="D36" s="259" t="n">
        <f aca="false">D35</f>
        <v>15771</v>
      </c>
      <c r="E36" s="259" t="n">
        <f aca="false">IF(C36&lt;$G$4,$G$4-C36,0)</f>
        <v>0</v>
      </c>
      <c r="F36" s="259" t="n">
        <f aca="false">IF(E36=0,IF((C36-D36)&lt;=$G$5,C36-D36,$G$5),0)</f>
        <v>2257.43009601776</v>
      </c>
      <c r="G36" s="259" t="n">
        <f aca="false">IF(F36&gt;0,IF((C36-D36-F36)&gt;$G$12,$G$12,(C36-D36-F36)),0)</f>
        <v>10480.2199039822</v>
      </c>
      <c r="H36" s="259" t="n">
        <f aca="false">IF(C36-$K$5&gt;0,C36-$K$5,0)</f>
        <v>0</v>
      </c>
      <c r="I36" s="169" t="n">
        <f aca="false">D36-E36+F36+G36+H36</f>
        <v>28508.65</v>
      </c>
      <c r="J36" s="74" t="n">
        <f aca="false">C36=I36</f>
        <v>1</v>
      </c>
    </row>
    <row r="37" customFormat="false" ht="17.1" hidden="false" customHeight="true" outlineLevel="0" collapsed="false">
      <c r="A37" s="96"/>
      <c r="B37" s="258" t="n">
        <f aca="false">B36+1</f>
        <v>37187</v>
      </c>
      <c r="C37" s="136" t="n">
        <f aca="false">'VNG Sheet'!AQ37</f>
        <v>26603.65</v>
      </c>
      <c r="D37" s="259" t="n">
        <f aca="false">D36</f>
        <v>15771</v>
      </c>
      <c r="E37" s="259" t="n">
        <f aca="false">IF(C37&lt;$G$4,$G$4-C37,0)</f>
        <v>0</v>
      </c>
      <c r="F37" s="259" t="n">
        <f aca="false">IF(E37=0,IF((C37-D37)&lt;=$G$5,C37-D37,$G$5),0)</f>
        <v>2257.43009601776</v>
      </c>
      <c r="G37" s="259" t="n">
        <f aca="false">IF(F37&gt;0,IF((C37-D37-F37)&gt;$G$12,$G$12,(C37-D37-F37)),0)</f>
        <v>8575.21990398224</v>
      </c>
      <c r="H37" s="259" t="n">
        <f aca="false">IF(C37-$K$5&gt;0,C37-$K$5,0)</f>
        <v>0</v>
      </c>
      <c r="I37" s="169" t="n">
        <f aca="false">D37-E37+F37+G37+H37</f>
        <v>26603.65</v>
      </c>
      <c r="J37" s="74" t="n">
        <f aca="false">C37=I37</f>
        <v>1</v>
      </c>
    </row>
    <row r="38" customFormat="false" ht="17.1" hidden="false" customHeight="true" outlineLevel="0" collapsed="false">
      <c r="A38" s="96"/>
      <c r="B38" s="258" t="n">
        <f aca="false">B37+1</f>
        <v>37188</v>
      </c>
      <c r="C38" s="136" t="n">
        <f aca="false">'VNG Sheet'!AQ38</f>
        <v>25198.65</v>
      </c>
      <c r="D38" s="259" t="n">
        <f aca="false">D37</f>
        <v>15771</v>
      </c>
      <c r="E38" s="259" t="n">
        <f aca="false">IF(C38&lt;$G$4,$G$4-C38,0)</f>
        <v>0</v>
      </c>
      <c r="F38" s="259" t="n">
        <f aca="false">IF(E38=0,IF((C38-D38)&lt;=$G$5,C38-D38,$G$5),0)</f>
        <v>2257.43009601776</v>
      </c>
      <c r="G38" s="259" t="n">
        <f aca="false">IF(F38&gt;0,IF((C38-D38-F38)&gt;$G$12,$G$12,(C38-D38-F38)),0)</f>
        <v>7170.21990398224</v>
      </c>
      <c r="H38" s="259" t="n">
        <f aca="false">IF(C38-$K$5&gt;0,C38-$K$5,0)</f>
        <v>0</v>
      </c>
      <c r="I38" s="169" t="n">
        <f aca="false">D38-E38+F38+G38+H38</f>
        <v>25198.65</v>
      </c>
      <c r="J38" s="74" t="n">
        <f aca="false">C38=I38</f>
        <v>1</v>
      </c>
    </row>
    <row r="39" customFormat="false" ht="17.1" hidden="false" customHeight="true" outlineLevel="0" collapsed="false">
      <c r="A39" s="96"/>
      <c r="B39" s="258" t="n">
        <f aca="false">B38+1</f>
        <v>37189</v>
      </c>
      <c r="C39" s="136" t="n">
        <f aca="false">'VNG Sheet'!AQ39</f>
        <v>28666.65</v>
      </c>
      <c r="D39" s="259" t="n">
        <f aca="false">D38</f>
        <v>15771</v>
      </c>
      <c r="E39" s="259" t="n">
        <f aca="false">IF(C39&lt;$G$4,$G$4-C39,0)</f>
        <v>0</v>
      </c>
      <c r="F39" s="259" t="n">
        <f aca="false">IF(E39=0,IF((C39-D39)&lt;=$G$5,C39-D39,$G$5),0)</f>
        <v>2257.43009601776</v>
      </c>
      <c r="G39" s="259" t="n">
        <f aca="false">IF(F39&gt;0,IF((C39-D39-F39)&gt;$G$12,$G$12,(C39-D39-F39)),0)</f>
        <v>10638.2199039822</v>
      </c>
      <c r="H39" s="259" t="n">
        <f aca="false">IF(C39-$K$5&gt;0,C39-$K$5,0)</f>
        <v>0</v>
      </c>
      <c r="I39" s="169" t="n">
        <f aca="false">D39-E39+F39+G39+H39</f>
        <v>28666.65</v>
      </c>
      <c r="J39" s="74" t="n">
        <f aca="false">C39=I39</f>
        <v>1</v>
      </c>
    </row>
    <row r="40" customFormat="false" ht="17.1" hidden="false" customHeight="true" outlineLevel="0" collapsed="false">
      <c r="A40" s="96"/>
      <c r="B40" s="258" t="n">
        <f aca="false">B39+1</f>
        <v>37190</v>
      </c>
      <c r="C40" s="136" t="n">
        <f aca="false">'VNG Sheet'!AQ40</f>
        <v>67799.65</v>
      </c>
      <c r="D40" s="259" t="n">
        <f aca="false">D39</f>
        <v>15771</v>
      </c>
      <c r="E40" s="259" t="n">
        <f aca="false">IF(C40&lt;$G$4,$G$4-C40,0)</f>
        <v>0</v>
      </c>
      <c r="F40" s="259" t="n">
        <f aca="false">IF(E40=0,IF((C40-D40)&lt;=$G$5,C40-D40,$G$5),0)</f>
        <v>2257.43009601776</v>
      </c>
      <c r="G40" s="259" t="n">
        <f aca="false">IF(F40&gt;0,IF((C40-D40-F40)&gt;$G$12,$G$12,(C40-D40-F40)),0)</f>
        <v>49771.2199039822</v>
      </c>
      <c r="H40" s="259" t="n">
        <f aca="false">IF(C40-$K$5&gt;0,C40-$K$5,0)</f>
        <v>0</v>
      </c>
      <c r="I40" s="169" t="n">
        <f aca="false">D40-E40+F40+G40+H40</f>
        <v>67799.65</v>
      </c>
      <c r="J40" s="74" t="n">
        <f aca="false">C40=I40</f>
        <v>1</v>
      </c>
    </row>
    <row r="41" customFormat="false" ht="17.1" hidden="false" customHeight="true" outlineLevel="0" collapsed="false">
      <c r="A41" s="96"/>
      <c r="B41" s="258" t="n">
        <f aca="false">B40+1</f>
        <v>37191</v>
      </c>
      <c r="C41" s="136" t="n">
        <f aca="false">'VNG Sheet'!AQ41</f>
        <v>92388.65</v>
      </c>
      <c r="D41" s="259" t="n">
        <f aca="false">D40</f>
        <v>15771</v>
      </c>
      <c r="E41" s="259" t="n">
        <f aca="false">IF(C41&lt;$G$4,$G$4-C41,0)</f>
        <v>0</v>
      </c>
      <c r="F41" s="259" t="n">
        <f aca="false">IF(E41=0,IF((C41-D41)&lt;=$G$5,C41-D41,$G$5),0)</f>
        <v>2257.43009601776</v>
      </c>
      <c r="G41" s="259" t="n">
        <f aca="false">IF(F41&gt;0,IF((C41-D41-F41)&gt;$G$12,$G$12,(C41-D41-F41)),0)</f>
        <v>74360.2199039822</v>
      </c>
      <c r="H41" s="259" t="n">
        <f aca="false">IF(C41-$K$5&gt;0,C41-$K$5,0)</f>
        <v>0</v>
      </c>
      <c r="I41" s="169" t="n">
        <f aca="false">D41-E41+F41+G41+H41</f>
        <v>92388.65</v>
      </c>
      <c r="J41" s="74" t="n">
        <f aca="false">C41=I41</f>
        <v>1</v>
      </c>
    </row>
    <row r="42" customFormat="false" ht="17.1" hidden="false" customHeight="true" outlineLevel="0" collapsed="false">
      <c r="A42" s="96"/>
      <c r="B42" s="258" t="n">
        <f aca="false">B41+1</f>
        <v>37192</v>
      </c>
      <c r="C42" s="136" t="n">
        <f aca="false">'VNG Sheet'!AQ42</f>
        <v>97509.65</v>
      </c>
      <c r="D42" s="259" t="n">
        <f aca="false">D41</f>
        <v>15771</v>
      </c>
      <c r="E42" s="259" t="n">
        <f aca="false">IF(C42&lt;$G$4,$G$4-C42,0)</f>
        <v>0</v>
      </c>
      <c r="F42" s="259" t="n">
        <f aca="false">IF(E42=0,IF((C42-D42)&lt;=$G$5,C42-D42,$G$5),0)</f>
        <v>2257.43009601776</v>
      </c>
      <c r="G42" s="259" t="n">
        <f aca="false">IF(F42&gt;0,IF((C42-D42-F42)&gt;$G$12,$G$12,(C42-D42-F42)),0)</f>
        <v>79481.2199039822</v>
      </c>
      <c r="H42" s="259" t="n">
        <f aca="false">IF(C42-$K$5&gt;0,C42-$K$5,0)</f>
        <v>0</v>
      </c>
      <c r="I42" s="169" t="n">
        <f aca="false">D42-E42+F42+G42+H42</f>
        <v>97509.65</v>
      </c>
      <c r="J42" s="74" t="n">
        <f aca="false">C42=I42</f>
        <v>1</v>
      </c>
    </row>
    <row r="43" customFormat="false" ht="17.1" hidden="false" customHeight="true" outlineLevel="0" collapsed="false">
      <c r="A43" s="96"/>
      <c r="B43" s="258" t="n">
        <f aca="false">B42+1</f>
        <v>37193</v>
      </c>
      <c r="C43" s="136" t="n">
        <f aca="false">'VNG Sheet'!AQ43</f>
        <v>91032.65</v>
      </c>
      <c r="D43" s="259" t="n">
        <f aca="false">D42</f>
        <v>15771</v>
      </c>
      <c r="E43" s="259" t="n">
        <f aca="false">IF(C43&lt;$G$4,$G$4-C43,0)</f>
        <v>0</v>
      </c>
      <c r="F43" s="259" t="n">
        <f aca="false">IF(E43=0,IF((C43-D43)&lt;=$G$5,C43-D43,$G$5),0)</f>
        <v>2257.43009601776</v>
      </c>
      <c r="G43" s="259" t="n">
        <f aca="false">IF(F43&gt;0,IF((C43-D43-F43)&gt;$G$12,$G$12,(C43-D43-F43)),0)</f>
        <v>73004.2199039822</v>
      </c>
      <c r="H43" s="259" t="n">
        <f aca="false">IF(C43-$K$5&gt;0,C43-$K$5,0)</f>
        <v>0</v>
      </c>
      <c r="I43" s="169" t="n">
        <f aca="false">D43-E43+F43+G43+H43</f>
        <v>91032.65</v>
      </c>
      <c r="J43" s="74" t="n">
        <f aca="false">C43=I43</f>
        <v>1</v>
      </c>
    </row>
    <row r="44" customFormat="false" ht="17.1" hidden="false" customHeight="true" outlineLevel="0" collapsed="false">
      <c r="A44" s="96"/>
      <c r="B44" s="258" t="n">
        <f aca="false">B43+1</f>
        <v>37194</v>
      </c>
      <c r="C44" s="136" t="n">
        <f aca="false">'VNG Sheet'!AQ44</f>
        <v>64529.65</v>
      </c>
      <c r="D44" s="259" t="n">
        <f aca="false">D43</f>
        <v>15771</v>
      </c>
      <c r="E44" s="259" t="n">
        <f aca="false">IF(C44&lt;$G$4,$G$4-C44,0)</f>
        <v>0</v>
      </c>
      <c r="F44" s="259" t="n">
        <f aca="false">IF(E44=0,IF((C44-D44)&lt;=$G$5,C44-D44,$G$5),0)</f>
        <v>2257.43009601776</v>
      </c>
      <c r="G44" s="259" t="n">
        <f aca="false">IF(F44&gt;0,IF((C44-D44-F44)&gt;$G$12,$G$12,(C44-D44-F44)),0)</f>
        <v>46501.2199039822</v>
      </c>
      <c r="H44" s="259" t="n">
        <f aca="false">IF(C44-$K$5&gt;0,C44-$K$5,0)</f>
        <v>0</v>
      </c>
      <c r="I44" s="169" t="n">
        <f aca="false">D44-E44+F44+G44+H44</f>
        <v>64529.65</v>
      </c>
      <c r="J44" s="74" t="n">
        <f aca="false">C44=I44</f>
        <v>1</v>
      </c>
    </row>
    <row r="45" customFormat="false" ht="17.1" hidden="false" customHeight="true" outlineLevel="0" collapsed="false">
      <c r="A45" s="96"/>
      <c r="B45" s="258" t="n">
        <f aca="false">B44+1</f>
        <v>37195</v>
      </c>
      <c r="C45" s="136" t="n">
        <f aca="false">'VNG Sheet'!AQ45</f>
        <v>23905.65</v>
      </c>
      <c r="D45" s="259" t="n">
        <f aca="false">D44</f>
        <v>15771</v>
      </c>
      <c r="E45" s="259" t="n">
        <f aca="false">IF(C45&lt;$G$4,$G$4-C45,0)</f>
        <v>0</v>
      </c>
      <c r="F45" s="259" t="n">
        <f aca="false">IF(E45=0,IF((C45-D45)&lt;=$G$5,C45-D45,$G$5),0)</f>
        <v>2257.43009601776</v>
      </c>
      <c r="G45" s="259" t="n">
        <f aca="false">IF(F45&gt;0,IF((C45-D45-F45)&gt;$G$12,$G$12,(C45-D45-F45)),0)</f>
        <v>5877.21990398223</v>
      </c>
      <c r="H45" s="259" t="n">
        <f aca="false">IF(C45-$K$5&gt;0,C45-$K$5,0)</f>
        <v>0</v>
      </c>
      <c r="I45" s="169" t="n">
        <f aca="false">D45-E45+F45+G45+H45</f>
        <v>23905.65</v>
      </c>
      <c r="J45" s="74" t="n">
        <f aca="false">C45=I45</f>
        <v>1</v>
      </c>
    </row>
    <row r="46" customFormat="false" ht="15" hidden="false" customHeight="true" outlineLevel="0" collapsed="false">
      <c r="A46" s="96"/>
      <c r="B46" s="243"/>
      <c r="F46" s="158"/>
      <c r="G46" s="168"/>
    </row>
    <row r="47" customFormat="false" ht="12.95" hidden="false" customHeight="true" outlineLevel="0" collapsed="false">
      <c r="A47" s="96"/>
      <c r="B47" s="243"/>
      <c r="F47" s="158"/>
      <c r="G47" s="168"/>
    </row>
    <row r="48" customFormat="false" ht="12.95" hidden="false" customHeight="true" outlineLevel="0" collapsed="false">
      <c r="A48" s="96"/>
      <c r="B48" s="260" t="s">
        <v>26</v>
      </c>
      <c r="C48" s="261" t="n">
        <f aca="false">SUM(C15:C45)</f>
        <v>1325112.15</v>
      </c>
      <c r="D48" s="261" t="n">
        <f aca="false">SUM(D15:D45)</f>
        <v>488901</v>
      </c>
      <c r="E48" s="261" t="n">
        <f aca="false">SUM(E15:E45)</f>
        <v>0</v>
      </c>
      <c r="F48" s="261" t="n">
        <f aca="false">SUM(F15:F45)</f>
        <v>69980.3329765506</v>
      </c>
      <c r="G48" s="261" t="n">
        <f aca="false">SUM(G15:G45)</f>
        <v>766230.817023449</v>
      </c>
      <c r="H48" s="261" t="n">
        <f aca="false">SUM(H15:H45)</f>
        <v>0</v>
      </c>
      <c r="I48" s="262" t="n">
        <f aca="false">SUM(I15:I45)</f>
        <v>1325112.15</v>
      </c>
    </row>
    <row r="49" customFormat="false" ht="12.95" hidden="false" customHeight="true" outlineLevel="0" collapsed="false">
      <c r="A49" s="96"/>
      <c r="B49" s="243"/>
      <c r="F49" s="158"/>
      <c r="G49" s="168"/>
    </row>
    <row r="50" customFormat="false" ht="15.75" hidden="false" customHeight="false" outlineLevel="0" collapsed="false">
      <c r="A50" s="96"/>
      <c r="B50" s="243"/>
      <c r="F50" s="158"/>
      <c r="G50" s="168"/>
    </row>
    <row r="51" customFormat="false" ht="15.75" hidden="false" customHeight="false" outlineLevel="0" collapsed="false">
      <c r="A51" s="96"/>
      <c r="B51" s="243"/>
      <c r="D51" s="150"/>
      <c r="E51" s="168"/>
      <c r="F51" s="15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68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  <c r="IP51" s="168"/>
      <c r="IQ51" s="168"/>
      <c r="IR51" s="168"/>
      <c r="IS51" s="168"/>
      <c r="IT51" s="168"/>
      <c r="IU51" s="168"/>
      <c r="IV51" s="168"/>
      <c r="IW51" s="168"/>
    </row>
    <row r="52" customFormat="false" ht="15.75" hidden="false" customHeight="false" outlineLevel="0" collapsed="false">
      <c r="A52" s="96"/>
      <c r="B52" s="243"/>
      <c r="D52" s="150"/>
      <c r="E52" s="168"/>
      <c r="F52" s="15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168"/>
      <c r="DO52" s="168"/>
      <c r="DP52" s="168"/>
      <c r="DQ52" s="168"/>
      <c r="DR52" s="168"/>
      <c r="DS52" s="168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  <c r="FU52" s="168"/>
      <c r="FV52" s="168"/>
      <c r="FW52" s="168"/>
      <c r="FX52" s="168"/>
      <c r="FY52" s="168"/>
      <c r="FZ52" s="168"/>
      <c r="GA52" s="168"/>
      <c r="GB52" s="168"/>
      <c r="GC52" s="168"/>
      <c r="GD52" s="168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  <c r="GO52" s="168"/>
      <c r="GP52" s="168"/>
      <c r="GQ52" s="168"/>
      <c r="GR52" s="168"/>
      <c r="GS52" s="168"/>
      <c r="GT52" s="168"/>
      <c r="GU52" s="168"/>
      <c r="GV52" s="168"/>
      <c r="GW52" s="168"/>
      <c r="GX52" s="168"/>
      <c r="GY52" s="168"/>
      <c r="GZ52" s="168"/>
      <c r="HA52" s="168"/>
      <c r="HB52" s="168"/>
      <c r="HC52" s="168"/>
      <c r="HD52" s="168"/>
      <c r="HE52" s="168"/>
      <c r="HF52" s="168"/>
      <c r="HG52" s="168"/>
      <c r="HH52" s="168"/>
      <c r="HI52" s="168"/>
      <c r="HJ52" s="168"/>
      <c r="HK52" s="168"/>
      <c r="HL52" s="168"/>
      <c r="HM52" s="168"/>
      <c r="HN52" s="168"/>
      <c r="HO52" s="168"/>
      <c r="HP52" s="168"/>
      <c r="HQ52" s="168"/>
      <c r="HR52" s="168"/>
      <c r="HS52" s="168"/>
      <c r="HT52" s="168"/>
      <c r="HU52" s="168"/>
      <c r="HV52" s="168"/>
      <c r="HW52" s="168"/>
      <c r="HX52" s="168"/>
      <c r="HY52" s="168"/>
      <c r="HZ52" s="168"/>
      <c r="IA52" s="168"/>
      <c r="IB52" s="168"/>
      <c r="IC52" s="168"/>
      <c r="ID52" s="168"/>
      <c r="IE52" s="168"/>
      <c r="IF52" s="168"/>
      <c r="IG52" s="168"/>
      <c r="IH52" s="168"/>
      <c r="II52" s="168"/>
      <c r="IJ52" s="168"/>
      <c r="IK52" s="168"/>
      <c r="IL52" s="168"/>
      <c r="IM52" s="168"/>
      <c r="IN52" s="168"/>
      <c r="IO52" s="168"/>
      <c r="IP52" s="168"/>
      <c r="IQ52" s="168"/>
      <c r="IR52" s="168"/>
      <c r="IS52" s="168"/>
      <c r="IT52" s="168"/>
      <c r="IU52" s="168"/>
      <c r="IV52" s="168"/>
      <c r="IW52" s="168"/>
    </row>
    <row r="53" customFormat="false" ht="15.75" hidden="false" customHeight="false" outlineLevel="0" collapsed="false">
      <c r="A53" s="96"/>
      <c r="B53" s="243"/>
      <c r="D53" s="150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</row>
    <row r="54" customFormat="false" ht="15.75" hidden="false" customHeight="false" outlineLevel="0" collapsed="false">
      <c r="A54" s="96"/>
      <c r="B54" s="243"/>
      <c r="D54" s="150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</row>
    <row r="55" customFormat="false" ht="15.75" hidden="false" customHeight="false" outlineLevel="0" collapsed="false">
      <c r="A55" s="96"/>
      <c r="B55" s="243"/>
      <c r="D55" s="150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</row>
    <row r="56" customFormat="false" ht="15.75" hidden="false" customHeight="false" outlineLevel="0" collapsed="false">
      <c r="A56" s="96"/>
      <c r="B56" s="243"/>
      <c r="D56" s="150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  <c r="GY56" s="168"/>
      <c r="GZ56" s="168"/>
      <c r="HA56" s="168"/>
      <c r="HB56" s="168"/>
      <c r="HC56" s="168"/>
      <c r="HD56" s="168"/>
      <c r="HE56" s="168"/>
      <c r="HF56" s="168"/>
      <c r="HG56" s="168"/>
      <c r="HH56" s="168"/>
      <c r="HI56" s="168"/>
      <c r="HJ56" s="168"/>
      <c r="HK56" s="168"/>
      <c r="HL56" s="168"/>
      <c r="HM56" s="168"/>
      <c r="HN56" s="168"/>
      <c r="HO56" s="168"/>
      <c r="HP56" s="168"/>
      <c r="HQ56" s="168"/>
      <c r="HR56" s="168"/>
      <c r="HS56" s="168"/>
      <c r="HT56" s="168"/>
      <c r="HU56" s="168"/>
      <c r="HV56" s="168"/>
      <c r="HW56" s="168"/>
      <c r="HX56" s="168"/>
      <c r="HY56" s="168"/>
      <c r="HZ56" s="168"/>
      <c r="IA56" s="168"/>
      <c r="IB56" s="168"/>
      <c r="IC56" s="168"/>
      <c r="ID56" s="168"/>
      <c r="IE56" s="168"/>
      <c r="IF56" s="168"/>
      <c r="IG56" s="168"/>
      <c r="IH56" s="168"/>
      <c r="II56" s="168"/>
      <c r="IJ56" s="168"/>
      <c r="IK56" s="168"/>
      <c r="IL56" s="168"/>
      <c r="IM56" s="168"/>
      <c r="IN56" s="168"/>
      <c r="IO56" s="168"/>
      <c r="IP56" s="168"/>
      <c r="IQ56" s="168"/>
      <c r="IR56" s="168"/>
      <c r="IS56" s="168"/>
      <c r="IT56" s="168"/>
      <c r="IU56" s="168"/>
      <c r="IV56" s="168"/>
      <c r="IW56" s="168"/>
    </row>
    <row r="57" customFormat="false" ht="15.75" hidden="false" customHeight="false" outlineLevel="0" collapsed="false">
      <c r="A57" s="96"/>
      <c r="B57" s="263"/>
      <c r="D57" s="150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8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8"/>
      <c r="EA57" s="168"/>
      <c r="EB57" s="168"/>
      <c r="EC57" s="168"/>
      <c r="ED57" s="168"/>
      <c r="EE57" s="168"/>
      <c r="EF57" s="168"/>
      <c r="EG57" s="168"/>
      <c r="EH57" s="168"/>
      <c r="EI57" s="168"/>
      <c r="EJ57" s="168"/>
      <c r="EK57" s="168"/>
      <c r="EL57" s="168"/>
      <c r="EM57" s="168"/>
      <c r="EN57" s="168"/>
      <c r="EO57" s="168"/>
      <c r="EP57" s="168"/>
      <c r="EQ57" s="168"/>
      <c r="ER57" s="168"/>
      <c r="ES57" s="168"/>
      <c r="ET57" s="168"/>
      <c r="EU57" s="168"/>
      <c r="EV57" s="168"/>
      <c r="EW57" s="168"/>
      <c r="EX57" s="168"/>
      <c r="EY57" s="168"/>
      <c r="EZ57" s="168"/>
      <c r="FA57" s="168"/>
      <c r="FB57" s="168"/>
      <c r="FC57" s="168"/>
      <c r="FD57" s="168"/>
      <c r="FE57" s="168"/>
      <c r="FF57" s="168"/>
      <c r="FG57" s="168"/>
      <c r="FH57" s="168"/>
      <c r="FI57" s="168"/>
      <c r="FJ57" s="168"/>
      <c r="FK57" s="168"/>
      <c r="FL57" s="168"/>
      <c r="FM57" s="168"/>
      <c r="FN57" s="168"/>
      <c r="FO57" s="168"/>
      <c r="FP57" s="168"/>
      <c r="FQ57" s="168"/>
      <c r="FR57" s="168"/>
      <c r="FS57" s="168"/>
      <c r="FT57" s="168"/>
      <c r="FU57" s="168"/>
      <c r="FV57" s="168"/>
      <c r="FW57" s="168"/>
      <c r="FX57" s="168"/>
      <c r="FY57" s="168"/>
      <c r="FZ57" s="168"/>
      <c r="GA57" s="168"/>
      <c r="GB57" s="168"/>
      <c r="GC57" s="168"/>
      <c r="GD57" s="168"/>
      <c r="GE57" s="168"/>
      <c r="GF57" s="168"/>
      <c r="GG57" s="168"/>
      <c r="GH57" s="168"/>
      <c r="GI57" s="168"/>
      <c r="GJ57" s="168"/>
      <c r="GK57" s="168"/>
      <c r="GL57" s="168"/>
      <c r="GM57" s="168"/>
      <c r="GN57" s="168"/>
      <c r="GO57" s="168"/>
      <c r="GP57" s="168"/>
      <c r="GQ57" s="168"/>
      <c r="GR57" s="168"/>
      <c r="GS57" s="168"/>
      <c r="GT57" s="168"/>
      <c r="GU57" s="168"/>
      <c r="GV57" s="168"/>
      <c r="GW57" s="168"/>
      <c r="GX57" s="168"/>
      <c r="GY57" s="168"/>
      <c r="GZ57" s="168"/>
      <c r="HA57" s="168"/>
      <c r="HB57" s="168"/>
      <c r="HC57" s="168"/>
      <c r="HD57" s="168"/>
      <c r="HE57" s="168"/>
      <c r="HF57" s="168"/>
      <c r="HG57" s="168"/>
      <c r="HH57" s="168"/>
      <c r="HI57" s="168"/>
      <c r="HJ57" s="168"/>
      <c r="HK57" s="168"/>
      <c r="HL57" s="168"/>
      <c r="HM57" s="168"/>
      <c r="HN57" s="168"/>
      <c r="HO57" s="168"/>
      <c r="HP57" s="168"/>
      <c r="HQ57" s="168"/>
      <c r="HR57" s="168"/>
      <c r="HS57" s="168"/>
      <c r="HT57" s="168"/>
      <c r="HU57" s="168"/>
      <c r="HV57" s="168"/>
      <c r="HW57" s="168"/>
      <c r="HX57" s="168"/>
      <c r="HY57" s="168"/>
      <c r="HZ57" s="168"/>
      <c r="IA57" s="168"/>
      <c r="IB57" s="168"/>
      <c r="IC57" s="168"/>
      <c r="ID57" s="168"/>
      <c r="IE57" s="168"/>
      <c r="IF57" s="168"/>
      <c r="IG57" s="168"/>
      <c r="IH57" s="168"/>
      <c r="II57" s="168"/>
      <c r="IJ57" s="168"/>
      <c r="IK57" s="168"/>
      <c r="IL57" s="168"/>
      <c r="IM57" s="168"/>
      <c r="IN57" s="168"/>
      <c r="IO57" s="168"/>
      <c r="IP57" s="168"/>
      <c r="IQ57" s="168"/>
      <c r="IR57" s="168"/>
      <c r="IS57" s="168"/>
      <c r="IT57" s="168"/>
      <c r="IU57" s="168"/>
      <c r="IV57" s="168"/>
      <c r="IW57" s="168"/>
    </row>
    <row r="58" customFormat="false" ht="15.75" hidden="false" customHeight="false" outlineLevel="0" collapsed="false">
      <c r="A58" s="96"/>
      <c r="B58" s="263"/>
      <c r="D58" s="150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  <c r="GY58" s="168"/>
      <c r="GZ58" s="168"/>
      <c r="HA58" s="168"/>
      <c r="HB58" s="168"/>
      <c r="HC58" s="168"/>
      <c r="HD58" s="168"/>
      <c r="HE58" s="168"/>
      <c r="HF58" s="168"/>
      <c r="HG58" s="168"/>
      <c r="HH58" s="168"/>
      <c r="HI58" s="168"/>
      <c r="HJ58" s="168"/>
      <c r="HK58" s="168"/>
      <c r="HL58" s="168"/>
      <c r="HM58" s="168"/>
      <c r="HN58" s="168"/>
      <c r="HO58" s="168"/>
      <c r="HP58" s="168"/>
      <c r="HQ58" s="168"/>
      <c r="HR58" s="168"/>
      <c r="HS58" s="168"/>
      <c r="HT58" s="168"/>
      <c r="HU58" s="168"/>
      <c r="HV58" s="168"/>
      <c r="HW58" s="168"/>
      <c r="HX58" s="168"/>
      <c r="HY58" s="168"/>
      <c r="HZ58" s="168"/>
      <c r="IA58" s="168"/>
      <c r="IB58" s="168"/>
      <c r="IC58" s="168"/>
      <c r="ID58" s="168"/>
      <c r="IE58" s="168"/>
      <c r="IF58" s="168"/>
      <c r="IG58" s="168"/>
      <c r="IH58" s="168"/>
      <c r="II58" s="168"/>
      <c r="IJ58" s="168"/>
      <c r="IK58" s="168"/>
      <c r="IL58" s="168"/>
      <c r="IM58" s="168"/>
      <c r="IN58" s="168"/>
      <c r="IO58" s="168"/>
      <c r="IP58" s="168"/>
      <c r="IQ58" s="168"/>
      <c r="IR58" s="168"/>
      <c r="IS58" s="168"/>
      <c r="IT58" s="168"/>
      <c r="IU58" s="168"/>
      <c r="IV58" s="168"/>
      <c r="IW58" s="168"/>
    </row>
    <row r="59" customFormat="false" ht="15.75" hidden="false" customHeight="false" outlineLevel="0" collapsed="false">
      <c r="A59" s="96"/>
      <c r="B59" s="263"/>
      <c r="D59" s="150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  <c r="GY59" s="168"/>
      <c r="GZ59" s="168"/>
      <c r="HA59" s="168"/>
      <c r="HB59" s="168"/>
      <c r="HC59" s="168"/>
      <c r="HD59" s="168"/>
      <c r="HE59" s="168"/>
      <c r="HF59" s="168"/>
      <c r="HG59" s="168"/>
      <c r="HH59" s="168"/>
      <c r="HI59" s="168"/>
      <c r="HJ59" s="168"/>
      <c r="HK59" s="168"/>
      <c r="HL59" s="168"/>
      <c r="HM59" s="168"/>
      <c r="HN59" s="168"/>
      <c r="HO59" s="168"/>
      <c r="HP59" s="168"/>
      <c r="HQ59" s="168"/>
      <c r="HR59" s="168"/>
      <c r="HS59" s="168"/>
      <c r="HT59" s="168"/>
      <c r="HU59" s="168"/>
      <c r="HV59" s="168"/>
      <c r="HW59" s="168"/>
      <c r="HX59" s="168"/>
      <c r="HY59" s="168"/>
      <c r="HZ59" s="168"/>
      <c r="IA59" s="168"/>
      <c r="IB59" s="168"/>
      <c r="IC59" s="168"/>
      <c r="ID59" s="168"/>
      <c r="IE59" s="168"/>
      <c r="IF59" s="168"/>
      <c r="IG59" s="168"/>
      <c r="IH59" s="168"/>
      <c r="II59" s="168"/>
      <c r="IJ59" s="168"/>
      <c r="IK59" s="168"/>
      <c r="IL59" s="168"/>
      <c r="IM59" s="168"/>
      <c r="IN59" s="168"/>
      <c r="IO59" s="168"/>
      <c r="IP59" s="168"/>
      <c r="IQ59" s="168"/>
      <c r="IR59" s="168"/>
      <c r="IS59" s="168"/>
      <c r="IT59" s="168"/>
      <c r="IU59" s="168"/>
      <c r="IV59" s="168"/>
      <c r="IW59" s="168"/>
    </row>
    <row r="60" customFormat="false" ht="15.75" hidden="false" customHeight="false" outlineLevel="0" collapsed="false">
      <c r="A60" s="96"/>
      <c r="B60" s="263"/>
      <c r="D60" s="150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  <c r="GY60" s="168"/>
      <c r="GZ60" s="168"/>
      <c r="HA60" s="168"/>
      <c r="HB60" s="168"/>
      <c r="HC60" s="168"/>
      <c r="HD60" s="168"/>
      <c r="HE60" s="168"/>
      <c r="HF60" s="168"/>
      <c r="HG60" s="168"/>
      <c r="HH60" s="168"/>
      <c r="HI60" s="168"/>
      <c r="HJ60" s="168"/>
      <c r="HK60" s="168"/>
      <c r="HL60" s="168"/>
      <c r="HM60" s="168"/>
      <c r="HN60" s="168"/>
      <c r="HO60" s="168"/>
      <c r="HP60" s="168"/>
      <c r="HQ60" s="168"/>
      <c r="HR60" s="168"/>
      <c r="HS60" s="168"/>
      <c r="HT60" s="168"/>
      <c r="HU60" s="168"/>
      <c r="HV60" s="168"/>
      <c r="HW60" s="168"/>
      <c r="HX60" s="168"/>
      <c r="HY60" s="168"/>
      <c r="HZ60" s="168"/>
      <c r="IA60" s="168"/>
      <c r="IB60" s="168"/>
      <c r="IC60" s="168"/>
      <c r="ID60" s="168"/>
      <c r="IE60" s="168"/>
      <c r="IF60" s="168"/>
      <c r="IG60" s="168"/>
      <c r="IH60" s="168"/>
      <c r="II60" s="168"/>
      <c r="IJ60" s="168"/>
      <c r="IK60" s="168"/>
      <c r="IL60" s="168"/>
      <c r="IM60" s="168"/>
      <c r="IN60" s="168"/>
      <c r="IO60" s="168"/>
      <c r="IP60" s="168"/>
      <c r="IQ60" s="168"/>
      <c r="IR60" s="168"/>
      <c r="IS60" s="168"/>
      <c r="IT60" s="168"/>
      <c r="IU60" s="168"/>
      <c r="IV60" s="168"/>
      <c r="IW60" s="168"/>
    </row>
    <row r="61" customFormat="false" ht="15.75" hidden="false" customHeight="false" outlineLevel="0" collapsed="false">
      <c r="A61" s="96"/>
      <c r="B61" s="263"/>
      <c r="D61" s="150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8"/>
      <c r="EF61" s="168"/>
      <c r="EG61" s="168"/>
      <c r="EH61" s="168"/>
      <c r="EI61" s="168"/>
      <c r="EJ61" s="168"/>
      <c r="EK61" s="168"/>
      <c r="EL61" s="168"/>
      <c r="EM61" s="168"/>
      <c r="EN61" s="168"/>
      <c r="EO61" s="168"/>
      <c r="EP61" s="168"/>
      <c r="EQ61" s="168"/>
      <c r="ER61" s="168"/>
      <c r="ES61" s="168"/>
      <c r="ET61" s="168"/>
      <c r="EU61" s="168"/>
      <c r="EV61" s="168"/>
      <c r="EW61" s="168"/>
      <c r="EX61" s="168"/>
      <c r="EY61" s="168"/>
      <c r="EZ61" s="168"/>
      <c r="FA61" s="168"/>
      <c r="FB61" s="168"/>
      <c r="FC61" s="168"/>
      <c r="FD61" s="168"/>
      <c r="FE61" s="168"/>
      <c r="FF61" s="168"/>
      <c r="FG61" s="168"/>
      <c r="FH61" s="168"/>
      <c r="FI61" s="168"/>
      <c r="FJ61" s="168"/>
      <c r="FK61" s="168"/>
      <c r="FL61" s="168"/>
      <c r="FM61" s="168"/>
      <c r="FN61" s="168"/>
      <c r="FO61" s="168"/>
      <c r="FP61" s="168"/>
      <c r="FQ61" s="168"/>
      <c r="FR61" s="168"/>
      <c r="FS61" s="168"/>
      <c r="FT61" s="168"/>
      <c r="FU61" s="168"/>
      <c r="FV61" s="168"/>
      <c r="FW61" s="168"/>
      <c r="FX61" s="168"/>
      <c r="FY61" s="168"/>
      <c r="FZ61" s="168"/>
      <c r="GA61" s="168"/>
      <c r="GB61" s="168"/>
      <c r="GC61" s="168"/>
      <c r="GD61" s="168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  <c r="GO61" s="168"/>
      <c r="GP61" s="168"/>
      <c r="GQ61" s="168"/>
      <c r="GR61" s="168"/>
      <c r="GS61" s="168"/>
      <c r="GT61" s="168"/>
      <c r="GU61" s="168"/>
      <c r="GV61" s="168"/>
      <c r="GW61" s="168"/>
      <c r="GX61" s="168"/>
      <c r="GY61" s="168"/>
      <c r="GZ61" s="168"/>
      <c r="HA61" s="168"/>
      <c r="HB61" s="168"/>
      <c r="HC61" s="168"/>
      <c r="HD61" s="168"/>
      <c r="HE61" s="168"/>
      <c r="HF61" s="168"/>
      <c r="HG61" s="168"/>
      <c r="HH61" s="168"/>
      <c r="HI61" s="168"/>
      <c r="HJ61" s="168"/>
      <c r="HK61" s="168"/>
      <c r="HL61" s="168"/>
      <c r="HM61" s="168"/>
      <c r="HN61" s="168"/>
      <c r="HO61" s="168"/>
      <c r="HP61" s="168"/>
      <c r="HQ61" s="168"/>
      <c r="HR61" s="168"/>
      <c r="HS61" s="168"/>
      <c r="HT61" s="168"/>
      <c r="HU61" s="168"/>
      <c r="HV61" s="168"/>
      <c r="HW61" s="168"/>
      <c r="HX61" s="168"/>
      <c r="HY61" s="168"/>
      <c r="HZ61" s="168"/>
      <c r="IA61" s="168"/>
      <c r="IB61" s="168"/>
      <c r="IC61" s="168"/>
      <c r="ID61" s="168"/>
      <c r="IE61" s="168"/>
      <c r="IF61" s="168"/>
      <c r="IG61" s="168"/>
      <c r="IH61" s="168"/>
      <c r="II61" s="168"/>
      <c r="IJ61" s="168"/>
      <c r="IK61" s="168"/>
      <c r="IL61" s="168"/>
      <c r="IM61" s="168"/>
      <c r="IN61" s="168"/>
      <c r="IO61" s="168"/>
      <c r="IP61" s="168"/>
      <c r="IQ61" s="168"/>
      <c r="IR61" s="168"/>
      <c r="IS61" s="168"/>
      <c r="IT61" s="168"/>
      <c r="IU61" s="168"/>
      <c r="IV61" s="168"/>
      <c r="IW61" s="168"/>
    </row>
    <row r="62" customFormat="false" ht="15.75" hidden="false" customHeight="false" outlineLevel="0" collapsed="false">
      <c r="A62" s="96"/>
      <c r="B62" s="263"/>
      <c r="D62" s="150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  <c r="GY62" s="168"/>
      <c r="GZ62" s="168"/>
      <c r="HA62" s="168"/>
      <c r="HB62" s="168"/>
      <c r="HC62" s="168"/>
      <c r="HD62" s="168"/>
      <c r="HE62" s="168"/>
      <c r="HF62" s="168"/>
      <c r="HG62" s="168"/>
      <c r="HH62" s="168"/>
      <c r="HI62" s="168"/>
      <c r="HJ62" s="168"/>
      <c r="HK62" s="168"/>
      <c r="HL62" s="168"/>
      <c r="HM62" s="168"/>
      <c r="HN62" s="168"/>
      <c r="HO62" s="168"/>
      <c r="HP62" s="168"/>
      <c r="HQ62" s="168"/>
      <c r="HR62" s="168"/>
      <c r="HS62" s="168"/>
      <c r="HT62" s="168"/>
      <c r="HU62" s="168"/>
      <c r="HV62" s="168"/>
      <c r="HW62" s="168"/>
      <c r="HX62" s="168"/>
      <c r="HY62" s="168"/>
      <c r="HZ62" s="168"/>
      <c r="IA62" s="168"/>
      <c r="IB62" s="168"/>
      <c r="IC62" s="168"/>
      <c r="ID62" s="168"/>
      <c r="IE62" s="168"/>
      <c r="IF62" s="168"/>
      <c r="IG62" s="168"/>
      <c r="IH62" s="168"/>
      <c r="II62" s="168"/>
      <c r="IJ62" s="168"/>
      <c r="IK62" s="168"/>
      <c r="IL62" s="168"/>
      <c r="IM62" s="168"/>
      <c r="IN62" s="168"/>
      <c r="IO62" s="168"/>
      <c r="IP62" s="168"/>
      <c r="IQ62" s="168"/>
      <c r="IR62" s="168"/>
      <c r="IS62" s="168"/>
      <c r="IT62" s="168"/>
      <c r="IU62" s="168"/>
      <c r="IV62" s="168"/>
      <c r="IW62" s="168"/>
    </row>
    <row r="63" customFormat="false" ht="15.75" hidden="false" customHeight="false" outlineLevel="0" collapsed="false">
      <c r="A63" s="96"/>
      <c r="B63" s="263"/>
      <c r="D63" s="150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  <c r="GY63" s="168"/>
      <c r="GZ63" s="168"/>
      <c r="HA63" s="168"/>
      <c r="HB63" s="168"/>
      <c r="HC63" s="168"/>
      <c r="HD63" s="168"/>
      <c r="HE63" s="168"/>
      <c r="HF63" s="168"/>
      <c r="HG63" s="168"/>
      <c r="HH63" s="168"/>
      <c r="HI63" s="168"/>
      <c r="HJ63" s="168"/>
      <c r="HK63" s="168"/>
      <c r="HL63" s="168"/>
      <c r="HM63" s="168"/>
      <c r="HN63" s="168"/>
      <c r="HO63" s="168"/>
      <c r="HP63" s="168"/>
      <c r="HQ63" s="168"/>
      <c r="HR63" s="168"/>
      <c r="HS63" s="168"/>
      <c r="HT63" s="168"/>
      <c r="HU63" s="168"/>
      <c r="HV63" s="168"/>
      <c r="HW63" s="168"/>
      <c r="HX63" s="168"/>
      <c r="HY63" s="168"/>
      <c r="HZ63" s="168"/>
      <c r="IA63" s="168"/>
      <c r="IB63" s="168"/>
      <c r="IC63" s="168"/>
      <c r="ID63" s="168"/>
      <c r="IE63" s="168"/>
      <c r="IF63" s="168"/>
      <c r="IG63" s="168"/>
      <c r="IH63" s="168"/>
      <c r="II63" s="168"/>
      <c r="IJ63" s="168"/>
      <c r="IK63" s="168"/>
      <c r="IL63" s="168"/>
      <c r="IM63" s="168"/>
      <c r="IN63" s="168"/>
      <c r="IO63" s="168"/>
      <c r="IP63" s="168"/>
      <c r="IQ63" s="168"/>
      <c r="IR63" s="168"/>
      <c r="IS63" s="168"/>
      <c r="IT63" s="168"/>
      <c r="IU63" s="168"/>
      <c r="IV63" s="168"/>
      <c r="IW63" s="168"/>
    </row>
    <row r="64" customFormat="false" ht="15.75" hidden="false" customHeight="false" outlineLevel="0" collapsed="false">
      <c r="A64" s="96"/>
      <c r="B64" s="263"/>
      <c r="D64" s="150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  <c r="GY64" s="168"/>
      <c r="GZ64" s="168"/>
      <c r="HA64" s="168"/>
      <c r="HB64" s="168"/>
      <c r="HC64" s="168"/>
      <c r="HD64" s="168"/>
      <c r="HE64" s="168"/>
      <c r="HF64" s="168"/>
      <c r="HG64" s="168"/>
      <c r="HH64" s="168"/>
      <c r="HI64" s="168"/>
      <c r="HJ64" s="168"/>
      <c r="HK64" s="168"/>
      <c r="HL64" s="168"/>
      <c r="HM64" s="168"/>
      <c r="HN64" s="168"/>
      <c r="HO64" s="168"/>
      <c r="HP64" s="168"/>
      <c r="HQ64" s="168"/>
      <c r="HR64" s="168"/>
      <c r="HS64" s="168"/>
      <c r="HT64" s="168"/>
      <c r="HU64" s="168"/>
      <c r="HV64" s="168"/>
      <c r="HW64" s="168"/>
      <c r="HX64" s="168"/>
      <c r="HY64" s="168"/>
      <c r="HZ64" s="168"/>
      <c r="IA64" s="168"/>
      <c r="IB64" s="168"/>
      <c r="IC64" s="168"/>
      <c r="ID64" s="168"/>
      <c r="IE64" s="168"/>
      <c r="IF64" s="168"/>
      <c r="IG64" s="168"/>
      <c r="IH64" s="168"/>
      <c r="II64" s="168"/>
      <c r="IJ64" s="168"/>
      <c r="IK64" s="168"/>
      <c r="IL64" s="168"/>
      <c r="IM64" s="168"/>
      <c r="IN64" s="168"/>
      <c r="IO64" s="168"/>
      <c r="IP64" s="168"/>
      <c r="IQ64" s="168"/>
      <c r="IR64" s="168"/>
      <c r="IS64" s="168"/>
      <c r="IT64" s="168"/>
      <c r="IU64" s="168"/>
      <c r="IV64" s="168"/>
      <c r="IW64" s="168"/>
    </row>
    <row r="65" customFormat="false" ht="15.75" hidden="false" customHeight="false" outlineLevel="0" collapsed="false">
      <c r="A65" s="96"/>
      <c r="B65" s="263"/>
      <c r="D65" s="150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  <c r="GY65" s="168"/>
      <c r="GZ65" s="168"/>
      <c r="HA65" s="168"/>
      <c r="HB65" s="168"/>
      <c r="HC65" s="168"/>
      <c r="HD65" s="168"/>
      <c r="HE65" s="168"/>
      <c r="HF65" s="168"/>
      <c r="HG65" s="168"/>
      <c r="HH65" s="168"/>
      <c r="HI65" s="168"/>
      <c r="HJ65" s="168"/>
      <c r="HK65" s="168"/>
      <c r="HL65" s="168"/>
      <c r="HM65" s="168"/>
      <c r="HN65" s="168"/>
      <c r="HO65" s="168"/>
      <c r="HP65" s="168"/>
      <c r="HQ65" s="168"/>
      <c r="HR65" s="168"/>
      <c r="HS65" s="168"/>
      <c r="HT65" s="168"/>
      <c r="HU65" s="168"/>
      <c r="HV65" s="168"/>
      <c r="HW65" s="168"/>
      <c r="HX65" s="168"/>
      <c r="HY65" s="168"/>
      <c r="HZ65" s="168"/>
      <c r="IA65" s="168"/>
      <c r="IB65" s="168"/>
      <c r="IC65" s="168"/>
      <c r="ID65" s="168"/>
      <c r="IE65" s="168"/>
      <c r="IF65" s="168"/>
      <c r="IG65" s="168"/>
      <c r="IH65" s="168"/>
      <c r="II65" s="168"/>
      <c r="IJ65" s="168"/>
      <c r="IK65" s="168"/>
      <c r="IL65" s="168"/>
      <c r="IM65" s="168"/>
      <c r="IN65" s="168"/>
      <c r="IO65" s="168"/>
      <c r="IP65" s="168"/>
      <c r="IQ65" s="168"/>
      <c r="IR65" s="168"/>
      <c r="IS65" s="168"/>
      <c r="IT65" s="168"/>
      <c r="IU65" s="168"/>
      <c r="IV65" s="168"/>
      <c r="IW65" s="168"/>
    </row>
    <row r="66" customFormat="false" ht="15.75" hidden="false" customHeight="false" outlineLevel="0" collapsed="false">
      <c r="A66" s="96"/>
      <c r="B66" s="263"/>
      <c r="D66" s="150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  <c r="GY66" s="168"/>
      <c r="GZ66" s="168"/>
      <c r="HA66" s="168"/>
      <c r="HB66" s="168"/>
      <c r="HC66" s="168"/>
      <c r="HD66" s="168"/>
      <c r="HE66" s="168"/>
      <c r="HF66" s="168"/>
      <c r="HG66" s="168"/>
      <c r="HH66" s="168"/>
      <c r="HI66" s="168"/>
      <c r="HJ66" s="168"/>
      <c r="HK66" s="168"/>
      <c r="HL66" s="168"/>
      <c r="HM66" s="168"/>
      <c r="HN66" s="168"/>
      <c r="HO66" s="168"/>
      <c r="HP66" s="168"/>
      <c r="HQ66" s="168"/>
      <c r="HR66" s="168"/>
      <c r="HS66" s="168"/>
      <c r="HT66" s="168"/>
      <c r="HU66" s="168"/>
      <c r="HV66" s="168"/>
      <c r="HW66" s="168"/>
      <c r="HX66" s="168"/>
      <c r="HY66" s="168"/>
      <c r="HZ66" s="168"/>
      <c r="IA66" s="168"/>
      <c r="IB66" s="168"/>
      <c r="IC66" s="168"/>
      <c r="ID66" s="168"/>
      <c r="IE66" s="168"/>
      <c r="IF66" s="168"/>
      <c r="IG66" s="168"/>
      <c r="IH66" s="168"/>
      <c r="II66" s="168"/>
      <c r="IJ66" s="168"/>
      <c r="IK66" s="168"/>
      <c r="IL66" s="168"/>
      <c r="IM66" s="168"/>
      <c r="IN66" s="168"/>
      <c r="IO66" s="168"/>
      <c r="IP66" s="168"/>
      <c r="IQ66" s="168"/>
      <c r="IR66" s="168"/>
      <c r="IS66" s="168"/>
      <c r="IT66" s="168"/>
      <c r="IU66" s="168"/>
      <c r="IV66" s="168"/>
      <c r="IW66" s="168"/>
    </row>
    <row r="67" customFormat="false" ht="15.75" hidden="false" customHeight="false" outlineLevel="0" collapsed="false">
      <c r="A67" s="96"/>
      <c r="B67" s="263"/>
      <c r="D67" s="150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  <c r="GY67" s="168"/>
      <c r="GZ67" s="168"/>
      <c r="HA67" s="168"/>
      <c r="HB67" s="168"/>
      <c r="HC67" s="168"/>
      <c r="HD67" s="168"/>
      <c r="HE67" s="168"/>
      <c r="HF67" s="168"/>
      <c r="HG67" s="168"/>
      <c r="HH67" s="168"/>
      <c r="HI67" s="168"/>
      <c r="HJ67" s="168"/>
      <c r="HK67" s="168"/>
      <c r="HL67" s="168"/>
      <c r="HM67" s="168"/>
      <c r="HN67" s="168"/>
      <c r="HO67" s="168"/>
      <c r="HP67" s="168"/>
      <c r="HQ67" s="168"/>
      <c r="HR67" s="168"/>
      <c r="HS67" s="168"/>
      <c r="HT67" s="168"/>
      <c r="HU67" s="168"/>
      <c r="HV67" s="168"/>
      <c r="HW67" s="168"/>
      <c r="HX67" s="168"/>
      <c r="HY67" s="168"/>
      <c r="HZ67" s="168"/>
      <c r="IA67" s="168"/>
      <c r="IB67" s="168"/>
      <c r="IC67" s="168"/>
      <c r="ID67" s="168"/>
      <c r="IE67" s="168"/>
      <c r="IF67" s="168"/>
      <c r="IG67" s="168"/>
      <c r="IH67" s="168"/>
      <c r="II67" s="168"/>
      <c r="IJ67" s="168"/>
      <c r="IK67" s="168"/>
      <c r="IL67" s="168"/>
      <c r="IM67" s="168"/>
      <c r="IN67" s="168"/>
      <c r="IO67" s="168"/>
      <c r="IP67" s="168"/>
      <c r="IQ67" s="168"/>
      <c r="IR67" s="168"/>
      <c r="IS67" s="168"/>
      <c r="IT67" s="168"/>
      <c r="IU67" s="168"/>
      <c r="IV67" s="168"/>
      <c r="IW67" s="168"/>
    </row>
    <row r="68" customFormat="false" ht="15.75" hidden="false" customHeight="false" outlineLevel="0" collapsed="false">
      <c r="A68" s="96"/>
      <c r="B68" s="263"/>
      <c r="D68" s="150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  <c r="GY68" s="168"/>
      <c r="GZ68" s="168"/>
      <c r="HA68" s="168"/>
      <c r="HB68" s="168"/>
      <c r="HC68" s="168"/>
      <c r="HD68" s="168"/>
      <c r="HE68" s="168"/>
      <c r="HF68" s="168"/>
      <c r="HG68" s="168"/>
      <c r="HH68" s="168"/>
      <c r="HI68" s="168"/>
      <c r="HJ68" s="168"/>
      <c r="HK68" s="168"/>
      <c r="HL68" s="168"/>
      <c r="HM68" s="168"/>
      <c r="HN68" s="168"/>
      <c r="HO68" s="168"/>
      <c r="HP68" s="168"/>
      <c r="HQ68" s="168"/>
      <c r="HR68" s="168"/>
      <c r="HS68" s="168"/>
      <c r="HT68" s="168"/>
      <c r="HU68" s="168"/>
      <c r="HV68" s="168"/>
      <c r="HW68" s="168"/>
      <c r="HX68" s="168"/>
      <c r="HY68" s="168"/>
      <c r="HZ68" s="168"/>
      <c r="IA68" s="168"/>
      <c r="IB68" s="168"/>
      <c r="IC68" s="168"/>
      <c r="ID68" s="168"/>
      <c r="IE68" s="168"/>
      <c r="IF68" s="168"/>
      <c r="IG68" s="168"/>
      <c r="IH68" s="168"/>
      <c r="II68" s="168"/>
      <c r="IJ68" s="168"/>
      <c r="IK68" s="168"/>
      <c r="IL68" s="168"/>
      <c r="IM68" s="168"/>
      <c r="IN68" s="168"/>
      <c r="IO68" s="168"/>
      <c r="IP68" s="168"/>
      <c r="IQ68" s="168"/>
      <c r="IR68" s="168"/>
      <c r="IS68" s="168"/>
      <c r="IT68" s="168"/>
      <c r="IU68" s="168"/>
      <c r="IV68" s="168"/>
      <c r="IW68" s="168"/>
    </row>
    <row r="69" customFormat="false" ht="15.75" hidden="false" customHeight="false" outlineLevel="0" collapsed="false">
      <c r="A69" s="96"/>
      <c r="B69" s="263"/>
      <c r="D69" s="150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168"/>
      <c r="EP69" s="168"/>
      <c r="EQ69" s="168"/>
      <c r="ER69" s="168"/>
      <c r="ES69" s="168"/>
      <c r="ET69" s="168"/>
      <c r="EU69" s="168"/>
      <c r="EV69" s="168"/>
      <c r="EW69" s="168"/>
      <c r="EX69" s="168"/>
      <c r="EY69" s="168"/>
      <c r="EZ69" s="168"/>
      <c r="FA69" s="168"/>
      <c r="FB69" s="168"/>
      <c r="FC69" s="168"/>
      <c r="FD69" s="168"/>
      <c r="FE69" s="168"/>
      <c r="FF69" s="168"/>
      <c r="FG69" s="168"/>
      <c r="FH69" s="168"/>
      <c r="FI69" s="168"/>
      <c r="FJ69" s="168"/>
      <c r="FK69" s="168"/>
      <c r="FL69" s="168"/>
      <c r="FM69" s="168"/>
      <c r="FN69" s="168"/>
      <c r="FO69" s="168"/>
      <c r="FP69" s="168"/>
      <c r="FQ69" s="168"/>
      <c r="FR69" s="168"/>
      <c r="FS69" s="168"/>
      <c r="FT69" s="168"/>
      <c r="FU69" s="168"/>
      <c r="FV69" s="168"/>
      <c r="FW69" s="168"/>
      <c r="FX69" s="168"/>
      <c r="FY69" s="168"/>
      <c r="FZ69" s="168"/>
      <c r="GA69" s="168"/>
      <c r="GB69" s="168"/>
      <c r="GC69" s="168"/>
      <c r="GD69" s="168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  <c r="GO69" s="168"/>
      <c r="GP69" s="168"/>
      <c r="GQ69" s="168"/>
      <c r="GR69" s="168"/>
      <c r="GS69" s="168"/>
      <c r="GT69" s="168"/>
      <c r="GU69" s="168"/>
      <c r="GV69" s="168"/>
      <c r="GW69" s="168"/>
      <c r="GX69" s="168"/>
      <c r="GY69" s="168"/>
      <c r="GZ69" s="168"/>
      <c r="HA69" s="168"/>
      <c r="HB69" s="168"/>
      <c r="HC69" s="168"/>
      <c r="HD69" s="168"/>
      <c r="HE69" s="168"/>
      <c r="HF69" s="168"/>
      <c r="HG69" s="168"/>
      <c r="HH69" s="168"/>
      <c r="HI69" s="168"/>
      <c r="HJ69" s="168"/>
      <c r="HK69" s="168"/>
      <c r="HL69" s="168"/>
      <c r="HM69" s="168"/>
      <c r="HN69" s="168"/>
      <c r="HO69" s="168"/>
      <c r="HP69" s="168"/>
      <c r="HQ69" s="168"/>
      <c r="HR69" s="168"/>
      <c r="HS69" s="168"/>
      <c r="HT69" s="168"/>
      <c r="HU69" s="168"/>
      <c r="HV69" s="168"/>
      <c r="HW69" s="168"/>
      <c r="HX69" s="168"/>
      <c r="HY69" s="168"/>
      <c r="HZ69" s="168"/>
      <c r="IA69" s="168"/>
      <c r="IB69" s="168"/>
      <c r="IC69" s="168"/>
      <c r="ID69" s="168"/>
      <c r="IE69" s="168"/>
      <c r="IF69" s="168"/>
      <c r="IG69" s="168"/>
      <c r="IH69" s="168"/>
      <c r="II69" s="168"/>
      <c r="IJ69" s="168"/>
      <c r="IK69" s="168"/>
      <c r="IL69" s="168"/>
      <c r="IM69" s="168"/>
      <c r="IN69" s="168"/>
      <c r="IO69" s="168"/>
      <c r="IP69" s="168"/>
      <c r="IQ69" s="168"/>
      <c r="IR69" s="168"/>
      <c r="IS69" s="168"/>
      <c r="IT69" s="168"/>
      <c r="IU69" s="168"/>
      <c r="IV69" s="168"/>
      <c r="IW69" s="168"/>
    </row>
    <row r="70" customFormat="false" ht="15.75" hidden="false" customHeight="false" outlineLevel="0" collapsed="false">
      <c r="A70" s="96"/>
      <c r="B70" s="263"/>
      <c r="D70" s="150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68"/>
      <c r="DM70" s="168"/>
      <c r="DN70" s="168"/>
      <c r="DO70" s="168"/>
      <c r="DP70" s="168"/>
      <c r="DQ70" s="168"/>
      <c r="DR70" s="168"/>
      <c r="DS70" s="168"/>
      <c r="DT70" s="168"/>
      <c r="DU70" s="168"/>
      <c r="DV70" s="168"/>
      <c r="DW70" s="168"/>
      <c r="DX70" s="168"/>
      <c r="DY70" s="168"/>
      <c r="DZ70" s="168"/>
      <c r="EA70" s="168"/>
      <c r="EB70" s="168"/>
      <c r="EC70" s="168"/>
      <c r="ED70" s="168"/>
      <c r="EE70" s="168"/>
      <c r="EF70" s="168"/>
      <c r="EG70" s="168"/>
      <c r="EH70" s="168"/>
      <c r="EI70" s="168"/>
      <c r="EJ70" s="168"/>
      <c r="EK70" s="168"/>
      <c r="EL70" s="168"/>
      <c r="EM70" s="168"/>
      <c r="EN70" s="168"/>
      <c r="EO70" s="168"/>
      <c r="EP70" s="168"/>
      <c r="EQ70" s="168"/>
      <c r="ER70" s="168"/>
      <c r="ES70" s="168"/>
      <c r="ET70" s="168"/>
      <c r="EU70" s="168"/>
      <c r="EV70" s="168"/>
      <c r="EW70" s="168"/>
      <c r="EX70" s="168"/>
      <c r="EY70" s="168"/>
      <c r="EZ70" s="168"/>
      <c r="FA70" s="168"/>
      <c r="FB70" s="168"/>
      <c r="FC70" s="168"/>
      <c r="FD70" s="168"/>
      <c r="FE70" s="168"/>
      <c r="FF70" s="168"/>
      <c r="FG70" s="168"/>
      <c r="FH70" s="168"/>
      <c r="FI70" s="168"/>
      <c r="FJ70" s="168"/>
      <c r="FK70" s="168"/>
      <c r="FL70" s="168"/>
      <c r="FM70" s="168"/>
      <c r="FN70" s="168"/>
      <c r="FO70" s="168"/>
      <c r="FP70" s="168"/>
      <c r="FQ70" s="168"/>
      <c r="FR70" s="168"/>
      <c r="FS70" s="168"/>
      <c r="FT70" s="168"/>
      <c r="FU70" s="168"/>
      <c r="FV70" s="168"/>
      <c r="FW70" s="168"/>
      <c r="FX70" s="168"/>
      <c r="FY70" s="168"/>
      <c r="FZ70" s="168"/>
      <c r="GA70" s="168"/>
      <c r="GB70" s="168"/>
      <c r="GC70" s="168"/>
      <c r="GD70" s="168"/>
      <c r="GE70" s="168"/>
      <c r="GF70" s="168"/>
      <c r="GG70" s="168"/>
      <c r="GH70" s="168"/>
      <c r="GI70" s="168"/>
      <c r="GJ70" s="168"/>
      <c r="GK70" s="168"/>
      <c r="GL70" s="168"/>
      <c r="GM70" s="168"/>
      <c r="GN70" s="168"/>
      <c r="GO70" s="168"/>
      <c r="GP70" s="168"/>
      <c r="GQ70" s="168"/>
      <c r="GR70" s="168"/>
      <c r="GS70" s="168"/>
      <c r="GT70" s="168"/>
      <c r="GU70" s="168"/>
      <c r="GV70" s="168"/>
      <c r="GW70" s="168"/>
      <c r="GX70" s="168"/>
      <c r="GY70" s="168"/>
      <c r="GZ70" s="168"/>
      <c r="HA70" s="168"/>
      <c r="HB70" s="168"/>
      <c r="HC70" s="168"/>
      <c r="HD70" s="168"/>
      <c r="HE70" s="168"/>
      <c r="HF70" s="168"/>
      <c r="HG70" s="168"/>
      <c r="HH70" s="168"/>
      <c r="HI70" s="168"/>
      <c r="HJ70" s="168"/>
      <c r="HK70" s="168"/>
      <c r="HL70" s="168"/>
      <c r="HM70" s="168"/>
      <c r="HN70" s="168"/>
      <c r="HO70" s="168"/>
      <c r="HP70" s="168"/>
      <c r="HQ70" s="168"/>
      <c r="HR70" s="168"/>
      <c r="HS70" s="168"/>
      <c r="HT70" s="168"/>
      <c r="HU70" s="168"/>
      <c r="HV70" s="168"/>
      <c r="HW70" s="168"/>
      <c r="HX70" s="168"/>
      <c r="HY70" s="168"/>
      <c r="HZ70" s="168"/>
      <c r="IA70" s="168"/>
      <c r="IB70" s="168"/>
      <c r="IC70" s="168"/>
      <c r="ID70" s="168"/>
      <c r="IE70" s="168"/>
      <c r="IF70" s="168"/>
      <c r="IG70" s="168"/>
      <c r="IH70" s="168"/>
      <c r="II70" s="168"/>
      <c r="IJ70" s="168"/>
      <c r="IK70" s="168"/>
      <c r="IL70" s="168"/>
      <c r="IM70" s="168"/>
      <c r="IN70" s="168"/>
      <c r="IO70" s="168"/>
      <c r="IP70" s="168"/>
      <c r="IQ70" s="168"/>
      <c r="IR70" s="168"/>
      <c r="IS70" s="168"/>
      <c r="IT70" s="168"/>
      <c r="IU70" s="168"/>
      <c r="IV70" s="168"/>
      <c r="IW70" s="168"/>
    </row>
    <row r="71" customFormat="false" ht="15.75" hidden="false" customHeight="false" outlineLevel="0" collapsed="false">
      <c r="A71" s="96"/>
      <c r="B71" s="263"/>
      <c r="D71" s="150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15.75" hidden="false" customHeight="false" outlineLevel="0" collapsed="false">
      <c r="A72" s="96"/>
      <c r="B72" s="263"/>
      <c r="D72" s="150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  <c r="GY72" s="168"/>
      <c r="GZ72" s="168"/>
      <c r="HA72" s="168"/>
      <c r="HB72" s="168"/>
      <c r="HC72" s="168"/>
      <c r="HD72" s="168"/>
      <c r="HE72" s="168"/>
      <c r="HF72" s="168"/>
      <c r="HG72" s="168"/>
      <c r="HH72" s="168"/>
      <c r="HI72" s="168"/>
      <c r="HJ72" s="168"/>
      <c r="HK72" s="168"/>
      <c r="HL72" s="168"/>
      <c r="HM72" s="168"/>
      <c r="HN72" s="168"/>
      <c r="HO72" s="168"/>
      <c r="HP72" s="168"/>
      <c r="HQ72" s="168"/>
      <c r="HR72" s="168"/>
      <c r="HS72" s="168"/>
      <c r="HT72" s="168"/>
      <c r="HU72" s="168"/>
      <c r="HV72" s="168"/>
      <c r="HW72" s="168"/>
      <c r="HX72" s="168"/>
      <c r="HY72" s="168"/>
      <c r="HZ72" s="168"/>
      <c r="IA72" s="168"/>
      <c r="IB72" s="168"/>
      <c r="IC72" s="168"/>
      <c r="ID72" s="168"/>
      <c r="IE72" s="168"/>
      <c r="IF72" s="168"/>
      <c r="IG72" s="168"/>
      <c r="IH72" s="168"/>
      <c r="II72" s="168"/>
      <c r="IJ72" s="168"/>
      <c r="IK72" s="168"/>
      <c r="IL72" s="168"/>
      <c r="IM72" s="168"/>
      <c r="IN72" s="168"/>
      <c r="IO72" s="168"/>
      <c r="IP72" s="168"/>
      <c r="IQ72" s="168"/>
      <c r="IR72" s="168"/>
      <c r="IS72" s="168"/>
      <c r="IT72" s="168"/>
      <c r="IU72" s="168"/>
      <c r="IV72" s="168"/>
      <c r="IW72" s="168"/>
    </row>
    <row r="73" customFormat="false" ht="15.75" hidden="false" customHeight="false" outlineLevel="0" collapsed="false">
      <c r="A73" s="96"/>
      <c r="B73" s="263"/>
      <c r="D73" s="150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  <c r="GY73" s="168"/>
      <c r="GZ73" s="168"/>
      <c r="HA73" s="168"/>
      <c r="HB73" s="168"/>
      <c r="HC73" s="168"/>
      <c r="HD73" s="168"/>
      <c r="HE73" s="168"/>
      <c r="HF73" s="168"/>
      <c r="HG73" s="168"/>
      <c r="HH73" s="168"/>
      <c r="HI73" s="168"/>
      <c r="HJ73" s="168"/>
      <c r="HK73" s="168"/>
      <c r="HL73" s="168"/>
      <c r="HM73" s="168"/>
      <c r="HN73" s="168"/>
      <c r="HO73" s="168"/>
      <c r="HP73" s="168"/>
      <c r="HQ73" s="168"/>
      <c r="HR73" s="168"/>
      <c r="HS73" s="168"/>
      <c r="HT73" s="168"/>
      <c r="HU73" s="168"/>
      <c r="HV73" s="168"/>
      <c r="HW73" s="168"/>
      <c r="HX73" s="168"/>
      <c r="HY73" s="168"/>
      <c r="HZ73" s="168"/>
      <c r="IA73" s="168"/>
      <c r="IB73" s="168"/>
      <c r="IC73" s="168"/>
      <c r="ID73" s="168"/>
      <c r="IE73" s="168"/>
      <c r="IF73" s="168"/>
      <c r="IG73" s="168"/>
      <c r="IH73" s="168"/>
      <c r="II73" s="168"/>
      <c r="IJ73" s="168"/>
      <c r="IK73" s="168"/>
      <c r="IL73" s="168"/>
      <c r="IM73" s="168"/>
      <c r="IN73" s="168"/>
      <c r="IO73" s="168"/>
      <c r="IP73" s="168"/>
      <c r="IQ73" s="168"/>
      <c r="IR73" s="168"/>
      <c r="IS73" s="168"/>
      <c r="IT73" s="168"/>
      <c r="IU73" s="168"/>
      <c r="IV73" s="168"/>
      <c r="IW73" s="168"/>
    </row>
    <row r="74" customFormat="false" ht="15.75" hidden="false" customHeight="false" outlineLevel="0" collapsed="false">
      <c r="A74" s="96"/>
      <c r="B74" s="263"/>
      <c r="D74" s="150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  <c r="GY74" s="168"/>
      <c r="GZ74" s="168"/>
      <c r="HA74" s="168"/>
      <c r="HB74" s="168"/>
      <c r="HC74" s="168"/>
      <c r="HD74" s="168"/>
      <c r="HE74" s="168"/>
      <c r="HF74" s="168"/>
      <c r="HG74" s="168"/>
      <c r="HH74" s="168"/>
      <c r="HI74" s="168"/>
      <c r="HJ74" s="168"/>
      <c r="HK74" s="168"/>
      <c r="HL74" s="168"/>
      <c r="HM74" s="168"/>
      <c r="HN74" s="168"/>
      <c r="HO74" s="168"/>
      <c r="HP74" s="168"/>
      <c r="HQ74" s="168"/>
      <c r="HR74" s="168"/>
      <c r="HS74" s="168"/>
      <c r="HT74" s="168"/>
      <c r="HU74" s="168"/>
      <c r="HV74" s="168"/>
      <c r="HW74" s="168"/>
      <c r="HX74" s="168"/>
      <c r="HY74" s="168"/>
      <c r="HZ74" s="168"/>
      <c r="IA74" s="168"/>
      <c r="IB74" s="168"/>
      <c r="IC74" s="168"/>
      <c r="ID74" s="168"/>
      <c r="IE74" s="168"/>
      <c r="IF74" s="168"/>
      <c r="IG74" s="168"/>
      <c r="IH74" s="168"/>
      <c r="II74" s="168"/>
      <c r="IJ74" s="168"/>
      <c r="IK74" s="168"/>
      <c r="IL74" s="168"/>
      <c r="IM74" s="168"/>
      <c r="IN74" s="168"/>
      <c r="IO74" s="168"/>
      <c r="IP74" s="168"/>
      <c r="IQ74" s="168"/>
      <c r="IR74" s="168"/>
      <c r="IS74" s="168"/>
      <c r="IT74" s="168"/>
      <c r="IU74" s="168"/>
      <c r="IV74" s="168"/>
      <c r="IW74" s="168"/>
    </row>
    <row r="75" customFormat="false" ht="15.75" hidden="false" customHeight="false" outlineLevel="0" collapsed="false">
      <c r="A75" s="96"/>
      <c r="B75" s="263"/>
      <c r="D75" s="150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  <c r="GY75" s="168"/>
      <c r="GZ75" s="168"/>
      <c r="HA75" s="168"/>
      <c r="HB75" s="168"/>
      <c r="HC75" s="168"/>
      <c r="HD75" s="168"/>
      <c r="HE75" s="168"/>
      <c r="HF75" s="168"/>
      <c r="HG75" s="168"/>
      <c r="HH75" s="168"/>
      <c r="HI75" s="168"/>
      <c r="HJ75" s="168"/>
      <c r="HK75" s="168"/>
      <c r="HL75" s="168"/>
      <c r="HM75" s="168"/>
      <c r="HN75" s="168"/>
      <c r="HO75" s="168"/>
      <c r="HP75" s="168"/>
      <c r="HQ75" s="168"/>
      <c r="HR75" s="168"/>
      <c r="HS75" s="168"/>
      <c r="HT75" s="168"/>
      <c r="HU75" s="168"/>
      <c r="HV75" s="168"/>
      <c r="HW75" s="168"/>
      <c r="HX75" s="168"/>
      <c r="HY75" s="168"/>
      <c r="HZ75" s="168"/>
      <c r="IA75" s="168"/>
      <c r="IB75" s="168"/>
      <c r="IC75" s="168"/>
      <c r="ID75" s="168"/>
      <c r="IE75" s="168"/>
      <c r="IF75" s="168"/>
      <c r="IG75" s="168"/>
      <c r="IH75" s="168"/>
      <c r="II75" s="168"/>
      <c r="IJ75" s="168"/>
      <c r="IK75" s="168"/>
      <c r="IL75" s="168"/>
      <c r="IM75" s="168"/>
      <c r="IN75" s="168"/>
      <c r="IO75" s="168"/>
      <c r="IP75" s="168"/>
      <c r="IQ75" s="168"/>
      <c r="IR75" s="168"/>
      <c r="IS75" s="168"/>
      <c r="IT75" s="168"/>
      <c r="IU75" s="168"/>
      <c r="IV75" s="168"/>
      <c r="IW75" s="168"/>
    </row>
    <row r="76" customFormat="false" ht="15.75" hidden="false" customHeight="false" outlineLevel="0" collapsed="false">
      <c r="A76" s="96"/>
      <c r="B76" s="263"/>
      <c r="D76" s="150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168"/>
      <c r="DN76" s="168"/>
      <c r="DO76" s="168"/>
      <c r="DP76" s="168"/>
      <c r="DQ76" s="168"/>
      <c r="DR76" s="168"/>
      <c r="DS76" s="168"/>
      <c r="DT76" s="168"/>
      <c r="DU76" s="168"/>
      <c r="DV76" s="168"/>
      <c r="DW76" s="168"/>
      <c r="DX76" s="168"/>
      <c r="DY76" s="168"/>
      <c r="DZ76" s="168"/>
      <c r="EA76" s="168"/>
      <c r="EB76" s="168"/>
      <c r="EC76" s="168"/>
      <c r="ED76" s="168"/>
      <c r="EE76" s="168"/>
      <c r="EF76" s="168"/>
      <c r="EG76" s="168"/>
      <c r="EH76" s="168"/>
      <c r="EI76" s="168"/>
      <c r="EJ76" s="168"/>
      <c r="EK76" s="168"/>
      <c r="EL76" s="168"/>
      <c r="EM76" s="168"/>
      <c r="EN76" s="168"/>
      <c r="EO76" s="168"/>
      <c r="EP76" s="168"/>
      <c r="EQ76" s="168"/>
      <c r="ER76" s="168"/>
      <c r="ES76" s="168"/>
      <c r="ET76" s="168"/>
      <c r="EU76" s="168"/>
      <c r="EV76" s="168"/>
      <c r="EW76" s="168"/>
      <c r="EX76" s="168"/>
      <c r="EY76" s="168"/>
      <c r="EZ76" s="168"/>
      <c r="FA76" s="168"/>
      <c r="FB76" s="168"/>
      <c r="FC76" s="168"/>
      <c r="FD76" s="168"/>
      <c r="FE76" s="168"/>
      <c r="FF76" s="168"/>
      <c r="FG76" s="168"/>
      <c r="FH76" s="168"/>
      <c r="FI76" s="168"/>
      <c r="FJ76" s="168"/>
      <c r="FK76" s="168"/>
      <c r="FL76" s="168"/>
      <c r="FM76" s="168"/>
      <c r="FN76" s="168"/>
      <c r="FO76" s="168"/>
      <c r="FP76" s="168"/>
      <c r="FQ76" s="168"/>
      <c r="FR76" s="168"/>
      <c r="FS76" s="168"/>
      <c r="FT76" s="168"/>
      <c r="FU76" s="168"/>
      <c r="FV76" s="168"/>
      <c r="FW76" s="168"/>
      <c r="FX76" s="168"/>
      <c r="FY76" s="168"/>
      <c r="FZ76" s="168"/>
      <c r="GA76" s="168"/>
      <c r="GB76" s="168"/>
      <c r="GC76" s="168"/>
      <c r="GD76" s="168"/>
      <c r="GE76" s="168"/>
      <c r="GF76" s="168"/>
      <c r="GG76" s="168"/>
      <c r="GH76" s="168"/>
      <c r="GI76" s="168"/>
      <c r="GJ76" s="168"/>
      <c r="GK76" s="168"/>
      <c r="GL76" s="168"/>
      <c r="GM76" s="168"/>
      <c r="GN76" s="168"/>
      <c r="GO76" s="168"/>
      <c r="GP76" s="168"/>
      <c r="GQ76" s="168"/>
      <c r="GR76" s="168"/>
      <c r="GS76" s="168"/>
      <c r="GT76" s="168"/>
      <c r="GU76" s="168"/>
      <c r="GV76" s="168"/>
      <c r="GW76" s="168"/>
      <c r="GX76" s="168"/>
      <c r="GY76" s="168"/>
      <c r="GZ76" s="168"/>
      <c r="HA76" s="168"/>
      <c r="HB76" s="168"/>
      <c r="HC76" s="168"/>
      <c r="HD76" s="168"/>
      <c r="HE76" s="168"/>
      <c r="HF76" s="168"/>
      <c r="HG76" s="168"/>
      <c r="HH76" s="168"/>
      <c r="HI76" s="168"/>
      <c r="HJ76" s="168"/>
      <c r="HK76" s="168"/>
      <c r="HL76" s="168"/>
      <c r="HM76" s="168"/>
      <c r="HN76" s="168"/>
      <c r="HO76" s="168"/>
      <c r="HP76" s="168"/>
      <c r="HQ76" s="168"/>
      <c r="HR76" s="168"/>
      <c r="HS76" s="168"/>
      <c r="HT76" s="168"/>
      <c r="HU76" s="168"/>
      <c r="HV76" s="168"/>
      <c r="HW76" s="168"/>
      <c r="HX76" s="168"/>
      <c r="HY76" s="168"/>
      <c r="HZ76" s="168"/>
      <c r="IA76" s="168"/>
      <c r="IB76" s="168"/>
      <c r="IC76" s="168"/>
      <c r="ID76" s="168"/>
      <c r="IE76" s="168"/>
      <c r="IF76" s="168"/>
      <c r="IG76" s="168"/>
      <c r="IH76" s="168"/>
      <c r="II76" s="168"/>
      <c r="IJ76" s="168"/>
      <c r="IK76" s="168"/>
      <c r="IL76" s="168"/>
      <c r="IM76" s="168"/>
      <c r="IN76" s="168"/>
      <c r="IO76" s="168"/>
      <c r="IP76" s="168"/>
      <c r="IQ76" s="168"/>
      <c r="IR76" s="168"/>
      <c r="IS76" s="168"/>
      <c r="IT76" s="168"/>
      <c r="IU76" s="168"/>
      <c r="IV76" s="168"/>
      <c r="IW76" s="168"/>
    </row>
    <row r="77" customFormat="false" ht="15.75" hidden="false" customHeight="false" outlineLevel="0" collapsed="false">
      <c r="A77" s="96"/>
      <c r="B77" s="263"/>
      <c r="D77" s="150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  <c r="IP77" s="168"/>
      <c r="IQ77" s="168"/>
      <c r="IR77" s="168"/>
      <c r="IS77" s="168"/>
      <c r="IT77" s="168"/>
      <c r="IU77" s="168"/>
      <c r="IV77" s="168"/>
      <c r="IW77" s="168"/>
    </row>
    <row r="78" customFormat="false" ht="15.75" hidden="false" customHeight="false" outlineLevel="0" collapsed="false">
      <c r="A78" s="96"/>
      <c r="B78" s="263"/>
      <c r="D78" s="150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  <c r="GY78" s="168"/>
      <c r="GZ78" s="168"/>
      <c r="HA78" s="168"/>
      <c r="HB78" s="168"/>
      <c r="HC78" s="168"/>
      <c r="HD78" s="168"/>
      <c r="HE78" s="168"/>
      <c r="HF78" s="168"/>
      <c r="HG78" s="168"/>
      <c r="HH78" s="168"/>
      <c r="HI78" s="168"/>
      <c r="HJ78" s="168"/>
      <c r="HK78" s="168"/>
      <c r="HL78" s="168"/>
      <c r="HM78" s="168"/>
      <c r="HN78" s="168"/>
      <c r="HO78" s="168"/>
      <c r="HP78" s="168"/>
      <c r="HQ78" s="168"/>
      <c r="HR78" s="168"/>
      <c r="HS78" s="168"/>
      <c r="HT78" s="168"/>
      <c r="HU78" s="168"/>
      <c r="HV78" s="168"/>
      <c r="HW78" s="168"/>
      <c r="HX78" s="168"/>
      <c r="HY78" s="168"/>
      <c r="HZ78" s="168"/>
      <c r="IA78" s="168"/>
      <c r="IB78" s="168"/>
      <c r="IC78" s="168"/>
      <c r="ID78" s="168"/>
      <c r="IE78" s="168"/>
      <c r="IF78" s="168"/>
      <c r="IG78" s="168"/>
      <c r="IH78" s="168"/>
      <c r="II78" s="168"/>
      <c r="IJ78" s="168"/>
      <c r="IK78" s="168"/>
      <c r="IL78" s="168"/>
      <c r="IM78" s="168"/>
      <c r="IN78" s="168"/>
      <c r="IO78" s="168"/>
      <c r="IP78" s="168"/>
      <c r="IQ78" s="168"/>
      <c r="IR78" s="168"/>
      <c r="IS78" s="168"/>
      <c r="IT78" s="168"/>
      <c r="IU78" s="168"/>
      <c r="IV78" s="168"/>
      <c r="IW78" s="168"/>
    </row>
    <row r="79" customFormat="false" ht="15.75" hidden="false" customHeight="false" outlineLevel="0" collapsed="false">
      <c r="A79" s="96"/>
      <c r="B79" s="263"/>
      <c r="D79" s="150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E79" s="168"/>
      <c r="CF79" s="168"/>
      <c r="CG79" s="168"/>
      <c r="CH79" s="168"/>
      <c r="CI79" s="168"/>
      <c r="CJ79" s="168"/>
      <c r="CK79" s="168"/>
      <c r="CL79" s="168"/>
      <c r="CM79" s="168"/>
      <c r="CN79" s="168"/>
      <c r="CO79" s="168"/>
      <c r="CP79" s="168"/>
      <c r="CQ79" s="168"/>
      <c r="CR79" s="168"/>
      <c r="CS79" s="168"/>
      <c r="CT79" s="168"/>
      <c r="CU79" s="168"/>
      <c r="CV79" s="168"/>
      <c r="CW79" s="168"/>
      <c r="CX79" s="168"/>
      <c r="CY79" s="168"/>
      <c r="CZ79" s="168"/>
      <c r="DA79" s="168"/>
      <c r="DB79" s="168"/>
      <c r="DC79" s="168"/>
      <c r="DD79" s="168"/>
      <c r="DE79" s="168"/>
      <c r="DF79" s="168"/>
      <c r="DG79" s="168"/>
      <c r="DH79" s="168"/>
      <c r="DI79" s="168"/>
      <c r="DJ79" s="168"/>
      <c r="DK79" s="168"/>
      <c r="DL79" s="168"/>
      <c r="DM79" s="168"/>
      <c r="DN79" s="168"/>
      <c r="DO79" s="168"/>
      <c r="DP79" s="168"/>
      <c r="DQ79" s="168"/>
      <c r="DR79" s="168"/>
      <c r="DS79" s="168"/>
      <c r="DT79" s="168"/>
      <c r="DU79" s="168"/>
      <c r="DV79" s="168"/>
      <c r="DW79" s="168"/>
      <c r="DX79" s="168"/>
      <c r="DY79" s="168"/>
      <c r="DZ79" s="168"/>
      <c r="EA79" s="168"/>
      <c r="EB79" s="168"/>
      <c r="EC79" s="168"/>
      <c r="ED79" s="168"/>
      <c r="EE79" s="168"/>
      <c r="EF79" s="168"/>
      <c r="EG79" s="168"/>
      <c r="EH79" s="168"/>
      <c r="EI79" s="168"/>
      <c r="EJ79" s="168"/>
      <c r="EK79" s="168"/>
      <c r="EL79" s="168"/>
      <c r="EM79" s="168"/>
      <c r="EN79" s="168"/>
      <c r="EO79" s="168"/>
      <c r="EP79" s="168"/>
      <c r="EQ79" s="168"/>
      <c r="ER79" s="168"/>
      <c r="ES79" s="168"/>
      <c r="ET79" s="168"/>
      <c r="EU79" s="168"/>
      <c r="EV79" s="168"/>
      <c r="EW79" s="168"/>
      <c r="EX79" s="168"/>
      <c r="EY79" s="168"/>
      <c r="EZ79" s="168"/>
      <c r="FA79" s="168"/>
      <c r="FB79" s="168"/>
      <c r="FC79" s="168"/>
      <c r="FD79" s="168"/>
      <c r="FE79" s="168"/>
      <c r="FF79" s="168"/>
      <c r="FG79" s="168"/>
      <c r="FH79" s="168"/>
      <c r="FI79" s="168"/>
      <c r="FJ79" s="168"/>
      <c r="FK79" s="168"/>
      <c r="FL79" s="168"/>
      <c r="FM79" s="168"/>
      <c r="FN79" s="168"/>
      <c r="FO79" s="168"/>
      <c r="FP79" s="168"/>
      <c r="FQ79" s="168"/>
      <c r="FR79" s="168"/>
      <c r="FS79" s="168"/>
      <c r="FT79" s="168"/>
      <c r="FU79" s="168"/>
      <c r="FV79" s="168"/>
      <c r="FW79" s="168"/>
      <c r="FX79" s="168"/>
      <c r="FY79" s="168"/>
      <c r="FZ79" s="168"/>
      <c r="GA79" s="168"/>
      <c r="GB79" s="168"/>
      <c r="GC79" s="168"/>
      <c r="GD79" s="168"/>
      <c r="GE79" s="168"/>
      <c r="GF79" s="168"/>
      <c r="GG79" s="168"/>
      <c r="GH79" s="168"/>
      <c r="GI79" s="168"/>
      <c r="GJ79" s="168"/>
      <c r="GK79" s="168"/>
      <c r="GL79" s="168"/>
      <c r="GM79" s="168"/>
      <c r="GN79" s="168"/>
      <c r="GO79" s="168"/>
      <c r="GP79" s="168"/>
      <c r="GQ79" s="168"/>
      <c r="GR79" s="168"/>
      <c r="GS79" s="168"/>
      <c r="GT79" s="168"/>
      <c r="GU79" s="168"/>
      <c r="GV79" s="168"/>
      <c r="GW79" s="168"/>
      <c r="GX79" s="168"/>
      <c r="GY79" s="168"/>
      <c r="GZ79" s="168"/>
      <c r="HA79" s="168"/>
      <c r="HB79" s="168"/>
      <c r="HC79" s="168"/>
      <c r="HD79" s="168"/>
      <c r="HE79" s="168"/>
      <c r="HF79" s="168"/>
      <c r="HG79" s="168"/>
      <c r="HH79" s="168"/>
      <c r="HI79" s="168"/>
      <c r="HJ79" s="168"/>
      <c r="HK79" s="168"/>
      <c r="HL79" s="168"/>
      <c r="HM79" s="168"/>
      <c r="HN79" s="168"/>
      <c r="HO79" s="168"/>
      <c r="HP79" s="168"/>
      <c r="HQ79" s="168"/>
      <c r="HR79" s="168"/>
      <c r="HS79" s="168"/>
      <c r="HT79" s="168"/>
      <c r="HU79" s="168"/>
      <c r="HV79" s="168"/>
      <c r="HW79" s="168"/>
      <c r="HX79" s="168"/>
      <c r="HY79" s="168"/>
      <c r="HZ79" s="168"/>
      <c r="IA79" s="168"/>
      <c r="IB79" s="168"/>
      <c r="IC79" s="168"/>
      <c r="ID79" s="168"/>
      <c r="IE79" s="168"/>
      <c r="IF79" s="168"/>
      <c r="IG79" s="168"/>
      <c r="IH79" s="168"/>
      <c r="II79" s="168"/>
      <c r="IJ79" s="168"/>
      <c r="IK79" s="168"/>
      <c r="IL79" s="168"/>
      <c r="IM79" s="168"/>
      <c r="IN79" s="168"/>
      <c r="IO79" s="168"/>
      <c r="IP79" s="168"/>
      <c r="IQ79" s="168"/>
      <c r="IR79" s="168"/>
      <c r="IS79" s="168"/>
      <c r="IT79" s="168"/>
      <c r="IU79" s="168"/>
      <c r="IV79" s="168"/>
      <c r="IW79" s="168"/>
    </row>
    <row r="80" customFormat="false" ht="15.75" hidden="false" customHeight="false" outlineLevel="0" collapsed="false">
      <c r="A80" s="96"/>
      <c r="B80" s="263"/>
      <c r="D80" s="150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  <c r="GY80" s="168"/>
      <c r="GZ80" s="168"/>
      <c r="HA80" s="168"/>
      <c r="HB80" s="168"/>
      <c r="HC80" s="168"/>
      <c r="HD80" s="168"/>
      <c r="HE80" s="168"/>
      <c r="HF80" s="168"/>
      <c r="HG80" s="168"/>
      <c r="HH80" s="168"/>
      <c r="HI80" s="168"/>
      <c r="HJ80" s="168"/>
      <c r="HK80" s="168"/>
      <c r="HL80" s="168"/>
      <c r="HM80" s="168"/>
      <c r="HN80" s="168"/>
      <c r="HO80" s="168"/>
      <c r="HP80" s="168"/>
      <c r="HQ80" s="168"/>
      <c r="HR80" s="168"/>
      <c r="HS80" s="168"/>
      <c r="HT80" s="168"/>
      <c r="HU80" s="168"/>
      <c r="HV80" s="168"/>
      <c r="HW80" s="168"/>
      <c r="HX80" s="168"/>
      <c r="HY80" s="168"/>
      <c r="HZ80" s="168"/>
      <c r="IA80" s="168"/>
      <c r="IB80" s="168"/>
      <c r="IC80" s="168"/>
      <c r="ID80" s="168"/>
      <c r="IE80" s="168"/>
      <c r="IF80" s="168"/>
      <c r="IG80" s="168"/>
      <c r="IH80" s="168"/>
      <c r="II80" s="168"/>
      <c r="IJ80" s="168"/>
      <c r="IK80" s="168"/>
      <c r="IL80" s="168"/>
      <c r="IM80" s="168"/>
      <c r="IN80" s="168"/>
      <c r="IO80" s="168"/>
      <c r="IP80" s="168"/>
      <c r="IQ80" s="168"/>
      <c r="IR80" s="168"/>
      <c r="IS80" s="168"/>
      <c r="IT80" s="168"/>
      <c r="IU80" s="168"/>
      <c r="IV80" s="168"/>
      <c r="IW80" s="168"/>
    </row>
    <row r="81" customFormat="false" ht="15.75" hidden="false" customHeight="false" outlineLevel="0" collapsed="false">
      <c r="A81" s="96"/>
      <c r="B81" s="263"/>
      <c r="D81" s="150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  <c r="GY81" s="168"/>
      <c r="GZ81" s="168"/>
      <c r="HA81" s="168"/>
      <c r="HB81" s="168"/>
      <c r="HC81" s="168"/>
      <c r="HD81" s="168"/>
      <c r="HE81" s="168"/>
      <c r="HF81" s="168"/>
      <c r="HG81" s="168"/>
      <c r="HH81" s="168"/>
      <c r="HI81" s="168"/>
      <c r="HJ81" s="168"/>
      <c r="HK81" s="168"/>
      <c r="HL81" s="168"/>
      <c r="HM81" s="168"/>
      <c r="HN81" s="168"/>
      <c r="HO81" s="168"/>
      <c r="HP81" s="168"/>
      <c r="HQ81" s="168"/>
      <c r="HR81" s="168"/>
      <c r="HS81" s="168"/>
      <c r="HT81" s="168"/>
      <c r="HU81" s="168"/>
      <c r="HV81" s="168"/>
      <c r="HW81" s="168"/>
      <c r="HX81" s="168"/>
      <c r="HY81" s="168"/>
      <c r="HZ81" s="168"/>
      <c r="IA81" s="168"/>
      <c r="IB81" s="168"/>
      <c r="IC81" s="168"/>
      <c r="ID81" s="168"/>
      <c r="IE81" s="168"/>
      <c r="IF81" s="168"/>
      <c r="IG81" s="168"/>
      <c r="IH81" s="168"/>
      <c r="II81" s="168"/>
      <c r="IJ81" s="168"/>
      <c r="IK81" s="168"/>
      <c r="IL81" s="168"/>
      <c r="IM81" s="168"/>
      <c r="IN81" s="168"/>
      <c r="IO81" s="168"/>
      <c r="IP81" s="168"/>
      <c r="IQ81" s="168"/>
      <c r="IR81" s="168"/>
      <c r="IS81" s="168"/>
      <c r="IT81" s="168"/>
      <c r="IU81" s="168"/>
      <c r="IV81" s="168"/>
      <c r="IW81" s="168"/>
    </row>
    <row r="82" customFormat="false" ht="15.75" hidden="false" customHeight="false" outlineLevel="0" collapsed="false">
      <c r="A82" s="96"/>
      <c r="B82" s="263"/>
      <c r="D82" s="150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68"/>
      <c r="CU82" s="168"/>
      <c r="CV82" s="168"/>
      <c r="CW82" s="168"/>
      <c r="CX82" s="168"/>
      <c r="CY82" s="168"/>
      <c r="CZ82" s="168"/>
      <c r="DA82" s="168"/>
      <c r="DB82" s="168"/>
      <c r="DC82" s="168"/>
      <c r="DD82" s="168"/>
      <c r="DE82" s="168"/>
      <c r="DF82" s="168"/>
      <c r="DG82" s="168"/>
      <c r="DH82" s="168"/>
      <c r="DI82" s="168"/>
      <c r="DJ82" s="168"/>
      <c r="DK82" s="168"/>
      <c r="DL82" s="168"/>
      <c r="DM82" s="168"/>
      <c r="DN82" s="168"/>
      <c r="DO82" s="168"/>
      <c r="DP82" s="168"/>
      <c r="DQ82" s="168"/>
      <c r="DR82" s="168"/>
      <c r="DS82" s="168"/>
      <c r="DT82" s="168"/>
      <c r="DU82" s="168"/>
      <c r="DV82" s="168"/>
      <c r="DW82" s="168"/>
      <c r="DX82" s="168"/>
      <c r="DY82" s="168"/>
      <c r="DZ82" s="168"/>
      <c r="EA82" s="168"/>
      <c r="EB82" s="168"/>
      <c r="EC82" s="168"/>
      <c r="ED82" s="168"/>
      <c r="EE82" s="168"/>
      <c r="EF82" s="168"/>
      <c r="EG82" s="168"/>
      <c r="EH82" s="168"/>
      <c r="EI82" s="168"/>
      <c r="EJ82" s="168"/>
      <c r="EK82" s="168"/>
      <c r="EL82" s="168"/>
      <c r="EM82" s="168"/>
      <c r="EN82" s="168"/>
      <c r="EO82" s="168"/>
      <c r="EP82" s="168"/>
      <c r="EQ82" s="168"/>
      <c r="ER82" s="168"/>
      <c r="ES82" s="168"/>
      <c r="ET82" s="168"/>
      <c r="EU82" s="168"/>
      <c r="EV82" s="168"/>
      <c r="EW82" s="168"/>
      <c r="EX82" s="168"/>
      <c r="EY82" s="168"/>
      <c r="EZ82" s="168"/>
      <c r="FA82" s="168"/>
      <c r="FB82" s="168"/>
      <c r="FC82" s="168"/>
      <c r="FD82" s="168"/>
      <c r="FE82" s="168"/>
      <c r="FF82" s="168"/>
      <c r="FG82" s="168"/>
      <c r="FH82" s="168"/>
      <c r="FI82" s="168"/>
      <c r="FJ82" s="168"/>
      <c r="FK82" s="168"/>
      <c r="FL82" s="168"/>
      <c r="FM82" s="168"/>
      <c r="FN82" s="168"/>
      <c r="FO82" s="168"/>
      <c r="FP82" s="168"/>
      <c r="FQ82" s="168"/>
      <c r="FR82" s="168"/>
      <c r="FS82" s="168"/>
      <c r="FT82" s="168"/>
      <c r="FU82" s="168"/>
      <c r="FV82" s="168"/>
      <c r="FW82" s="168"/>
      <c r="FX82" s="168"/>
      <c r="FY82" s="168"/>
      <c r="FZ82" s="168"/>
      <c r="GA82" s="168"/>
      <c r="GB82" s="168"/>
      <c r="GC82" s="168"/>
      <c r="GD82" s="168"/>
      <c r="GE82" s="168"/>
      <c r="GF82" s="168"/>
      <c r="GG82" s="168"/>
      <c r="GH82" s="168"/>
      <c r="GI82" s="168"/>
      <c r="GJ82" s="168"/>
      <c r="GK82" s="168"/>
      <c r="GL82" s="168"/>
      <c r="GM82" s="168"/>
      <c r="GN82" s="168"/>
      <c r="GO82" s="168"/>
      <c r="GP82" s="168"/>
      <c r="GQ82" s="168"/>
      <c r="GR82" s="168"/>
      <c r="GS82" s="168"/>
      <c r="GT82" s="168"/>
      <c r="GU82" s="168"/>
      <c r="GV82" s="168"/>
      <c r="GW82" s="168"/>
      <c r="GX82" s="168"/>
      <c r="GY82" s="168"/>
      <c r="GZ82" s="168"/>
      <c r="HA82" s="168"/>
      <c r="HB82" s="168"/>
      <c r="HC82" s="168"/>
      <c r="HD82" s="168"/>
      <c r="HE82" s="168"/>
      <c r="HF82" s="168"/>
      <c r="HG82" s="168"/>
      <c r="HH82" s="168"/>
      <c r="HI82" s="168"/>
      <c r="HJ82" s="168"/>
      <c r="HK82" s="168"/>
      <c r="HL82" s="168"/>
      <c r="HM82" s="168"/>
      <c r="HN82" s="168"/>
      <c r="HO82" s="168"/>
      <c r="HP82" s="168"/>
      <c r="HQ82" s="168"/>
      <c r="HR82" s="168"/>
      <c r="HS82" s="168"/>
      <c r="HT82" s="168"/>
      <c r="HU82" s="168"/>
      <c r="HV82" s="168"/>
      <c r="HW82" s="168"/>
      <c r="HX82" s="168"/>
      <c r="HY82" s="168"/>
      <c r="HZ82" s="168"/>
      <c r="IA82" s="168"/>
      <c r="IB82" s="168"/>
      <c r="IC82" s="168"/>
      <c r="ID82" s="168"/>
      <c r="IE82" s="168"/>
      <c r="IF82" s="168"/>
      <c r="IG82" s="168"/>
      <c r="IH82" s="168"/>
      <c r="II82" s="168"/>
      <c r="IJ82" s="168"/>
      <c r="IK82" s="168"/>
      <c r="IL82" s="168"/>
      <c r="IM82" s="168"/>
      <c r="IN82" s="168"/>
      <c r="IO82" s="168"/>
      <c r="IP82" s="168"/>
      <c r="IQ82" s="168"/>
      <c r="IR82" s="168"/>
      <c r="IS82" s="168"/>
      <c r="IT82" s="168"/>
      <c r="IU82" s="168"/>
      <c r="IV82" s="168"/>
      <c r="IW82" s="168"/>
    </row>
    <row r="83" customFormat="false" ht="15.75" hidden="false" customHeight="false" outlineLevel="0" collapsed="false">
      <c r="A83" s="96"/>
      <c r="B83" s="263"/>
      <c r="D83" s="150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  <c r="GY83" s="168"/>
      <c r="GZ83" s="168"/>
      <c r="HA83" s="168"/>
      <c r="HB83" s="168"/>
      <c r="HC83" s="168"/>
      <c r="HD83" s="168"/>
      <c r="HE83" s="168"/>
      <c r="HF83" s="168"/>
      <c r="HG83" s="168"/>
      <c r="HH83" s="168"/>
      <c r="HI83" s="168"/>
      <c r="HJ83" s="168"/>
      <c r="HK83" s="168"/>
      <c r="HL83" s="168"/>
      <c r="HM83" s="168"/>
      <c r="HN83" s="168"/>
      <c r="HO83" s="168"/>
      <c r="HP83" s="168"/>
      <c r="HQ83" s="168"/>
      <c r="HR83" s="168"/>
      <c r="HS83" s="168"/>
      <c r="HT83" s="168"/>
      <c r="HU83" s="168"/>
      <c r="HV83" s="168"/>
      <c r="HW83" s="168"/>
      <c r="HX83" s="168"/>
      <c r="HY83" s="168"/>
      <c r="HZ83" s="168"/>
      <c r="IA83" s="168"/>
      <c r="IB83" s="168"/>
      <c r="IC83" s="168"/>
      <c r="ID83" s="168"/>
      <c r="IE83" s="168"/>
      <c r="IF83" s="168"/>
      <c r="IG83" s="168"/>
      <c r="IH83" s="168"/>
      <c r="II83" s="168"/>
      <c r="IJ83" s="168"/>
      <c r="IK83" s="168"/>
      <c r="IL83" s="168"/>
      <c r="IM83" s="168"/>
      <c r="IN83" s="168"/>
      <c r="IO83" s="168"/>
      <c r="IP83" s="168"/>
      <c r="IQ83" s="168"/>
      <c r="IR83" s="168"/>
      <c r="IS83" s="168"/>
      <c r="IT83" s="168"/>
      <c r="IU83" s="168"/>
      <c r="IV83" s="168"/>
      <c r="IW83" s="168"/>
    </row>
    <row r="84" customFormat="false" ht="15.75" hidden="false" customHeight="false" outlineLevel="0" collapsed="false">
      <c r="A84" s="96"/>
      <c r="B84" s="263"/>
    </row>
    <row r="85" customFormat="false" ht="15.75" hidden="false" customHeight="false" outlineLevel="0" collapsed="false">
      <c r="A85" s="96"/>
      <c r="B85" s="263"/>
    </row>
    <row r="86" customFormat="false" ht="15.75" hidden="false" customHeight="false" outlineLevel="0" collapsed="false">
      <c r="A86" s="96"/>
      <c r="B86" s="263"/>
    </row>
    <row r="87" customFormat="false" ht="15.75" hidden="false" customHeight="false" outlineLevel="0" collapsed="false">
      <c r="A87" s="96"/>
      <c r="B87" s="263"/>
    </row>
    <row r="88" customFormat="false" ht="15.75" hidden="false" customHeight="false" outlineLevel="0" collapsed="false">
      <c r="A88" s="96"/>
      <c r="B88" s="263"/>
    </row>
    <row r="89" customFormat="false" ht="15.75" hidden="false" customHeight="false" outlineLevel="0" collapsed="false">
      <c r="A89" s="96"/>
      <c r="B89" s="263"/>
    </row>
    <row r="90" customFormat="false" ht="15.75" hidden="false" customHeight="false" outlineLevel="0" collapsed="false">
      <c r="A90" s="96"/>
      <c r="B90" s="263"/>
    </row>
    <row r="91" customFormat="false" ht="15.75" hidden="false" customHeight="false" outlineLevel="0" collapsed="false">
      <c r="A91" s="96"/>
      <c r="B91" s="263"/>
    </row>
    <row r="92" customFormat="false" ht="15.75" hidden="false" customHeight="false" outlineLevel="0" collapsed="false">
      <c r="A92" s="96"/>
      <c r="B92" s="263"/>
    </row>
    <row r="93" customFormat="false" ht="15.75" hidden="false" customHeight="false" outlineLevel="0" collapsed="false">
      <c r="A93" s="96"/>
      <c r="B93" s="263"/>
    </row>
    <row r="94" customFormat="false" ht="15.75" hidden="false" customHeight="false" outlineLevel="0" collapsed="false">
      <c r="A94" s="96"/>
      <c r="B94" s="263"/>
    </row>
    <row r="95" customFormat="false" ht="15.75" hidden="false" customHeight="false" outlineLevel="0" collapsed="false">
      <c r="A95" s="96"/>
      <c r="B95" s="263"/>
    </row>
    <row r="96" customFormat="false" ht="15.75" hidden="false" customHeight="false" outlineLevel="0" collapsed="false">
      <c r="A96" s="96"/>
      <c r="B96" s="263"/>
    </row>
    <row r="97" customFormat="false" ht="15.75" hidden="false" customHeight="false" outlineLevel="0" collapsed="false">
      <c r="A97" s="96"/>
      <c r="B97" s="263"/>
    </row>
    <row r="98" customFormat="false" ht="15.75" hidden="false" customHeight="false" outlineLevel="0" collapsed="false">
      <c r="A98" s="96"/>
      <c r="B98" s="263"/>
    </row>
    <row r="99" customFormat="false" ht="15.75" hidden="false" customHeight="false" outlineLevel="0" collapsed="false">
      <c r="A99" s="96"/>
      <c r="B99" s="263"/>
    </row>
    <row r="100" customFormat="false" ht="15.75" hidden="false" customHeight="false" outlineLevel="0" collapsed="false">
      <c r="A100" s="96"/>
      <c r="B100" s="263"/>
    </row>
    <row r="101" customFormat="false" ht="15.75" hidden="false" customHeight="false" outlineLevel="0" collapsed="false">
      <c r="A101" s="96"/>
      <c r="B101" s="263"/>
    </row>
    <row r="102" customFormat="false" ht="15.75" hidden="false" customHeight="false" outlineLevel="0" collapsed="false">
      <c r="A102" s="96"/>
      <c r="B102" s="263"/>
    </row>
    <row r="103" customFormat="false" ht="15.75" hidden="false" customHeight="false" outlineLevel="0" collapsed="false">
      <c r="A103" s="96"/>
      <c r="B103" s="263"/>
    </row>
    <row r="104" customFormat="false" ht="15.75" hidden="false" customHeight="false" outlineLevel="0" collapsed="false">
      <c r="A104" s="96"/>
      <c r="B104" s="263"/>
    </row>
    <row r="105" customFormat="false" ht="15.75" hidden="false" customHeight="false" outlineLevel="0" collapsed="false">
      <c r="A105" s="96"/>
      <c r="B105" s="263"/>
    </row>
    <row r="106" customFormat="false" ht="15.75" hidden="false" customHeight="false" outlineLevel="0" collapsed="false">
      <c r="A106" s="96"/>
      <c r="B106" s="263"/>
    </row>
    <row r="107" customFormat="false" ht="15.75" hidden="false" customHeight="false" outlineLevel="0" collapsed="false">
      <c r="A107" s="96"/>
      <c r="B107" s="263"/>
    </row>
    <row r="108" customFormat="false" ht="15.75" hidden="false" customHeight="false" outlineLevel="0" collapsed="false">
      <c r="A108" s="96"/>
      <c r="B108" s="263"/>
    </row>
    <row r="109" customFormat="false" ht="15.75" hidden="false" customHeight="false" outlineLevel="0" collapsed="false">
      <c r="A109" s="96"/>
      <c r="B109" s="263"/>
    </row>
    <row r="110" customFormat="false" ht="15.75" hidden="false" customHeight="false" outlineLevel="0" collapsed="false">
      <c r="A110" s="96"/>
      <c r="B110" s="263"/>
    </row>
    <row r="111" customFormat="false" ht="15.75" hidden="false" customHeight="false" outlineLevel="0" collapsed="false">
      <c r="A111" s="96"/>
      <c r="B111" s="263"/>
    </row>
    <row r="112" customFormat="false" ht="15.75" hidden="false" customHeight="false" outlineLevel="0" collapsed="false">
      <c r="A112" s="96"/>
      <c r="B112" s="263"/>
    </row>
    <row r="113" customFormat="false" ht="15.75" hidden="false" customHeight="false" outlineLevel="0" collapsed="false">
      <c r="A113" s="96"/>
      <c r="B113" s="263"/>
    </row>
    <row r="114" customFormat="false" ht="15.75" hidden="false" customHeight="false" outlineLevel="0" collapsed="false">
      <c r="A114" s="96"/>
      <c r="B114" s="263"/>
    </row>
    <row r="115" customFormat="false" ht="15.75" hidden="false" customHeight="false" outlineLevel="0" collapsed="false">
      <c r="A115" s="96"/>
      <c r="B115" s="263"/>
    </row>
    <row r="116" customFormat="false" ht="15.75" hidden="false" customHeight="false" outlineLevel="0" collapsed="false">
      <c r="A116" s="96"/>
      <c r="B116" s="263"/>
    </row>
    <row r="117" customFormat="false" ht="15.75" hidden="false" customHeight="false" outlineLevel="0" collapsed="false">
      <c r="A117" s="96"/>
      <c r="B117" s="263"/>
    </row>
    <row r="118" customFormat="false" ht="15.75" hidden="false" customHeight="false" outlineLevel="0" collapsed="false">
      <c r="A118" s="96"/>
      <c r="B118" s="263"/>
    </row>
    <row r="119" customFormat="false" ht="15.75" hidden="false" customHeight="false" outlineLevel="0" collapsed="false">
      <c r="A119" s="96"/>
      <c r="B119" s="263"/>
    </row>
    <row r="120" customFormat="false" ht="15.75" hidden="false" customHeight="false" outlineLevel="0" collapsed="false">
      <c r="A120" s="96"/>
      <c r="B120" s="263"/>
    </row>
    <row r="121" customFormat="false" ht="15.75" hidden="false" customHeight="false" outlineLevel="0" collapsed="false">
      <c r="A121" s="96"/>
      <c r="B121" s="263"/>
    </row>
    <row r="122" customFormat="false" ht="15.75" hidden="false" customHeight="false" outlineLevel="0" collapsed="false">
      <c r="A122" s="96"/>
      <c r="B122" s="263"/>
    </row>
    <row r="123" customFormat="false" ht="15.75" hidden="false" customHeight="false" outlineLevel="0" collapsed="false">
      <c r="A123" s="96"/>
      <c r="B123" s="263"/>
    </row>
    <row r="124" customFormat="false" ht="15.75" hidden="false" customHeight="false" outlineLevel="0" collapsed="false">
      <c r="A124" s="96"/>
      <c r="B124" s="263"/>
    </row>
    <row r="125" customFormat="false" ht="15.75" hidden="false" customHeight="false" outlineLevel="0" collapsed="false">
      <c r="A125" s="96"/>
      <c r="B125" s="263"/>
    </row>
    <row r="126" customFormat="false" ht="15.75" hidden="false" customHeight="false" outlineLevel="0" collapsed="false">
      <c r="A126" s="96"/>
      <c r="B126" s="263"/>
    </row>
    <row r="127" customFormat="false" ht="15.75" hidden="false" customHeight="false" outlineLevel="0" collapsed="false">
      <c r="A127" s="96"/>
    </row>
    <row r="128" customFormat="false" ht="15.75" hidden="false" customHeight="false" outlineLevel="0" collapsed="false">
      <c r="A128" s="96"/>
    </row>
    <row r="129" customFormat="false" ht="15.75" hidden="false" customHeight="false" outlineLevel="0" collapsed="false">
      <c r="A129" s="96"/>
    </row>
    <row r="130" customFormat="false" ht="15.75" hidden="false" customHeight="false" outlineLevel="0" collapsed="false">
      <c r="A130" s="96"/>
    </row>
    <row r="131" customFormat="false" ht="15.75" hidden="false" customHeight="false" outlineLevel="0" collapsed="false">
      <c r="A131" s="96"/>
    </row>
    <row r="132" customFormat="false" ht="15.75" hidden="false" customHeight="false" outlineLevel="0" collapsed="false">
      <c r="A132" s="96"/>
    </row>
    <row r="133" customFormat="false" ht="15.75" hidden="false" customHeight="false" outlineLevel="0" collapsed="false">
      <c r="A133" s="96"/>
    </row>
    <row r="134" customFormat="false" ht="15.75" hidden="false" customHeight="false" outlineLevel="0" collapsed="false">
      <c r="A134" s="96"/>
    </row>
    <row r="135" customFormat="false" ht="15.75" hidden="false" customHeight="false" outlineLevel="0" collapsed="false">
      <c r="A135" s="96"/>
    </row>
    <row r="136" customFormat="false" ht="15.75" hidden="false" customHeight="false" outlineLevel="0" collapsed="false">
      <c r="A136" s="96"/>
    </row>
    <row r="137" customFormat="false" ht="15.75" hidden="false" customHeight="false" outlineLevel="0" collapsed="false">
      <c r="A137" s="96"/>
    </row>
    <row r="138" customFormat="false" ht="15.75" hidden="false" customHeight="false" outlineLevel="0" collapsed="false">
      <c r="A138" s="96"/>
    </row>
    <row r="139" customFormat="false" ht="15.75" hidden="false" customHeight="false" outlineLevel="0" collapsed="false">
      <c r="A139" s="96"/>
    </row>
    <row r="140" customFormat="false" ht="15.75" hidden="false" customHeight="false" outlineLevel="0" collapsed="false">
      <c r="A140" s="96"/>
    </row>
    <row r="141" customFormat="false" ht="15.75" hidden="false" customHeight="false" outlineLevel="0" collapsed="false">
      <c r="A141" s="96"/>
    </row>
    <row r="142" customFormat="false" ht="15.75" hidden="false" customHeight="false" outlineLevel="0" collapsed="false">
      <c r="A142" s="96"/>
    </row>
    <row r="143" customFormat="false" ht="15.75" hidden="false" customHeight="false" outlineLevel="0" collapsed="false">
      <c r="A143" s="96"/>
    </row>
    <row r="144" customFormat="false" ht="15.75" hidden="false" customHeight="false" outlineLevel="0" collapsed="false">
      <c r="A144" s="96"/>
    </row>
    <row r="145" customFormat="false" ht="15.75" hidden="false" customHeight="false" outlineLevel="0" collapsed="false">
      <c r="A145" s="96"/>
    </row>
    <row r="146" customFormat="false" ht="15.75" hidden="false" customHeight="false" outlineLevel="0" collapsed="false">
      <c r="A146" s="96"/>
    </row>
    <row r="147" customFormat="false" ht="15.75" hidden="false" customHeight="false" outlineLevel="0" collapsed="false">
      <c r="A147" s="96"/>
    </row>
    <row r="148" customFormat="false" ht="15.75" hidden="false" customHeight="false" outlineLevel="0" collapsed="false">
      <c r="A148" s="96"/>
    </row>
    <row r="149" customFormat="false" ht="15.75" hidden="false" customHeight="false" outlineLevel="0" collapsed="false">
      <c r="A149" s="96"/>
    </row>
    <row r="150" customFormat="false" ht="15.75" hidden="false" customHeight="false" outlineLevel="0" collapsed="false">
      <c r="A150" s="96"/>
    </row>
    <row r="151" customFormat="false" ht="15.75" hidden="false" customHeight="false" outlineLevel="0" collapsed="false">
      <c r="A151" s="96"/>
    </row>
    <row r="152" customFormat="false" ht="15.75" hidden="false" customHeight="false" outlineLevel="0" collapsed="false">
      <c r="A152" s="96"/>
    </row>
    <row r="153" customFormat="false" ht="15.75" hidden="false" customHeight="false" outlineLevel="0" collapsed="false">
      <c r="A153" s="96"/>
    </row>
    <row r="154" customFormat="false" ht="15.75" hidden="false" customHeight="false" outlineLevel="0" collapsed="false">
      <c r="A154" s="96"/>
    </row>
    <row r="155" customFormat="false" ht="15.75" hidden="false" customHeight="false" outlineLevel="0" collapsed="false">
      <c r="A155" s="96"/>
    </row>
    <row r="156" customFormat="false" ht="15.75" hidden="false" customHeight="false" outlineLevel="0" collapsed="false">
      <c r="A156" s="96"/>
    </row>
    <row r="157" customFormat="false" ht="15.75" hidden="false" customHeight="false" outlineLevel="0" collapsed="false">
      <c r="A157" s="96"/>
    </row>
    <row r="158" customFormat="false" ht="15.75" hidden="false" customHeight="false" outlineLevel="0" collapsed="false">
      <c r="A158" s="96"/>
    </row>
    <row r="159" customFormat="false" ht="15.75" hidden="false" customHeight="false" outlineLevel="0" collapsed="false">
      <c r="A159" s="96"/>
    </row>
    <row r="160" customFormat="false" ht="15.75" hidden="false" customHeight="false" outlineLevel="0" collapsed="false">
      <c r="A160" s="96"/>
    </row>
    <row r="161" customFormat="false" ht="15.75" hidden="false" customHeight="false" outlineLevel="0" collapsed="false">
      <c r="A161" s="96"/>
    </row>
    <row r="162" customFormat="false" ht="15.75" hidden="false" customHeight="false" outlineLevel="0" collapsed="false">
      <c r="A162" s="96"/>
    </row>
    <row r="163" customFormat="false" ht="15.75" hidden="false" customHeight="false" outlineLevel="0" collapsed="false">
      <c r="A163" s="96"/>
    </row>
    <row r="164" customFormat="false" ht="15.75" hidden="false" customHeight="false" outlineLevel="0" collapsed="false">
      <c r="A164" s="96"/>
    </row>
    <row r="165" customFormat="false" ht="15.75" hidden="false" customHeight="false" outlineLevel="0" collapsed="false">
      <c r="A165" s="96"/>
    </row>
    <row r="166" customFormat="false" ht="15.75" hidden="false" customHeight="false" outlineLevel="0" collapsed="false">
      <c r="A166" s="96"/>
    </row>
    <row r="167" customFormat="false" ht="15.75" hidden="false" customHeight="false" outlineLevel="0" collapsed="false">
      <c r="A167" s="96"/>
    </row>
    <row r="168" customFormat="false" ht="15.75" hidden="false" customHeight="false" outlineLevel="0" collapsed="false">
      <c r="A168" s="96"/>
    </row>
    <row r="169" customFormat="false" ht="15.75" hidden="false" customHeight="false" outlineLevel="0" collapsed="false">
      <c r="A169" s="96"/>
    </row>
    <row r="170" customFormat="false" ht="15.75" hidden="false" customHeight="false" outlineLevel="0" collapsed="false">
      <c r="A170" s="96"/>
    </row>
    <row r="171" customFormat="false" ht="15.75" hidden="false" customHeight="false" outlineLevel="0" collapsed="false">
      <c r="A171" s="96"/>
    </row>
    <row r="172" customFormat="false" ht="15.75" hidden="false" customHeight="false" outlineLevel="0" collapsed="false">
      <c r="A172" s="96"/>
    </row>
    <row r="173" customFormat="false" ht="15.75" hidden="false" customHeight="false" outlineLevel="0" collapsed="false">
      <c r="A173" s="96"/>
    </row>
    <row r="174" customFormat="false" ht="15.75" hidden="false" customHeight="false" outlineLevel="0" collapsed="false">
      <c r="A174" s="96"/>
    </row>
    <row r="175" customFormat="false" ht="15.75" hidden="false" customHeight="false" outlineLevel="0" collapsed="false">
      <c r="A175" s="96"/>
    </row>
    <row r="176" customFormat="false" ht="15.75" hidden="false" customHeight="false" outlineLevel="0" collapsed="false">
      <c r="A176" s="96"/>
    </row>
    <row r="177" customFormat="false" ht="15.75" hidden="false" customHeight="false" outlineLevel="0" collapsed="false">
      <c r="A177" s="96"/>
    </row>
    <row r="178" customFormat="false" ht="15.75" hidden="false" customHeight="false" outlineLevel="0" collapsed="false">
      <c r="A178" s="96"/>
    </row>
    <row r="179" customFormat="false" ht="15.75" hidden="false" customHeight="false" outlineLevel="0" collapsed="false">
      <c r="A179" s="96"/>
    </row>
    <row r="180" customFormat="false" ht="15.75" hidden="false" customHeight="false" outlineLevel="0" collapsed="false">
      <c r="A180" s="96"/>
    </row>
    <row r="181" customFormat="false" ht="15.75" hidden="false" customHeight="false" outlineLevel="0" collapsed="false">
      <c r="A181" s="96"/>
    </row>
    <row r="182" customFormat="false" ht="15.75" hidden="false" customHeight="false" outlineLevel="0" collapsed="false">
      <c r="A182" s="96"/>
    </row>
    <row r="183" customFormat="false" ht="15.75" hidden="false" customHeight="false" outlineLevel="0" collapsed="false">
      <c r="A183" s="96"/>
    </row>
    <row r="184" customFormat="false" ht="15.75" hidden="false" customHeight="false" outlineLevel="0" collapsed="false">
      <c r="A184" s="96"/>
    </row>
    <row r="185" customFormat="false" ht="15.75" hidden="false" customHeight="false" outlineLevel="0" collapsed="false">
      <c r="A185" s="96"/>
    </row>
    <row r="186" customFormat="false" ht="15.75" hidden="false" customHeight="false" outlineLevel="0" collapsed="false">
      <c r="A186" s="96"/>
    </row>
    <row r="187" customFormat="false" ht="15.75" hidden="false" customHeight="false" outlineLevel="0" collapsed="false">
      <c r="A187" s="96"/>
    </row>
    <row r="188" customFormat="false" ht="15.75" hidden="false" customHeight="false" outlineLevel="0" collapsed="false">
      <c r="A188" s="96"/>
    </row>
    <row r="189" customFormat="false" ht="15.75" hidden="false" customHeight="false" outlineLevel="0" collapsed="false">
      <c r="A189" s="96"/>
    </row>
    <row r="190" customFormat="false" ht="15.75" hidden="false" customHeight="false" outlineLevel="0" collapsed="false">
      <c r="A190" s="96"/>
    </row>
    <row r="191" customFormat="false" ht="15.75" hidden="false" customHeight="false" outlineLevel="0" collapsed="false">
      <c r="A191" s="96"/>
    </row>
    <row r="192" customFormat="false" ht="15.75" hidden="false" customHeight="false" outlineLevel="0" collapsed="false">
      <c r="A192" s="96"/>
    </row>
    <row r="193" customFormat="false" ht="15.75" hidden="false" customHeight="false" outlineLevel="0" collapsed="false">
      <c r="A193" s="96"/>
    </row>
    <row r="194" customFormat="false" ht="15.75" hidden="false" customHeight="false" outlineLevel="0" collapsed="false">
      <c r="A194" s="96"/>
    </row>
    <row r="195" customFormat="false" ht="15.75" hidden="false" customHeight="false" outlineLevel="0" collapsed="false">
      <c r="A195" s="96"/>
    </row>
    <row r="196" customFormat="false" ht="15.75" hidden="false" customHeight="false" outlineLevel="0" collapsed="false">
      <c r="A196" s="96"/>
    </row>
    <row r="197" customFormat="false" ht="15.75" hidden="false" customHeight="false" outlineLevel="0" collapsed="false">
      <c r="A197" s="96"/>
    </row>
    <row r="198" customFormat="false" ht="15.75" hidden="false" customHeight="false" outlineLevel="0" collapsed="false">
      <c r="A198" s="96"/>
    </row>
    <row r="199" customFormat="false" ht="15.75" hidden="false" customHeight="false" outlineLevel="0" collapsed="false">
      <c r="A199" s="96"/>
    </row>
    <row r="200" customFormat="false" ht="15.75" hidden="false" customHeight="false" outlineLevel="0" collapsed="false">
      <c r="A200" s="96"/>
    </row>
    <row r="201" customFormat="false" ht="15.75" hidden="false" customHeight="false" outlineLevel="0" collapsed="false">
      <c r="A201" s="96"/>
    </row>
    <row r="202" customFormat="false" ht="15.75" hidden="false" customHeight="false" outlineLevel="0" collapsed="false">
      <c r="A202" s="96"/>
    </row>
    <row r="203" customFormat="false" ht="15.75" hidden="false" customHeight="false" outlineLevel="0" collapsed="false">
      <c r="A203" s="96"/>
    </row>
    <row r="204" customFormat="false" ht="15.75" hidden="false" customHeight="false" outlineLevel="0" collapsed="false">
      <c r="A204" s="96"/>
    </row>
    <row r="205" customFormat="false" ht="15.75" hidden="false" customHeight="false" outlineLevel="0" collapsed="false">
      <c r="A205" s="96"/>
    </row>
    <row r="206" customFormat="false" ht="15.75" hidden="false" customHeight="false" outlineLevel="0" collapsed="false">
      <c r="A206" s="96"/>
    </row>
    <row r="207" customFormat="false" ht="15.75" hidden="false" customHeight="false" outlineLevel="0" collapsed="false">
      <c r="A207" s="96"/>
    </row>
    <row r="208" customFormat="false" ht="15.75" hidden="false" customHeight="false" outlineLevel="0" collapsed="false">
      <c r="A208" s="96"/>
    </row>
    <row r="209" customFormat="false" ht="15.75" hidden="false" customHeight="false" outlineLevel="0" collapsed="false">
      <c r="A209" s="96"/>
    </row>
    <row r="210" customFormat="false" ht="15.75" hidden="false" customHeight="false" outlineLevel="0" collapsed="false">
      <c r="A210" s="96"/>
    </row>
    <row r="211" customFormat="false" ht="15.75" hidden="false" customHeight="false" outlineLevel="0" collapsed="false">
      <c r="A211" s="96"/>
    </row>
    <row r="212" customFormat="false" ht="15.75" hidden="false" customHeight="false" outlineLevel="0" collapsed="false">
      <c r="A212" s="96"/>
    </row>
    <row r="213" customFormat="false" ht="15.75" hidden="false" customHeight="false" outlineLevel="0" collapsed="false">
      <c r="A213" s="96"/>
    </row>
    <row r="214" customFormat="false" ht="15.75" hidden="false" customHeight="false" outlineLevel="0" collapsed="false">
      <c r="A214" s="96"/>
    </row>
    <row r="215" customFormat="false" ht="15.75" hidden="false" customHeight="false" outlineLevel="0" collapsed="false">
      <c r="A215" s="96"/>
    </row>
    <row r="216" customFormat="false" ht="15.75" hidden="false" customHeight="false" outlineLevel="0" collapsed="false">
      <c r="A216" s="96"/>
    </row>
    <row r="217" customFormat="false" ht="15.75" hidden="false" customHeight="false" outlineLevel="0" collapsed="false">
      <c r="A217" s="96"/>
    </row>
    <row r="218" customFormat="false" ht="15.75" hidden="false" customHeight="false" outlineLevel="0" collapsed="false">
      <c r="A218" s="96"/>
    </row>
    <row r="219" customFormat="false" ht="15.75" hidden="false" customHeight="false" outlineLevel="0" collapsed="false">
      <c r="A219" s="96"/>
    </row>
    <row r="220" customFormat="false" ht="15.75" hidden="false" customHeight="false" outlineLevel="0" collapsed="false">
      <c r="A220" s="96"/>
    </row>
    <row r="221" customFormat="false" ht="15.75" hidden="false" customHeight="false" outlineLevel="0" collapsed="false">
      <c r="A221" s="96"/>
    </row>
    <row r="222" customFormat="false" ht="15.75" hidden="false" customHeight="false" outlineLevel="0" collapsed="false">
      <c r="A222" s="96"/>
    </row>
    <row r="223" customFormat="false" ht="15.75" hidden="false" customHeight="false" outlineLevel="0" collapsed="false">
      <c r="A223" s="96"/>
    </row>
    <row r="224" customFormat="false" ht="15.75" hidden="false" customHeight="false" outlineLevel="0" collapsed="false">
      <c r="A224" s="96"/>
    </row>
    <row r="225" customFormat="false" ht="15.75" hidden="false" customHeight="false" outlineLevel="0" collapsed="false">
      <c r="A225" s="96"/>
    </row>
    <row r="226" customFormat="false" ht="15.75" hidden="false" customHeight="false" outlineLevel="0" collapsed="false">
      <c r="A226" s="96"/>
    </row>
    <row r="227" customFormat="false" ht="15.75" hidden="false" customHeight="false" outlineLevel="0" collapsed="false">
      <c r="A227" s="96"/>
    </row>
    <row r="228" customFormat="false" ht="15.75" hidden="false" customHeight="false" outlineLevel="0" collapsed="false">
      <c r="A228" s="96"/>
    </row>
    <row r="229" customFormat="false" ht="15.75" hidden="false" customHeight="false" outlineLevel="0" collapsed="false">
      <c r="A229" s="96"/>
    </row>
    <row r="230" customFormat="false" ht="15.75" hidden="false" customHeight="false" outlineLevel="0" collapsed="false">
      <c r="A230" s="96"/>
    </row>
    <row r="231" customFormat="false" ht="15.75" hidden="false" customHeight="false" outlineLevel="0" collapsed="false">
      <c r="A231" s="96"/>
    </row>
    <row r="232" customFormat="false" ht="15.75" hidden="false" customHeight="false" outlineLevel="0" collapsed="false">
      <c r="A232" s="96"/>
    </row>
    <row r="233" customFormat="false" ht="15.75" hidden="false" customHeight="false" outlineLevel="0" collapsed="false">
      <c r="A233" s="96"/>
    </row>
    <row r="234" customFormat="false" ht="15.75" hidden="false" customHeight="false" outlineLevel="0" collapsed="false">
      <c r="A234" s="96"/>
    </row>
    <row r="235" customFormat="false" ht="15.75" hidden="false" customHeight="false" outlineLevel="0" collapsed="false">
      <c r="A235" s="96"/>
    </row>
    <row r="236" customFormat="false" ht="15.75" hidden="false" customHeight="false" outlineLevel="0" collapsed="false">
      <c r="A236" s="96"/>
    </row>
    <row r="237" customFormat="false" ht="15.75" hidden="false" customHeight="false" outlineLevel="0" collapsed="false">
      <c r="A237" s="96"/>
    </row>
    <row r="238" customFormat="false" ht="15.75" hidden="false" customHeight="false" outlineLevel="0" collapsed="false">
      <c r="A238" s="96"/>
    </row>
    <row r="239" customFormat="false" ht="15.75" hidden="false" customHeight="false" outlineLevel="0" collapsed="false">
      <c r="A239" s="96"/>
    </row>
    <row r="240" customFormat="false" ht="15.75" hidden="false" customHeight="false" outlineLevel="0" collapsed="false">
      <c r="A240" s="96"/>
    </row>
    <row r="241" customFormat="false" ht="15.75" hidden="false" customHeight="false" outlineLevel="0" collapsed="false">
      <c r="A241" s="96"/>
    </row>
    <row r="242" customFormat="false" ht="15.75" hidden="false" customHeight="false" outlineLevel="0" collapsed="false">
      <c r="A242" s="96"/>
    </row>
    <row r="243" customFormat="false" ht="15.75" hidden="false" customHeight="false" outlineLevel="0" collapsed="false">
      <c r="A243" s="96"/>
    </row>
    <row r="244" customFormat="false" ht="15.75" hidden="false" customHeight="false" outlineLevel="0" collapsed="false">
      <c r="A244" s="96"/>
    </row>
    <row r="245" customFormat="false" ht="15.75" hidden="false" customHeight="false" outlineLevel="0" collapsed="false">
      <c r="A245" s="96"/>
    </row>
    <row r="246" customFormat="false" ht="15.75" hidden="false" customHeight="false" outlineLevel="0" collapsed="false">
      <c r="A246" s="96"/>
    </row>
    <row r="247" customFormat="false" ht="15.75" hidden="false" customHeight="false" outlineLevel="0" collapsed="false">
      <c r="A247" s="96"/>
    </row>
    <row r="248" customFormat="false" ht="15.75" hidden="false" customHeight="false" outlineLevel="0" collapsed="false">
      <c r="A248" s="96"/>
    </row>
    <row r="249" customFormat="false" ht="15.75" hidden="false" customHeight="false" outlineLevel="0" collapsed="false">
      <c r="A249" s="96"/>
    </row>
    <row r="250" customFormat="false" ht="15.75" hidden="false" customHeight="false" outlineLevel="0" collapsed="false">
      <c r="A250" s="96"/>
    </row>
    <row r="251" customFormat="false" ht="15.75" hidden="false" customHeight="false" outlineLevel="0" collapsed="false">
      <c r="A251" s="96"/>
    </row>
    <row r="252" customFormat="false" ht="15.75" hidden="false" customHeight="false" outlineLevel="0" collapsed="false">
      <c r="A252" s="96"/>
    </row>
    <row r="253" customFormat="false" ht="15.75" hidden="false" customHeight="false" outlineLevel="0" collapsed="false">
      <c r="A253" s="96"/>
    </row>
    <row r="254" customFormat="false" ht="15.75" hidden="false" customHeight="false" outlineLevel="0" collapsed="false">
      <c r="A254" s="96"/>
    </row>
    <row r="255" customFormat="false" ht="15.75" hidden="false" customHeight="false" outlineLevel="0" collapsed="false">
      <c r="A255" s="96"/>
    </row>
    <row r="256" customFormat="false" ht="15.75" hidden="false" customHeight="false" outlineLevel="0" collapsed="false">
      <c r="A256" s="96"/>
    </row>
    <row r="257" customFormat="false" ht="15.75" hidden="false" customHeight="false" outlineLevel="0" collapsed="false">
      <c r="A257" s="96"/>
    </row>
    <row r="258" customFormat="false" ht="15.75" hidden="false" customHeight="false" outlineLevel="0" collapsed="false">
      <c r="A258" s="96"/>
    </row>
    <row r="259" customFormat="false" ht="15.75" hidden="false" customHeight="false" outlineLevel="0" collapsed="false">
      <c r="A259" s="96"/>
    </row>
    <row r="260" customFormat="false" ht="15.75" hidden="false" customHeight="false" outlineLevel="0" collapsed="false">
      <c r="A260" s="96"/>
    </row>
    <row r="261" customFormat="false" ht="15.75" hidden="false" customHeight="false" outlineLevel="0" collapsed="false">
      <c r="A261" s="96"/>
    </row>
    <row r="262" customFormat="false" ht="15.75" hidden="false" customHeight="false" outlineLevel="0" collapsed="false">
      <c r="A262" s="96"/>
    </row>
    <row r="263" customFormat="false" ht="15.75" hidden="false" customHeight="false" outlineLevel="0" collapsed="false">
      <c r="A263" s="96"/>
    </row>
    <row r="264" customFormat="false" ht="15.75" hidden="false" customHeight="false" outlineLevel="0" collapsed="false">
      <c r="A264" s="96"/>
    </row>
    <row r="265" customFormat="false" ht="15.75" hidden="false" customHeight="false" outlineLevel="0" collapsed="false">
      <c r="A265" s="96"/>
    </row>
    <row r="266" customFormat="false" ht="15.75" hidden="false" customHeight="false" outlineLevel="0" collapsed="false">
      <c r="A266" s="96"/>
    </row>
    <row r="267" customFormat="false" ht="15.75" hidden="false" customHeight="false" outlineLevel="0" collapsed="false">
      <c r="A267" s="96"/>
    </row>
    <row r="268" customFormat="false" ht="15.75" hidden="false" customHeight="false" outlineLevel="0" collapsed="false">
      <c r="A268" s="96"/>
    </row>
    <row r="269" customFormat="false" ht="15.75" hidden="false" customHeight="false" outlineLevel="0" collapsed="false">
      <c r="A269" s="96"/>
    </row>
    <row r="270" customFormat="false" ht="15.75" hidden="false" customHeight="false" outlineLevel="0" collapsed="false">
      <c r="A270" s="96"/>
    </row>
    <row r="271" customFormat="false" ht="15.75" hidden="false" customHeight="false" outlineLevel="0" collapsed="false">
      <c r="A271" s="96"/>
    </row>
    <row r="272" customFormat="false" ht="15.75" hidden="false" customHeight="false" outlineLevel="0" collapsed="false">
      <c r="A272" s="96"/>
    </row>
    <row r="273" customFormat="false" ht="15.75" hidden="false" customHeight="false" outlineLevel="0" collapsed="false">
      <c r="A273" s="96"/>
    </row>
    <row r="274" customFormat="false" ht="15.75" hidden="false" customHeight="false" outlineLevel="0" collapsed="false">
      <c r="A274" s="96"/>
    </row>
    <row r="275" customFormat="false" ht="15.75" hidden="false" customHeight="false" outlineLevel="0" collapsed="false">
      <c r="A275" s="96"/>
    </row>
    <row r="276" customFormat="false" ht="15.75" hidden="false" customHeight="false" outlineLevel="0" collapsed="false">
      <c r="A276" s="96"/>
    </row>
    <row r="277" customFormat="false" ht="15.75" hidden="false" customHeight="false" outlineLevel="0" collapsed="false">
      <c r="A277" s="96"/>
    </row>
    <row r="278" customFormat="false" ht="15.75" hidden="false" customHeight="false" outlineLevel="0" collapsed="false">
      <c r="A278" s="96"/>
    </row>
    <row r="279" customFormat="false" ht="15.75" hidden="false" customHeight="false" outlineLevel="0" collapsed="false">
      <c r="A279" s="96"/>
    </row>
    <row r="280" customFormat="false" ht="15.75" hidden="false" customHeight="false" outlineLevel="0" collapsed="false">
      <c r="A280" s="96"/>
    </row>
    <row r="281" customFormat="false" ht="15.75" hidden="false" customHeight="false" outlineLevel="0" collapsed="false">
      <c r="A281" s="96"/>
    </row>
    <row r="282" customFormat="false" ht="15.75" hidden="false" customHeight="false" outlineLevel="0" collapsed="false">
      <c r="A282" s="96"/>
    </row>
    <row r="283" customFormat="false" ht="15.75" hidden="false" customHeight="false" outlineLevel="0" collapsed="false">
      <c r="A283" s="96"/>
    </row>
    <row r="284" customFormat="false" ht="15.75" hidden="false" customHeight="false" outlineLevel="0" collapsed="false">
      <c r="A284" s="96"/>
    </row>
    <row r="285" customFormat="false" ht="15.75" hidden="false" customHeight="false" outlineLevel="0" collapsed="false">
      <c r="A285" s="96"/>
    </row>
    <row r="286" customFormat="false" ht="15.75" hidden="false" customHeight="false" outlineLevel="0" collapsed="false">
      <c r="A286" s="96"/>
    </row>
    <row r="287" customFormat="false" ht="15.75" hidden="false" customHeight="false" outlineLevel="0" collapsed="false">
      <c r="A287" s="96"/>
    </row>
    <row r="288" customFormat="false" ht="15.75" hidden="false" customHeight="false" outlineLevel="0" collapsed="false">
      <c r="A288" s="96"/>
    </row>
    <row r="289" customFormat="false" ht="15.75" hidden="false" customHeight="false" outlineLevel="0" collapsed="false">
      <c r="A289" s="96"/>
    </row>
    <row r="290" customFormat="false" ht="15.75" hidden="false" customHeight="false" outlineLevel="0" collapsed="false">
      <c r="A290" s="96"/>
    </row>
    <row r="291" customFormat="false" ht="15.75" hidden="false" customHeight="false" outlineLevel="0" collapsed="false">
      <c r="A291" s="96"/>
    </row>
    <row r="292" customFormat="false" ht="15.75" hidden="false" customHeight="false" outlineLevel="0" collapsed="false">
      <c r="A292" s="96"/>
    </row>
    <row r="293" customFormat="false" ht="15.75" hidden="false" customHeight="false" outlineLevel="0" collapsed="false">
      <c r="A293" s="96"/>
    </row>
    <row r="294" customFormat="false" ht="15.75" hidden="false" customHeight="false" outlineLevel="0" collapsed="false">
      <c r="A294" s="96"/>
    </row>
    <row r="295" customFormat="false" ht="15.75" hidden="false" customHeight="false" outlineLevel="0" collapsed="false">
      <c r="A295" s="96"/>
    </row>
    <row r="296" customFormat="false" ht="15.75" hidden="false" customHeight="false" outlineLevel="0" collapsed="false">
      <c r="A296" s="96"/>
    </row>
    <row r="297" customFormat="false" ht="15.75" hidden="false" customHeight="false" outlineLevel="0" collapsed="false">
      <c r="A297" s="96"/>
    </row>
    <row r="298" customFormat="false" ht="15.75" hidden="false" customHeight="false" outlineLevel="0" collapsed="false">
      <c r="A298" s="96"/>
    </row>
    <row r="299" customFormat="false" ht="15.75" hidden="false" customHeight="false" outlineLevel="0" collapsed="false">
      <c r="A299" s="96"/>
    </row>
    <row r="300" customFormat="false" ht="15.75" hidden="false" customHeight="false" outlineLevel="0" collapsed="false">
      <c r="A300" s="96"/>
    </row>
    <row r="301" customFormat="false" ht="15.75" hidden="false" customHeight="false" outlineLevel="0" collapsed="false">
      <c r="A301" s="96"/>
    </row>
    <row r="302" customFormat="false" ht="15.75" hidden="false" customHeight="false" outlineLevel="0" collapsed="false">
      <c r="A302" s="96"/>
    </row>
    <row r="303" customFormat="false" ht="15.75" hidden="false" customHeight="false" outlineLevel="0" collapsed="false">
      <c r="A303" s="96"/>
    </row>
    <row r="304" customFormat="false" ht="15.75" hidden="false" customHeight="false" outlineLevel="0" collapsed="false">
      <c r="A304" s="96"/>
    </row>
    <row r="305" customFormat="false" ht="15.75" hidden="false" customHeight="false" outlineLevel="0" collapsed="false">
      <c r="A305" s="96"/>
    </row>
    <row r="306" customFormat="false" ht="15.75" hidden="false" customHeight="false" outlineLevel="0" collapsed="false">
      <c r="A306" s="96"/>
    </row>
    <row r="307" customFormat="false" ht="15.75" hidden="false" customHeight="false" outlineLevel="0" collapsed="false">
      <c r="A307" s="96"/>
    </row>
    <row r="308" customFormat="false" ht="15.75" hidden="false" customHeight="false" outlineLevel="0" collapsed="false">
      <c r="A308" s="96"/>
    </row>
    <row r="309" customFormat="false" ht="15.75" hidden="false" customHeight="false" outlineLevel="0" collapsed="false">
      <c r="A309" s="96"/>
    </row>
    <row r="310" customFormat="false" ht="15.75" hidden="false" customHeight="false" outlineLevel="0" collapsed="false">
      <c r="A310" s="96"/>
    </row>
    <row r="311" customFormat="false" ht="15.75" hidden="false" customHeight="false" outlineLevel="0" collapsed="false">
      <c r="A311" s="96"/>
    </row>
    <row r="312" customFormat="false" ht="15.75" hidden="false" customHeight="false" outlineLevel="0" collapsed="false">
      <c r="A312" s="96"/>
    </row>
    <row r="313" customFormat="false" ht="15.75" hidden="false" customHeight="false" outlineLevel="0" collapsed="false">
      <c r="A313" s="96"/>
    </row>
    <row r="314" customFormat="false" ht="15.75" hidden="false" customHeight="false" outlineLevel="0" collapsed="false">
      <c r="A314" s="96"/>
    </row>
    <row r="315" customFormat="false" ht="15.75" hidden="false" customHeight="false" outlineLevel="0" collapsed="false">
      <c r="A315" s="96"/>
    </row>
    <row r="316" customFormat="false" ht="15.75" hidden="false" customHeight="false" outlineLevel="0" collapsed="false">
      <c r="A316" s="96"/>
    </row>
    <row r="317" customFormat="false" ht="15.75" hidden="false" customHeight="false" outlineLevel="0" collapsed="false">
      <c r="A317" s="96"/>
    </row>
    <row r="318" customFormat="false" ht="15.75" hidden="false" customHeight="false" outlineLevel="0" collapsed="false">
      <c r="A318" s="96"/>
    </row>
    <row r="319" customFormat="false" ht="15.75" hidden="false" customHeight="false" outlineLevel="0" collapsed="false">
      <c r="A319" s="96"/>
    </row>
    <row r="320" customFormat="false" ht="15.75" hidden="false" customHeight="false" outlineLevel="0" collapsed="false">
      <c r="A320" s="96"/>
    </row>
    <row r="321" customFormat="false" ht="15.75" hidden="false" customHeight="false" outlineLevel="0" collapsed="false">
      <c r="A321" s="96"/>
    </row>
    <row r="322" customFormat="false" ht="15.75" hidden="false" customHeight="false" outlineLevel="0" collapsed="false">
      <c r="A322" s="96"/>
    </row>
    <row r="323" customFormat="false" ht="15.75" hidden="false" customHeight="false" outlineLevel="0" collapsed="false">
      <c r="A323" s="96"/>
    </row>
    <row r="324" customFormat="false" ht="15.75" hidden="false" customHeight="false" outlineLevel="0" collapsed="false">
      <c r="A324" s="96"/>
    </row>
    <row r="325" customFormat="false" ht="15.75" hidden="false" customHeight="false" outlineLevel="0" collapsed="false">
      <c r="A325" s="96"/>
    </row>
    <row r="326" customFormat="false" ht="15.75" hidden="false" customHeight="false" outlineLevel="0" collapsed="false">
      <c r="A326" s="96"/>
    </row>
    <row r="327" customFormat="false" ht="15.75" hidden="false" customHeight="false" outlineLevel="0" collapsed="false">
      <c r="A327" s="96"/>
    </row>
    <row r="328" customFormat="false" ht="15.75" hidden="false" customHeight="false" outlineLevel="0" collapsed="false">
      <c r="A328" s="96"/>
    </row>
    <row r="329" customFormat="false" ht="15.75" hidden="false" customHeight="false" outlineLevel="0" collapsed="false">
      <c r="A329" s="96"/>
    </row>
    <row r="330" customFormat="false" ht="15.75" hidden="false" customHeight="false" outlineLevel="0" collapsed="false">
      <c r="A330" s="96"/>
    </row>
    <row r="331" customFormat="false" ht="15.75" hidden="false" customHeight="false" outlineLevel="0" collapsed="false">
      <c r="A331" s="96"/>
    </row>
    <row r="332" customFormat="false" ht="15.75" hidden="false" customHeight="false" outlineLevel="0" collapsed="false">
      <c r="A332" s="96"/>
    </row>
    <row r="333" customFormat="false" ht="15.75" hidden="false" customHeight="false" outlineLevel="0" collapsed="false">
      <c r="A333" s="96"/>
    </row>
    <row r="334" customFormat="false" ht="15.75" hidden="false" customHeight="false" outlineLevel="0" collapsed="false">
      <c r="A334" s="96"/>
    </row>
    <row r="335" customFormat="false" ht="15.75" hidden="false" customHeight="false" outlineLevel="0" collapsed="false">
      <c r="A335" s="96"/>
    </row>
    <row r="336" customFormat="false" ht="15.75" hidden="false" customHeight="false" outlineLevel="0" collapsed="false">
      <c r="A336" s="96"/>
    </row>
    <row r="337" customFormat="false" ht="15.75" hidden="false" customHeight="false" outlineLevel="0" collapsed="false">
      <c r="A337" s="96"/>
    </row>
    <row r="338" customFormat="false" ht="15.75" hidden="false" customHeight="false" outlineLevel="0" collapsed="false">
      <c r="A338" s="96"/>
    </row>
    <row r="339" customFormat="false" ht="15.75" hidden="false" customHeight="false" outlineLevel="0" collapsed="false">
      <c r="A339" s="96"/>
    </row>
    <row r="340" customFormat="false" ht="15.75" hidden="false" customHeight="false" outlineLevel="0" collapsed="false">
      <c r="A340" s="96"/>
    </row>
    <row r="341" customFormat="false" ht="15.75" hidden="false" customHeight="false" outlineLevel="0" collapsed="false">
      <c r="A341" s="96"/>
    </row>
    <row r="342" customFormat="false" ht="15.75" hidden="false" customHeight="false" outlineLevel="0" collapsed="false">
      <c r="A342" s="96"/>
    </row>
    <row r="343" customFormat="false" ht="15.75" hidden="false" customHeight="false" outlineLevel="0" collapsed="false">
      <c r="A343" s="96"/>
    </row>
    <row r="344" customFormat="false" ht="15.75" hidden="false" customHeight="false" outlineLevel="0" collapsed="false">
      <c r="A344" s="96"/>
    </row>
    <row r="345" customFormat="false" ht="15.75" hidden="false" customHeight="false" outlineLevel="0" collapsed="false">
      <c r="A345" s="96"/>
    </row>
    <row r="346" customFormat="false" ht="15.75" hidden="false" customHeight="false" outlineLevel="0" collapsed="false">
      <c r="A346" s="96"/>
    </row>
    <row r="347" customFormat="false" ht="15.75" hidden="false" customHeight="false" outlineLevel="0" collapsed="false">
      <c r="A347" s="96"/>
    </row>
    <row r="348" customFormat="false" ht="15.75" hidden="false" customHeight="false" outlineLevel="0" collapsed="false">
      <c r="A348" s="96"/>
    </row>
    <row r="349" customFormat="false" ht="15.75" hidden="false" customHeight="false" outlineLevel="0" collapsed="false">
      <c r="A349" s="96"/>
    </row>
    <row r="350" customFormat="false" ht="15.75" hidden="false" customHeight="false" outlineLevel="0" collapsed="false">
      <c r="A350" s="96"/>
    </row>
    <row r="351" customFormat="false" ht="15.75" hidden="false" customHeight="false" outlineLevel="0" collapsed="false">
      <c r="A351" s="96"/>
    </row>
    <row r="352" customFormat="false" ht="15.75" hidden="false" customHeight="false" outlineLevel="0" collapsed="false">
      <c r="A352" s="96"/>
    </row>
    <row r="353" customFormat="false" ht="15.75" hidden="false" customHeight="false" outlineLevel="0" collapsed="false">
      <c r="A353" s="96"/>
    </row>
    <row r="354" customFormat="false" ht="15.75" hidden="false" customHeight="false" outlineLevel="0" collapsed="false">
      <c r="A354" s="96"/>
    </row>
    <row r="355" customFormat="false" ht="15.75" hidden="false" customHeight="false" outlineLevel="0" collapsed="false">
      <c r="A355" s="96"/>
    </row>
    <row r="356" customFormat="false" ht="15.75" hidden="false" customHeight="false" outlineLevel="0" collapsed="false">
      <c r="A356" s="96"/>
    </row>
    <row r="357" customFormat="false" ht="15.75" hidden="false" customHeight="false" outlineLevel="0" collapsed="false">
      <c r="A357" s="96"/>
    </row>
    <row r="358" customFormat="false" ht="15.75" hidden="false" customHeight="false" outlineLevel="0" collapsed="false">
      <c r="A358" s="96"/>
    </row>
    <row r="359" customFormat="false" ht="15.75" hidden="false" customHeight="false" outlineLevel="0" collapsed="false">
      <c r="A359" s="96"/>
    </row>
    <row r="360" customFormat="false" ht="15.75" hidden="false" customHeight="false" outlineLevel="0" collapsed="false">
      <c r="A360" s="96"/>
    </row>
    <row r="361" customFormat="false" ht="15.75" hidden="false" customHeight="false" outlineLevel="0" collapsed="false">
      <c r="A361" s="96"/>
    </row>
    <row r="362" customFormat="false" ht="15.75" hidden="false" customHeight="false" outlineLevel="0" collapsed="false">
      <c r="A362" s="96"/>
    </row>
    <row r="363" customFormat="false" ht="15.75" hidden="false" customHeight="false" outlineLevel="0" collapsed="false">
      <c r="A363" s="96"/>
    </row>
    <row r="364" customFormat="false" ht="15.75" hidden="false" customHeight="false" outlineLevel="0" collapsed="false">
      <c r="A364" s="96"/>
    </row>
    <row r="365" customFormat="false" ht="15.75" hidden="false" customHeight="false" outlineLevel="0" collapsed="false">
      <c r="A365" s="96"/>
    </row>
    <row r="366" customFormat="false" ht="15.75" hidden="false" customHeight="false" outlineLevel="0" collapsed="false">
      <c r="A366" s="96"/>
    </row>
    <row r="367" customFormat="false" ht="15.75" hidden="false" customHeight="false" outlineLevel="0" collapsed="false">
      <c r="A367" s="96"/>
    </row>
    <row r="368" customFormat="false" ht="15.75" hidden="false" customHeight="false" outlineLevel="0" collapsed="false">
      <c r="A368" s="96"/>
    </row>
    <row r="369" customFormat="false" ht="15.75" hidden="false" customHeight="false" outlineLevel="0" collapsed="false">
      <c r="A369" s="96"/>
    </row>
    <row r="370" customFormat="false" ht="15.75" hidden="false" customHeight="false" outlineLevel="0" collapsed="false">
      <c r="A370" s="96"/>
    </row>
    <row r="371" customFormat="false" ht="15.75" hidden="false" customHeight="false" outlineLevel="0" collapsed="false">
      <c r="A371" s="96"/>
    </row>
    <row r="372" customFormat="false" ht="15.75" hidden="false" customHeight="false" outlineLevel="0" collapsed="false">
      <c r="A372" s="96"/>
    </row>
    <row r="373" customFormat="false" ht="15.75" hidden="false" customHeight="false" outlineLevel="0" collapsed="false">
      <c r="A373" s="96"/>
    </row>
    <row r="374" customFormat="false" ht="15.75" hidden="false" customHeight="false" outlineLevel="0" collapsed="false">
      <c r="A374" s="96"/>
    </row>
    <row r="375" customFormat="false" ht="15.75" hidden="false" customHeight="false" outlineLevel="0" collapsed="false">
      <c r="A375" s="96"/>
    </row>
    <row r="376" customFormat="false" ht="15.75" hidden="false" customHeight="false" outlineLevel="0" collapsed="false">
      <c r="A376" s="96"/>
    </row>
    <row r="377" customFormat="false" ht="15.75" hidden="false" customHeight="false" outlineLevel="0" collapsed="false">
      <c r="A377" s="96"/>
    </row>
    <row r="378" customFormat="false" ht="15.75" hidden="false" customHeight="false" outlineLevel="0" collapsed="false">
      <c r="A378" s="96"/>
    </row>
    <row r="379" customFormat="false" ht="15.75" hidden="false" customHeight="false" outlineLevel="0" collapsed="false">
      <c r="A379" s="96"/>
    </row>
    <row r="380" customFormat="false" ht="15.75" hidden="false" customHeight="false" outlineLevel="0" collapsed="false">
      <c r="A380" s="96"/>
    </row>
    <row r="381" customFormat="false" ht="15.75" hidden="false" customHeight="false" outlineLevel="0" collapsed="false">
      <c r="A381" s="96"/>
    </row>
    <row r="382" customFormat="false" ht="15.75" hidden="false" customHeight="false" outlineLevel="0" collapsed="false">
      <c r="A382" s="96"/>
    </row>
    <row r="383" customFormat="false" ht="15.75" hidden="false" customHeight="false" outlineLevel="0" collapsed="false">
      <c r="A383" s="96"/>
    </row>
    <row r="384" customFormat="false" ht="15.75" hidden="false" customHeight="false" outlineLevel="0" collapsed="false">
      <c r="A384" s="96"/>
    </row>
    <row r="385" customFormat="false" ht="15.75" hidden="false" customHeight="false" outlineLevel="0" collapsed="false">
      <c r="A385" s="96"/>
    </row>
    <row r="386" customFormat="false" ht="15.75" hidden="false" customHeight="false" outlineLevel="0" collapsed="false">
      <c r="A386" s="96"/>
    </row>
    <row r="387" customFormat="false" ht="15.75" hidden="false" customHeight="false" outlineLevel="0" collapsed="false">
      <c r="A387" s="96"/>
    </row>
    <row r="388" customFormat="false" ht="15.75" hidden="false" customHeight="false" outlineLevel="0" collapsed="false">
      <c r="A388" s="96"/>
    </row>
    <row r="389" customFormat="false" ht="15.75" hidden="false" customHeight="false" outlineLevel="0" collapsed="false">
      <c r="A389" s="96"/>
    </row>
    <row r="390" customFormat="false" ht="15.75" hidden="false" customHeight="false" outlineLevel="0" collapsed="false">
      <c r="A390" s="96"/>
    </row>
    <row r="391" customFormat="false" ht="15.75" hidden="false" customHeight="false" outlineLevel="0" collapsed="false">
      <c r="A391" s="96"/>
    </row>
    <row r="392" customFormat="false" ht="15.75" hidden="false" customHeight="false" outlineLevel="0" collapsed="false">
      <c r="A392" s="96"/>
    </row>
    <row r="393" customFormat="false" ht="15.75" hidden="false" customHeight="false" outlineLevel="0" collapsed="false">
      <c r="A393" s="96"/>
    </row>
    <row r="394" customFormat="false" ht="15.75" hidden="false" customHeight="false" outlineLevel="0" collapsed="false">
      <c r="A394" s="96"/>
    </row>
    <row r="395" customFormat="false" ht="15.75" hidden="false" customHeight="false" outlineLevel="0" collapsed="false">
      <c r="A395" s="96"/>
    </row>
    <row r="396" customFormat="false" ht="15.75" hidden="false" customHeight="false" outlineLevel="0" collapsed="false">
      <c r="A396" s="96"/>
    </row>
    <row r="397" customFormat="false" ht="15.75" hidden="false" customHeight="false" outlineLevel="0" collapsed="false">
      <c r="A397" s="96"/>
    </row>
    <row r="398" customFormat="false" ht="15.75" hidden="false" customHeight="false" outlineLevel="0" collapsed="false">
      <c r="A398" s="96"/>
    </row>
    <row r="399" customFormat="false" ht="15.75" hidden="false" customHeight="false" outlineLevel="0" collapsed="false">
      <c r="A399" s="96"/>
    </row>
    <row r="400" customFormat="false" ht="15.75" hidden="false" customHeight="false" outlineLevel="0" collapsed="false">
      <c r="A400" s="96"/>
    </row>
    <row r="401" customFormat="false" ht="15.75" hidden="false" customHeight="false" outlineLevel="0" collapsed="false">
      <c r="A401" s="96"/>
    </row>
    <row r="402" customFormat="false" ht="15.75" hidden="false" customHeight="false" outlineLevel="0" collapsed="false">
      <c r="A402" s="96"/>
    </row>
    <row r="403" customFormat="false" ht="15.75" hidden="false" customHeight="false" outlineLevel="0" collapsed="false">
      <c r="A403" s="96"/>
    </row>
    <row r="404" customFormat="false" ht="15.75" hidden="false" customHeight="false" outlineLevel="0" collapsed="false">
      <c r="A404" s="96"/>
    </row>
    <row r="405" customFormat="false" ht="15.75" hidden="false" customHeight="false" outlineLevel="0" collapsed="false">
      <c r="A405" s="96"/>
    </row>
    <row r="406" customFormat="false" ht="15.75" hidden="false" customHeight="false" outlineLevel="0" collapsed="false">
      <c r="A406" s="96"/>
    </row>
    <row r="407" customFormat="false" ht="15.75" hidden="false" customHeight="false" outlineLevel="0" collapsed="false">
      <c r="A407" s="96"/>
    </row>
    <row r="408" customFormat="false" ht="15.75" hidden="false" customHeight="false" outlineLevel="0" collapsed="false">
      <c r="A408" s="96"/>
    </row>
    <row r="409" customFormat="false" ht="15.75" hidden="false" customHeight="false" outlineLevel="0" collapsed="false">
      <c r="A409" s="96"/>
    </row>
    <row r="410" customFormat="false" ht="15.75" hidden="false" customHeight="false" outlineLevel="0" collapsed="false">
      <c r="A410" s="96"/>
    </row>
    <row r="411" customFormat="false" ht="15.75" hidden="false" customHeight="false" outlineLevel="0" collapsed="false">
      <c r="A411" s="96"/>
    </row>
    <row r="412" customFormat="false" ht="15.75" hidden="false" customHeight="false" outlineLevel="0" collapsed="false">
      <c r="A412" s="96"/>
    </row>
    <row r="413" customFormat="false" ht="15.75" hidden="false" customHeight="false" outlineLevel="0" collapsed="false">
      <c r="A413" s="96"/>
    </row>
    <row r="414" customFormat="false" ht="15.75" hidden="false" customHeight="false" outlineLevel="0" collapsed="false">
      <c r="A414" s="96"/>
    </row>
    <row r="415" customFormat="false" ht="15.75" hidden="false" customHeight="false" outlineLevel="0" collapsed="false">
      <c r="A415" s="96"/>
    </row>
    <row r="416" customFormat="false" ht="15.75" hidden="false" customHeight="false" outlineLevel="0" collapsed="false">
      <c r="A416" s="96"/>
    </row>
    <row r="417" customFormat="false" ht="15.75" hidden="false" customHeight="false" outlineLevel="0" collapsed="false">
      <c r="A417" s="96"/>
    </row>
    <row r="418" customFormat="false" ht="15.75" hidden="false" customHeight="false" outlineLevel="0" collapsed="false">
      <c r="A418" s="96"/>
    </row>
    <row r="419" customFormat="false" ht="15.75" hidden="false" customHeight="false" outlineLevel="0" collapsed="false">
      <c r="A419" s="96"/>
    </row>
    <row r="420" customFormat="false" ht="15.75" hidden="false" customHeight="false" outlineLevel="0" collapsed="false">
      <c r="A420" s="96"/>
    </row>
    <row r="421" customFormat="false" ht="15.75" hidden="false" customHeight="false" outlineLevel="0" collapsed="false">
      <c r="A421" s="96"/>
    </row>
    <row r="422" customFormat="false" ht="15.75" hidden="false" customHeight="false" outlineLevel="0" collapsed="false">
      <c r="A422" s="96"/>
    </row>
    <row r="423" customFormat="false" ht="15.75" hidden="false" customHeight="false" outlineLevel="0" collapsed="false">
      <c r="A423" s="96"/>
    </row>
    <row r="424" customFormat="false" ht="15.75" hidden="false" customHeight="false" outlineLevel="0" collapsed="false">
      <c r="A424" s="96"/>
    </row>
    <row r="425" customFormat="false" ht="15.75" hidden="false" customHeight="false" outlineLevel="0" collapsed="false">
      <c r="A425" s="96"/>
    </row>
    <row r="426" customFormat="false" ht="15.75" hidden="false" customHeight="false" outlineLevel="0" collapsed="false">
      <c r="A426" s="96"/>
    </row>
    <row r="427" customFormat="false" ht="15.75" hidden="false" customHeight="false" outlineLevel="0" collapsed="false">
      <c r="A427" s="96"/>
    </row>
    <row r="428" customFormat="false" ht="15.75" hidden="false" customHeight="false" outlineLevel="0" collapsed="false">
      <c r="A428" s="96"/>
    </row>
    <row r="429" customFormat="false" ht="15.75" hidden="false" customHeight="false" outlineLevel="0" collapsed="false">
      <c r="A429" s="96"/>
    </row>
    <row r="430" customFormat="false" ht="15.75" hidden="false" customHeight="false" outlineLevel="0" collapsed="false">
      <c r="A430" s="96"/>
    </row>
    <row r="431" customFormat="false" ht="15.75" hidden="false" customHeight="false" outlineLevel="0" collapsed="false">
      <c r="A431" s="96"/>
    </row>
    <row r="432" customFormat="false" ht="15.75" hidden="false" customHeight="false" outlineLevel="0" collapsed="false">
      <c r="A432" s="96"/>
    </row>
    <row r="433" customFormat="false" ht="15.75" hidden="false" customHeight="false" outlineLevel="0" collapsed="false">
      <c r="A433" s="96"/>
    </row>
    <row r="434" customFormat="false" ht="15.75" hidden="false" customHeight="false" outlineLevel="0" collapsed="false">
      <c r="A434" s="96"/>
    </row>
    <row r="435" customFormat="false" ht="15.75" hidden="false" customHeight="false" outlineLevel="0" collapsed="false">
      <c r="A435" s="96"/>
    </row>
    <row r="436" customFormat="false" ht="15.75" hidden="false" customHeight="false" outlineLevel="0" collapsed="false">
      <c r="A436" s="96"/>
    </row>
    <row r="437" customFormat="false" ht="15.75" hidden="false" customHeight="false" outlineLevel="0" collapsed="false">
      <c r="A437" s="96"/>
    </row>
    <row r="438" customFormat="false" ht="15.75" hidden="false" customHeight="false" outlineLevel="0" collapsed="false">
      <c r="A438" s="96"/>
    </row>
    <row r="439" customFormat="false" ht="15.75" hidden="false" customHeight="false" outlineLevel="0" collapsed="false">
      <c r="A439" s="96"/>
    </row>
    <row r="440" customFormat="false" ht="15.75" hidden="false" customHeight="false" outlineLevel="0" collapsed="false">
      <c r="A440" s="96"/>
    </row>
    <row r="441" customFormat="false" ht="15.75" hidden="false" customHeight="false" outlineLevel="0" collapsed="false">
      <c r="A441" s="96"/>
    </row>
    <row r="442" customFormat="false" ht="15.75" hidden="false" customHeight="false" outlineLevel="0" collapsed="false">
      <c r="A442" s="96"/>
    </row>
    <row r="443" customFormat="false" ht="15.75" hidden="false" customHeight="false" outlineLevel="0" collapsed="false">
      <c r="A443" s="96"/>
    </row>
    <row r="444" customFormat="false" ht="15.75" hidden="false" customHeight="false" outlineLevel="0" collapsed="false">
      <c r="A444" s="96"/>
    </row>
    <row r="445" customFormat="false" ht="15.75" hidden="false" customHeight="false" outlineLevel="0" collapsed="false">
      <c r="A445" s="96"/>
    </row>
    <row r="446" customFormat="false" ht="15.75" hidden="false" customHeight="false" outlineLevel="0" collapsed="false">
      <c r="A446" s="96"/>
    </row>
    <row r="447" customFormat="false" ht="15.75" hidden="false" customHeight="false" outlineLevel="0" collapsed="false">
      <c r="A447" s="96"/>
    </row>
    <row r="448" customFormat="false" ht="15.75" hidden="false" customHeight="false" outlineLevel="0" collapsed="false">
      <c r="A448" s="96"/>
    </row>
    <row r="449" customFormat="false" ht="15.75" hidden="false" customHeight="false" outlineLevel="0" collapsed="false">
      <c r="A449" s="96"/>
    </row>
    <row r="450" customFormat="false" ht="15.75" hidden="false" customHeight="false" outlineLevel="0" collapsed="false">
      <c r="A450" s="96"/>
    </row>
    <row r="451" customFormat="false" ht="15.75" hidden="false" customHeight="false" outlineLevel="0" collapsed="false">
      <c r="A451" s="96"/>
    </row>
    <row r="452" customFormat="false" ht="15.75" hidden="false" customHeight="false" outlineLevel="0" collapsed="false">
      <c r="A452" s="96"/>
    </row>
    <row r="453" customFormat="false" ht="15.75" hidden="false" customHeight="false" outlineLevel="0" collapsed="false">
      <c r="A453" s="96"/>
    </row>
    <row r="454" customFormat="false" ht="15.75" hidden="false" customHeight="false" outlineLevel="0" collapsed="false">
      <c r="A454" s="96"/>
    </row>
    <row r="455" customFormat="false" ht="15.75" hidden="false" customHeight="false" outlineLevel="0" collapsed="false">
      <c r="A455" s="96"/>
    </row>
    <row r="456" customFormat="false" ht="15.75" hidden="false" customHeight="false" outlineLevel="0" collapsed="false">
      <c r="A456" s="96"/>
    </row>
    <row r="457" customFormat="false" ht="15.75" hidden="false" customHeight="false" outlineLevel="0" collapsed="false">
      <c r="A457" s="96"/>
    </row>
    <row r="458" customFormat="false" ht="15.75" hidden="false" customHeight="false" outlineLevel="0" collapsed="false">
      <c r="A458" s="96"/>
    </row>
    <row r="459" customFormat="false" ht="15.75" hidden="false" customHeight="false" outlineLevel="0" collapsed="false">
      <c r="A459" s="96"/>
    </row>
    <row r="460" customFormat="false" ht="15.75" hidden="false" customHeight="false" outlineLevel="0" collapsed="false">
      <c r="A460" s="96"/>
    </row>
    <row r="461" customFormat="false" ht="15.75" hidden="false" customHeight="false" outlineLevel="0" collapsed="false">
      <c r="A461" s="96"/>
    </row>
    <row r="462" customFormat="false" ht="15.75" hidden="false" customHeight="false" outlineLevel="0" collapsed="false">
      <c r="A462" s="96"/>
    </row>
    <row r="463" customFormat="false" ht="15.75" hidden="false" customHeight="false" outlineLevel="0" collapsed="false">
      <c r="A463" s="96"/>
    </row>
    <row r="464" customFormat="false" ht="15.75" hidden="false" customHeight="false" outlineLevel="0" collapsed="false">
      <c r="A464" s="96"/>
    </row>
    <row r="465" customFormat="false" ht="15.75" hidden="false" customHeight="false" outlineLevel="0" collapsed="false">
      <c r="A465" s="96"/>
    </row>
    <row r="466" customFormat="false" ht="15.75" hidden="false" customHeight="false" outlineLevel="0" collapsed="false">
      <c r="A466" s="96"/>
    </row>
    <row r="467" customFormat="false" ht="15.75" hidden="false" customHeight="false" outlineLevel="0" collapsed="false">
      <c r="A467" s="96"/>
    </row>
    <row r="468" customFormat="false" ht="15.75" hidden="false" customHeight="false" outlineLevel="0" collapsed="false">
      <c r="A468" s="96"/>
    </row>
    <row r="469" customFormat="false" ht="15.75" hidden="false" customHeight="false" outlineLevel="0" collapsed="false">
      <c r="A469" s="96"/>
    </row>
    <row r="470" customFormat="false" ht="15.75" hidden="false" customHeight="false" outlineLevel="0" collapsed="false">
      <c r="A470" s="96"/>
    </row>
    <row r="471" customFormat="false" ht="15.75" hidden="false" customHeight="false" outlineLevel="0" collapsed="false">
      <c r="A471" s="96"/>
    </row>
    <row r="472" customFormat="false" ht="15.75" hidden="false" customHeight="false" outlineLevel="0" collapsed="false">
      <c r="A472" s="96"/>
    </row>
    <row r="473" customFormat="false" ht="15.75" hidden="false" customHeight="false" outlineLevel="0" collapsed="false">
      <c r="A473" s="96"/>
    </row>
    <row r="474" customFormat="false" ht="15.75" hidden="false" customHeight="false" outlineLevel="0" collapsed="false">
      <c r="A474" s="96"/>
    </row>
    <row r="475" customFormat="false" ht="15.75" hidden="false" customHeight="false" outlineLevel="0" collapsed="false">
      <c r="A475" s="96"/>
    </row>
    <row r="476" customFormat="false" ht="15.75" hidden="false" customHeight="false" outlineLevel="0" collapsed="false">
      <c r="A476" s="96"/>
    </row>
    <row r="477" customFormat="false" ht="15.75" hidden="false" customHeight="false" outlineLevel="0" collapsed="false">
      <c r="A477" s="96"/>
    </row>
    <row r="478" customFormat="false" ht="15.75" hidden="false" customHeight="false" outlineLevel="0" collapsed="false">
      <c r="A478" s="96"/>
    </row>
    <row r="479" customFormat="false" ht="15.75" hidden="false" customHeight="false" outlineLevel="0" collapsed="false">
      <c r="A479" s="96"/>
    </row>
    <row r="480" customFormat="false" ht="15.75" hidden="false" customHeight="false" outlineLevel="0" collapsed="false">
      <c r="A480" s="96"/>
    </row>
    <row r="481" customFormat="false" ht="15.75" hidden="false" customHeight="false" outlineLevel="0" collapsed="false">
      <c r="A481" s="96"/>
    </row>
    <row r="482" customFormat="false" ht="15.75" hidden="false" customHeight="false" outlineLevel="0" collapsed="false">
      <c r="A482" s="96"/>
    </row>
    <row r="483" customFormat="false" ht="15.75" hidden="false" customHeight="false" outlineLevel="0" collapsed="false">
      <c r="A483" s="96"/>
    </row>
    <row r="484" customFormat="false" ht="15.75" hidden="false" customHeight="false" outlineLevel="0" collapsed="false">
      <c r="A484" s="96"/>
    </row>
    <row r="485" customFormat="false" ht="15.75" hidden="false" customHeight="false" outlineLevel="0" collapsed="false">
      <c r="A485" s="96"/>
    </row>
    <row r="486" customFormat="false" ht="15.75" hidden="false" customHeight="false" outlineLevel="0" collapsed="false">
      <c r="A486" s="96"/>
    </row>
    <row r="487" customFormat="false" ht="15.75" hidden="false" customHeight="false" outlineLevel="0" collapsed="false">
      <c r="A487" s="96"/>
    </row>
    <row r="488" customFormat="false" ht="15.75" hidden="false" customHeight="false" outlineLevel="0" collapsed="false">
      <c r="A488" s="96"/>
    </row>
    <row r="489" customFormat="false" ht="15.75" hidden="false" customHeight="false" outlineLevel="0" collapsed="false">
      <c r="A489" s="96"/>
    </row>
    <row r="490" customFormat="false" ht="15.75" hidden="false" customHeight="false" outlineLevel="0" collapsed="false">
      <c r="A490" s="96"/>
    </row>
    <row r="491" customFormat="false" ht="15.75" hidden="false" customHeight="false" outlineLevel="0" collapsed="false">
      <c r="A491" s="96"/>
    </row>
    <row r="492" customFormat="false" ht="15.75" hidden="false" customHeight="false" outlineLevel="0" collapsed="false">
      <c r="A492" s="96"/>
    </row>
    <row r="493" customFormat="false" ht="15.75" hidden="false" customHeight="false" outlineLevel="0" collapsed="false">
      <c r="A493" s="96"/>
    </row>
    <row r="494" customFormat="false" ht="15.75" hidden="false" customHeight="false" outlineLevel="0" collapsed="false">
      <c r="A494" s="96"/>
    </row>
    <row r="495" customFormat="false" ht="15.75" hidden="false" customHeight="false" outlineLevel="0" collapsed="false">
      <c r="A495" s="96"/>
    </row>
    <row r="496" customFormat="false" ht="15.75" hidden="false" customHeight="false" outlineLevel="0" collapsed="false">
      <c r="A496" s="96"/>
    </row>
    <row r="497" customFormat="false" ht="15.75" hidden="false" customHeight="false" outlineLevel="0" collapsed="false">
      <c r="A497" s="96"/>
    </row>
    <row r="498" customFormat="false" ht="15.75" hidden="false" customHeight="false" outlineLevel="0" collapsed="false">
      <c r="A498" s="96"/>
    </row>
    <row r="499" customFormat="false" ht="15.75" hidden="false" customHeight="false" outlineLevel="0" collapsed="false">
      <c r="A499" s="96"/>
    </row>
    <row r="500" customFormat="false" ht="15.75" hidden="false" customHeight="false" outlineLevel="0" collapsed="false">
      <c r="A500" s="96"/>
    </row>
    <row r="501" customFormat="false" ht="15.75" hidden="false" customHeight="false" outlineLevel="0" collapsed="false">
      <c r="A501" s="96"/>
    </row>
    <row r="502" customFormat="false" ht="15.75" hidden="false" customHeight="false" outlineLevel="0" collapsed="false">
      <c r="A502" s="96"/>
    </row>
    <row r="503" customFormat="false" ht="15.75" hidden="false" customHeight="false" outlineLevel="0" collapsed="false">
      <c r="A503" s="96"/>
    </row>
    <row r="504" customFormat="false" ht="15.75" hidden="false" customHeight="false" outlineLevel="0" collapsed="false">
      <c r="A504" s="96"/>
    </row>
    <row r="505" customFormat="false" ht="15.75" hidden="false" customHeight="false" outlineLevel="0" collapsed="false">
      <c r="A505" s="96"/>
    </row>
    <row r="506" customFormat="false" ht="15.75" hidden="false" customHeight="false" outlineLevel="0" collapsed="false">
      <c r="A506" s="96"/>
    </row>
    <row r="507" customFormat="false" ht="15.75" hidden="false" customHeight="false" outlineLevel="0" collapsed="false">
      <c r="A507" s="96"/>
    </row>
    <row r="508" customFormat="false" ht="15.75" hidden="false" customHeight="false" outlineLevel="0" collapsed="false">
      <c r="A508" s="96"/>
    </row>
    <row r="509" customFormat="false" ht="15.75" hidden="false" customHeight="false" outlineLevel="0" collapsed="false">
      <c r="A509" s="96"/>
    </row>
    <row r="510" customFormat="false" ht="15.75" hidden="false" customHeight="false" outlineLevel="0" collapsed="false">
      <c r="A510" s="96"/>
    </row>
    <row r="511" customFormat="false" ht="15.75" hidden="false" customHeight="false" outlineLevel="0" collapsed="false">
      <c r="A511" s="96"/>
    </row>
    <row r="512" customFormat="false" ht="15.75" hidden="false" customHeight="false" outlineLevel="0" collapsed="false">
      <c r="A512" s="96"/>
    </row>
    <row r="513" customFormat="false" ht="15.75" hidden="false" customHeight="false" outlineLevel="0" collapsed="false">
      <c r="A513" s="96"/>
    </row>
    <row r="514" customFormat="false" ht="15.75" hidden="false" customHeight="false" outlineLevel="0" collapsed="false">
      <c r="A514" s="96"/>
    </row>
    <row r="515" customFormat="false" ht="15.75" hidden="false" customHeight="false" outlineLevel="0" collapsed="false">
      <c r="A515" s="96"/>
    </row>
    <row r="516" customFormat="false" ht="15.75" hidden="false" customHeight="false" outlineLevel="0" collapsed="false">
      <c r="A516" s="96"/>
    </row>
    <row r="517" customFormat="false" ht="15.75" hidden="false" customHeight="false" outlineLevel="0" collapsed="false">
      <c r="A517" s="96"/>
    </row>
    <row r="518" customFormat="false" ht="15.75" hidden="false" customHeight="false" outlineLevel="0" collapsed="false">
      <c r="A518" s="96"/>
    </row>
    <row r="519" customFormat="false" ht="15.75" hidden="false" customHeight="false" outlineLevel="0" collapsed="false">
      <c r="A519" s="96"/>
    </row>
    <row r="520" customFormat="false" ht="15.75" hidden="false" customHeight="false" outlineLevel="0" collapsed="false">
      <c r="A520" s="96"/>
    </row>
    <row r="521" customFormat="false" ht="15.75" hidden="false" customHeight="false" outlineLevel="0" collapsed="false">
      <c r="A521" s="96"/>
    </row>
    <row r="522" customFormat="false" ht="15.75" hidden="false" customHeight="false" outlineLevel="0" collapsed="false">
      <c r="A522" s="96"/>
    </row>
    <row r="523" customFormat="false" ht="15.75" hidden="false" customHeight="false" outlineLevel="0" collapsed="false">
      <c r="A523" s="96"/>
    </row>
    <row r="524" customFormat="false" ht="15.75" hidden="false" customHeight="false" outlineLevel="0" collapsed="false">
      <c r="A524" s="96"/>
    </row>
    <row r="525" customFormat="false" ht="15.75" hidden="false" customHeight="false" outlineLevel="0" collapsed="false">
      <c r="A525" s="96"/>
    </row>
    <row r="526" customFormat="false" ht="15.75" hidden="false" customHeight="false" outlineLevel="0" collapsed="false">
      <c r="A526" s="96"/>
    </row>
    <row r="527" customFormat="false" ht="15.75" hidden="false" customHeight="false" outlineLevel="0" collapsed="false">
      <c r="A527" s="96"/>
    </row>
    <row r="528" customFormat="false" ht="15.75" hidden="false" customHeight="false" outlineLevel="0" collapsed="false">
      <c r="A528" s="96"/>
    </row>
    <row r="529" customFormat="false" ht="15.75" hidden="false" customHeight="false" outlineLevel="0" collapsed="false">
      <c r="A529" s="96"/>
    </row>
    <row r="530" customFormat="false" ht="15.75" hidden="false" customHeight="false" outlineLevel="0" collapsed="false">
      <c r="A530" s="96"/>
    </row>
    <row r="531" customFormat="false" ht="15.75" hidden="false" customHeight="false" outlineLevel="0" collapsed="false">
      <c r="A531" s="96"/>
    </row>
    <row r="532" customFormat="false" ht="15.75" hidden="false" customHeight="false" outlineLevel="0" collapsed="false">
      <c r="A532" s="96"/>
    </row>
    <row r="533" customFormat="false" ht="15.75" hidden="false" customHeight="false" outlineLevel="0" collapsed="false">
      <c r="A533" s="96"/>
    </row>
    <row r="534" customFormat="false" ht="15.75" hidden="false" customHeight="false" outlineLevel="0" collapsed="false">
      <c r="A534" s="96"/>
    </row>
    <row r="535" customFormat="false" ht="15.75" hidden="false" customHeight="false" outlineLevel="0" collapsed="false">
      <c r="A535" s="96"/>
    </row>
    <row r="536" customFormat="false" ht="15.75" hidden="false" customHeight="false" outlineLevel="0" collapsed="false">
      <c r="A536" s="96"/>
    </row>
    <row r="537" customFormat="false" ht="15.75" hidden="false" customHeight="false" outlineLevel="0" collapsed="false">
      <c r="A537" s="96"/>
    </row>
    <row r="538" customFormat="false" ht="15.75" hidden="false" customHeight="false" outlineLevel="0" collapsed="false">
      <c r="A538" s="96"/>
    </row>
    <row r="539" customFormat="false" ht="15.75" hidden="false" customHeight="false" outlineLevel="0" collapsed="false">
      <c r="A539" s="96"/>
    </row>
    <row r="540" customFormat="false" ht="15.75" hidden="false" customHeight="false" outlineLevel="0" collapsed="false">
      <c r="A540" s="96"/>
    </row>
    <row r="541" customFormat="false" ht="15.75" hidden="false" customHeight="false" outlineLevel="0" collapsed="false">
      <c r="A541" s="96"/>
    </row>
    <row r="542" customFormat="false" ht="15.75" hidden="false" customHeight="false" outlineLevel="0" collapsed="false">
      <c r="A542" s="96"/>
    </row>
    <row r="543" customFormat="false" ht="15.75" hidden="false" customHeight="false" outlineLevel="0" collapsed="false">
      <c r="A543" s="96"/>
    </row>
    <row r="544" customFormat="false" ht="15.75" hidden="false" customHeight="false" outlineLevel="0" collapsed="false">
      <c r="A544" s="96"/>
    </row>
    <row r="545" customFormat="false" ht="15.75" hidden="false" customHeight="false" outlineLevel="0" collapsed="false">
      <c r="A545" s="96"/>
    </row>
    <row r="546" customFormat="false" ht="15.75" hidden="false" customHeight="false" outlineLevel="0" collapsed="false">
      <c r="A546" s="96"/>
    </row>
    <row r="547" customFormat="false" ht="15.75" hidden="false" customHeight="false" outlineLevel="0" collapsed="false">
      <c r="A547" s="96"/>
    </row>
    <row r="548" customFormat="false" ht="15.75" hidden="false" customHeight="false" outlineLevel="0" collapsed="false">
      <c r="A548" s="96"/>
    </row>
    <row r="549" customFormat="false" ht="15.75" hidden="false" customHeight="false" outlineLevel="0" collapsed="false">
      <c r="A549" s="96"/>
    </row>
    <row r="550" customFormat="false" ht="15.75" hidden="false" customHeight="false" outlineLevel="0" collapsed="false">
      <c r="A550" s="96"/>
    </row>
    <row r="551" customFormat="false" ht="15.75" hidden="false" customHeight="false" outlineLevel="0" collapsed="false">
      <c r="A551" s="96"/>
    </row>
    <row r="552" customFormat="false" ht="15.75" hidden="false" customHeight="false" outlineLevel="0" collapsed="false">
      <c r="A552" s="96"/>
    </row>
    <row r="553" customFormat="false" ht="15.75" hidden="false" customHeight="false" outlineLevel="0" collapsed="false">
      <c r="A553" s="96"/>
    </row>
    <row r="554" customFormat="false" ht="15.75" hidden="false" customHeight="false" outlineLevel="0" collapsed="false">
      <c r="A554" s="96"/>
    </row>
    <row r="555" customFormat="false" ht="15.75" hidden="false" customHeight="false" outlineLevel="0" collapsed="false">
      <c r="A555" s="96"/>
    </row>
    <row r="556" customFormat="false" ht="15.75" hidden="false" customHeight="false" outlineLevel="0" collapsed="false">
      <c r="A556" s="96"/>
    </row>
    <row r="557" customFormat="false" ht="15.75" hidden="false" customHeight="false" outlineLevel="0" collapsed="false">
      <c r="A557" s="96"/>
    </row>
    <row r="558" customFormat="false" ht="15.75" hidden="false" customHeight="false" outlineLevel="0" collapsed="false">
      <c r="A558" s="96"/>
    </row>
    <row r="559" customFormat="false" ht="15.75" hidden="false" customHeight="false" outlineLevel="0" collapsed="false">
      <c r="A559" s="96"/>
    </row>
    <row r="560" customFormat="false" ht="15.75" hidden="false" customHeight="false" outlineLevel="0" collapsed="false">
      <c r="A560" s="96"/>
    </row>
    <row r="561" customFormat="false" ht="15.75" hidden="false" customHeight="false" outlineLevel="0" collapsed="false">
      <c r="A561" s="96"/>
    </row>
    <row r="562" customFormat="false" ht="15.75" hidden="false" customHeight="false" outlineLevel="0" collapsed="false">
      <c r="A562" s="96"/>
    </row>
    <row r="563" customFormat="false" ht="15.75" hidden="false" customHeight="false" outlineLevel="0" collapsed="false">
      <c r="A563" s="96"/>
    </row>
    <row r="564" customFormat="false" ht="15.75" hidden="false" customHeight="false" outlineLevel="0" collapsed="false">
      <c r="A564" s="96"/>
    </row>
    <row r="565" customFormat="false" ht="15.75" hidden="false" customHeight="false" outlineLevel="0" collapsed="false">
      <c r="A565" s="96"/>
    </row>
    <row r="566" customFormat="false" ht="15.75" hidden="false" customHeight="false" outlineLevel="0" collapsed="false">
      <c r="A566" s="96"/>
    </row>
    <row r="567" customFormat="false" ht="15.75" hidden="false" customHeight="false" outlineLevel="0" collapsed="false">
      <c r="A567" s="96"/>
    </row>
    <row r="568" customFormat="false" ht="15.75" hidden="false" customHeight="false" outlineLevel="0" collapsed="false">
      <c r="A568" s="96"/>
    </row>
    <row r="569" customFormat="false" ht="15.75" hidden="false" customHeight="false" outlineLevel="0" collapsed="false">
      <c r="A569" s="96"/>
    </row>
    <row r="570" customFormat="false" ht="15.75" hidden="false" customHeight="false" outlineLevel="0" collapsed="false">
      <c r="A570" s="96"/>
    </row>
    <row r="571" customFormat="false" ht="15.75" hidden="false" customHeight="false" outlineLevel="0" collapsed="false">
      <c r="A571" s="96"/>
    </row>
    <row r="572" customFormat="false" ht="15.75" hidden="false" customHeight="false" outlineLevel="0" collapsed="false">
      <c r="A572" s="96"/>
    </row>
    <row r="573" customFormat="false" ht="15.75" hidden="false" customHeight="false" outlineLevel="0" collapsed="false">
      <c r="A573" s="96"/>
    </row>
    <row r="574" customFormat="false" ht="15.75" hidden="false" customHeight="false" outlineLevel="0" collapsed="false">
      <c r="A574" s="96"/>
    </row>
    <row r="575" customFormat="false" ht="15.75" hidden="false" customHeight="false" outlineLevel="0" collapsed="false">
      <c r="A575" s="96"/>
    </row>
    <row r="576" customFormat="false" ht="15.75" hidden="false" customHeight="false" outlineLevel="0" collapsed="false">
      <c r="A576" s="96"/>
    </row>
    <row r="577" customFormat="false" ht="15.75" hidden="false" customHeight="false" outlineLevel="0" collapsed="false">
      <c r="A577" s="96"/>
    </row>
    <row r="578" customFormat="false" ht="15.75" hidden="false" customHeight="false" outlineLevel="0" collapsed="false">
      <c r="A578" s="96"/>
    </row>
    <row r="579" customFormat="false" ht="15.75" hidden="false" customHeight="false" outlineLevel="0" collapsed="false">
      <c r="A579" s="96"/>
    </row>
    <row r="580" customFormat="false" ht="15.75" hidden="false" customHeight="false" outlineLevel="0" collapsed="false">
      <c r="A580" s="96"/>
    </row>
    <row r="581" customFormat="false" ht="15.75" hidden="false" customHeight="false" outlineLevel="0" collapsed="false">
      <c r="A581" s="96"/>
    </row>
    <row r="582" customFormat="false" ht="15.75" hidden="false" customHeight="false" outlineLevel="0" collapsed="false">
      <c r="A582" s="264"/>
      <c r="B582" s="265"/>
    </row>
    <row r="583" customFormat="false" ht="15.75" hidden="false" customHeight="false" outlineLevel="0" collapsed="false">
      <c r="A583" s="264"/>
      <c r="B583" s="265"/>
    </row>
    <row r="584" customFormat="false" ht="15.75" hidden="false" customHeight="false" outlineLevel="0" collapsed="false">
      <c r="A584" s="264"/>
      <c r="B584" s="265"/>
    </row>
    <row r="585" customFormat="false" ht="15.75" hidden="false" customHeight="false" outlineLevel="0" collapsed="false">
      <c r="A585" s="264"/>
      <c r="B585" s="265"/>
    </row>
    <row r="586" customFormat="false" ht="15.75" hidden="false" customHeight="false" outlineLevel="0" collapsed="false">
      <c r="A586" s="264"/>
      <c r="B586" s="265"/>
    </row>
    <row r="587" customFormat="false" ht="15.75" hidden="false" customHeight="false" outlineLevel="0" collapsed="false">
      <c r="A587" s="264"/>
      <c r="B587" s="265"/>
    </row>
    <row r="588" customFormat="false" ht="15.75" hidden="false" customHeight="false" outlineLevel="0" collapsed="false">
      <c r="A588" s="264"/>
      <c r="B588" s="265"/>
    </row>
    <row r="589" customFormat="false" ht="15.75" hidden="false" customHeight="false" outlineLevel="0" collapsed="false">
      <c r="A589" s="264"/>
      <c r="B589" s="265"/>
    </row>
    <row r="590" customFormat="false" ht="15.75" hidden="false" customHeight="false" outlineLevel="0" collapsed="false">
      <c r="A590" s="264"/>
      <c r="B590" s="265"/>
    </row>
    <row r="591" customFormat="false" ht="15.75" hidden="false" customHeight="false" outlineLevel="0" collapsed="false">
      <c r="A591" s="264"/>
      <c r="B591" s="265"/>
    </row>
    <row r="592" customFormat="false" ht="15.75" hidden="false" customHeight="false" outlineLevel="0" collapsed="false">
      <c r="A592" s="264"/>
      <c r="B592" s="265"/>
    </row>
    <row r="593" customFormat="false" ht="15.75" hidden="false" customHeight="false" outlineLevel="0" collapsed="false">
      <c r="A593" s="264"/>
      <c r="B593" s="265"/>
    </row>
    <row r="594" customFormat="false" ht="15.75" hidden="false" customHeight="false" outlineLevel="0" collapsed="false">
      <c r="A594" s="264"/>
      <c r="B594" s="265"/>
    </row>
    <row r="595" customFormat="false" ht="15.75" hidden="false" customHeight="false" outlineLevel="0" collapsed="false">
      <c r="A595" s="264"/>
      <c r="B595" s="265"/>
    </row>
    <row r="596" customFormat="false" ht="15.75" hidden="false" customHeight="false" outlineLevel="0" collapsed="false">
      <c r="A596" s="264"/>
      <c r="B596" s="265"/>
    </row>
    <row r="597" customFormat="false" ht="15.75" hidden="false" customHeight="false" outlineLevel="0" collapsed="false">
      <c r="A597" s="264"/>
    </row>
  </sheetData>
  <printOptions headings="false" gridLines="false" gridLinesSet="true" horizontalCentered="true" verticalCentered="true"/>
  <pageMargins left="0.0819444444444444" right="0.164583333333333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5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266" width="9.14"/>
    <col collapsed="false" customWidth="true" hidden="false" outlineLevel="0" max="5" min="5" style="266" width="10.28"/>
    <col collapsed="false" customWidth="true" hidden="false" outlineLevel="0" max="6" min="6" style="266" width="11.28"/>
    <col collapsed="false" customWidth="true" hidden="false" outlineLevel="0" max="7" min="7" style="266" width="12.28"/>
    <col collapsed="false" customWidth="true" hidden="false" outlineLevel="0" max="8" min="8" style="266" width="12.14"/>
    <col collapsed="false" customWidth="true" hidden="false" outlineLevel="0" max="9" min="9" style="266" width="11.42"/>
    <col collapsed="false" customWidth="true" hidden="false" outlineLevel="0" max="10" min="10" style="266" width="11.28"/>
    <col collapsed="false" customWidth="false" hidden="false" outlineLevel="0" max="257" min="11" style="266" width="9.14"/>
  </cols>
  <sheetData>
    <row r="3" customFormat="false" ht="12.75" hidden="false" customHeight="false" outlineLevel="0" collapsed="false">
      <c r="F3" s="267" t="s">
        <v>100</v>
      </c>
    </row>
    <row r="4" customFormat="false" ht="12.75" hidden="false" customHeight="false" outlineLevel="0" collapsed="false">
      <c r="E4" s="267" t="s">
        <v>101</v>
      </c>
      <c r="J4" s="268"/>
    </row>
    <row r="5" customFormat="false" ht="12.75" hidden="false" customHeight="false" outlineLevel="0" collapsed="false">
      <c r="E5" s="267"/>
      <c r="F5" s="267" t="s">
        <v>102</v>
      </c>
      <c r="H5" s="266" t="s">
        <v>103</v>
      </c>
      <c r="J5" s="268"/>
    </row>
    <row r="6" customFormat="false" ht="12.75" hidden="false" customHeight="false" outlineLevel="0" collapsed="false">
      <c r="E6" s="267" t="s">
        <v>104</v>
      </c>
      <c r="F6" s="267"/>
    </row>
    <row r="7" customFormat="false" ht="12.75" hidden="false" customHeight="false" outlineLevel="0" collapsed="false">
      <c r="C7" s="269"/>
      <c r="E7" s="269"/>
      <c r="G7" s="269"/>
    </row>
    <row r="8" customFormat="false" ht="12.75" hidden="false" customHeight="false" outlineLevel="0" collapsed="false">
      <c r="B8" s="270" t="s">
        <v>90</v>
      </c>
      <c r="C8" s="269" t="s">
        <v>105</v>
      </c>
      <c r="E8" s="269" t="s">
        <v>106</v>
      </c>
      <c r="G8" s="269" t="s">
        <v>107</v>
      </c>
      <c r="I8" s="269" t="s">
        <v>108</v>
      </c>
    </row>
    <row r="9" customFormat="false" ht="12.75" hidden="false" customHeight="false" outlineLevel="0" collapsed="false">
      <c r="C9" s="271" t="s">
        <v>109</v>
      </c>
      <c r="D9" s="271" t="s">
        <v>110</v>
      </c>
      <c r="E9" s="271" t="s">
        <v>109</v>
      </c>
      <c r="F9" s="271" t="s">
        <v>110</v>
      </c>
      <c r="G9" s="271" t="s">
        <v>109</v>
      </c>
      <c r="H9" s="271" t="s">
        <v>110</v>
      </c>
      <c r="I9" s="271" t="s">
        <v>109</v>
      </c>
      <c r="J9" s="271" t="s">
        <v>110</v>
      </c>
    </row>
    <row r="10" customFormat="false" ht="12.75" hidden="false" customHeight="false" outlineLevel="0" collapsed="false">
      <c r="A10" s="272" t="n">
        <v>36800</v>
      </c>
      <c r="B10" s="273" t="n">
        <v>15771</v>
      </c>
      <c r="C10" s="274" t="n">
        <v>0</v>
      </c>
      <c r="D10" s="273" t="n">
        <v>1496.9539048097</v>
      </c>
      <c r="E10" s="275" t="n">
        <v>1497.9539048097</v>
      </c>
      <c r="F10" s="276" t="n">
        <v>112811</v>
      </c>
      <c r="G10" s="275" t="n">
        <v>112812</v>
      </c>
      <c r="H10" s="276" t="n">
        <v>142130.682872422</v>
      </c>
      <c r="I10" s="268" t="n">
        <v>142131.682872422</v>
      </c>
      <c r="J10" s="268" t="n">
        <v>142131.682872422</v>
      </c>
      <c r="K10" s="268"/>
    </row>
    <row r="11" customFormat="false" ht="12.75" hidden="false" customHeight="false" outlineLevel="0" collapsed="false">
      <c r="A11" s="272" t="n">
        <v>36831</v>
      </c>
      <c r="B11" s="273" t="n">
        <v>15771</v>
      </c>
      <c r="C11" s="274" t="n">
        <v>0</v>
      </c>
      <c r="D11" s="273" t="n">
        <v>19134.1194298174</v>
      </c>
      <c r="E11" s="275" t="n">
        <v>19135.1194298174</v>
      </c>
      <c r="F11" s="276" t="n">
        <v>84421.5002592207</v>
      </c>
      <c r="G11" s="275" t="n">
        <v>84422.5002592207</v>
      </c>
      <c r="H11" s="276" t="n">
        <v>271159.500259221</v>
      </c>
      <c r="I11" s="268" t="n">
        <v>271160.500259221</v>
      </c>
      <c r="J11" s="268" t="n">
        <v>322985.500259221</v>
      </c>
      <c r="K11" s="268"/>
    </row>
    <row r="12" customFormat="false" ht="12.75" hidden="false" customHeight="false" outlineLevel="0" collapsed="false">
      <c r="A12" s="272" t="n">
        <v>36861</v>
      </c>
      <c r="B12" s="273" t="n">
        <v>15771</v>
      </c>
      <c r="C12" s="274" t="n">
        <v>0</v>
      </c>
      <c r="D12" s="273" t="n">
        <v>22387.4701540222</v>
      </c>
      <c r="E12" s="275" t="n">
        <v>22388.4701540222</v>
      </c>
      <c r="F12" s="276" t="n">
        <v>112811</v>
      </c>
      <c r="G12" s="275" t="n">
        <v>112812</v>
      </c>
      <c r="H12" s="276" t="n">
        <v>309549</v>
      </c>
      <c r="I12" s="268" t="n">
        <v>309550</v>
      </c>
      <c r="J12" s="268" t="n">
        <v>361375</v>
      </c>
      <c r="K12" s="268"/>
      <c r="L12" s="268"/>
    </row>
    <row r="13" customFormat="false" ht="12.75" hidden="false" customHeight="false" outlineLevel="0" collapsed="false">
      <c r="A13" s="272" t="n">
        <v>36892</v>
      </c>
      <c r="B13" s="273" t="n">
        <v>15771</v>
      </c>
      <c r="C13" s="274" t="n">
        <v>0</v>
      </c>
      <c r="D13" s="273" t="n">
        <v>34721.9305574243</v>
      </c>
      <c r="E13" s="275" t="n">
        <v>34722.9305574243</v>
      </c>
      <c r="F13" s="276" t="n">
        <v>112811</v>
      </c>
      <c r="G13" s="275" t="n">
        <v>112812</v>
      </c>
      <c r="H13" s="276" t="n">
        <v>309549</v>
      </c>
      <c r="I13" s="268" t="n">
        <v>309550</v>
      </c>
      <c r="J13" s="268" t="n">
        <v>361375</v>
      </c>
      <c r="K13" s="268"/>
      <c r="L13" s="268"/>
    </row>
    <row r="14" customFormat="false" ht="12.75" hidden="false" customHeight="false" outlineLevel="0" collapsed="false">
      <c r="A14" s="272" t="n">
        <v>36923</v>
      </c>
      <c r="B14" s="273" t="n">
        <v>15771</v>
      </c>
      <c r="C14" s="274" t="n">
        <v>0</v>
      </c>
      <c r="D14" s="273" t="n">
        <v>30234.6266437365</v>
      </c>
      <c r="E14" s="275" t="n">
        <v>30235.6266437365</v>
      </c>
      <c r="F14" s="276" t="n">
        <v>112811</v>
      </c>
      <c r="G14" s="275" t="n">
        <v>112812</v>
      </c>
      <c r="H14" s="276" t="n">
        <v>309549</v>
      </c>
      <c r="I14" s="268" t="n">
        <v>309550</v>
      </c>
      <c r="J14" s="268" t="n">
        <v>361375</v>
      </c>
      <c r="K14" s="268"/>
      <c r="L14" s="268"/>
    </row>
    <row r="15" customFormat="false" ht="12.75" hidden="false" customHeight="false" outlineLevel="0" collapsed="false">
      <c r="A15" s="272" t="n">
        <v>36951</v>
      </c>
      <c r="B15" s="273" t="n">
        <v>15771</v>
      </c>
      <c r="C15" s="274" t="n">
        <v>0</v>
      </c>
      <c r="D15" s="273" t="n">
        <v>28763.4545238292</v>
      </c>
      <c r="E15" s="275" t="n">
        <v>28764.4545238292</v>
      </c>
      <c r="F15" s="276" t="n">
        <v>106120.126185594</v>
      </c>
      <c r="G15" s="275" t="n">
        <v>106121.126185594</v>
      </c>
      <c r="H15" s="276" t="n">
        <v>292858.126185594</v>
      </c>
      <c r="I15" s="268" t="n">
        <v>292859.126185594</v>
      </c>
      <c r="J15" s="268" t="n">
        <v>344684.126185594</v>
      </c>
      <c r="K15" s="268"/>
      <c r="L15" s="268"/>
    </row>
    <row r="16" customFormat="false" ht="12.75" hidden="false" customHeight="false" outlineLevel="0" collapsed="false">
      <c r="A16" s="272" t="n">
        <v>36982</v>
      </c>
      <c r="B16" s="273" t="n">
        <v>15771</v>
      </c>
      <c r="C16" s="274" t="n">
        <v>0</v>
      </c>
      <c r="D16" s="273" t="n">
        <v>10957.8328495394</v>
      </c>
      <c r="E16" s="275" t="n">
        <v>10958.8328495394</v>
      </c>
      <c r="F16" s="276" t="n">
        <v>112811</v>
      </c>
      <c r="G16" s="275" t="n">
        <v>112812</v>
      </c>
      <c r="H16" s="276" t="n">
        <v>157906.749275647</v>
      </c>
      <c r="I16" s="268" t="n">
        <v>157907.749275647</v>
      </c>
      <c r="J16" s="268" t="n">
        <v>157907.749275647</v>
      </c>
      <c r="K16" s="268"/>
      <c r="L16" s="268"/>
    </row>
    <row r="17" customFormat="false" ht="12.75" hidden="false" customHeight="false" outlineLevel="0" collapsed="false">
      <c r="A17" s="272" t="n">
        <v>37012</v>
      </c>
      <c r="B17" s="273" t="n">
        <v>15771</v>
      </c>
      <c r="C17" s="274" t="n">
        <v>0</v>
      </c>
      <c r="D17" s="273" t="n">
        <v>8963.27291301037</v>
      </c>
      <c r="E17" s="275" t="n">
        <v>8964.27291301037</v>
      </c>
      <c r="F17" s="276" t="n">
        <v>95694.9684069751</v>
      </c>
      <c r="G17" s="275" t="n">
        <v>95695.9684069751</v>
      </c>
      <c r="H17" s="276" t="n">
        <v>95694.9684069751</v>
      </c>
      <c r="I17" s="268" t="n">
        <v>95695.9684069751</v>
      </c>
      <c r="J17" s="268" t="n">
        <v>95695.9684069751</v>
      </c>
      <c r="K17" s="268"/>
      <c r="L17" s="268"/>
    </row>
    <row r="18" customFormat="false" ht="12.75" hidden="false" customHeight="false" outlineLevel="0" collapsed="false">
      <c r="A18" s="272" t="n">
        <v>37043</v>
      </c>
      <c r="B18" s="273" t="n">
        <v>15771</v>
      </c>
      <c r="C18" s="274" t="n">
        <v>0</v>
      </c>
      <c r="D18" s="273" t="n">
        <v>10105.1288603929</v>
      </c>
      <c r="E18" s="275" t="n">
        <v>10106.1288603929</v>
      </c>
      <c r="F18" s="276" t="n">
        <v>49788.3310788196</v>
      </c>
      <c r="G18" s="275" t="n">
        <v>49789.3310788196</v>
      </c>
      <c r="H18" s="276" t="n">
        <v>49788.3310788196</v>
      </c>
      <c r="I18" s="268" t="n">
        <v>49789.3310788196</v>
      </c>
      <c r="J18" s="268" t="n">
        <v>49789.3310788196</v>
      </c>
      <c r="K18" s="268"/>
      <c r="L18" s="268"/>
    </row>
    <row r="19" customFormat="false" ht="12.75" hidden="false" customHeight="false" outlineLevel="0" collapsed="false">
      <c r="A19" s="272" t="n">
        <v>37073</v>
      </c>
      <c r="B19" s="273" t="n">
        <v>15771</v>
      </c>
      <c r="C19" s="274" t="n">
        <v>0</v>
      </c>
      <c r="D19" s="273" t="n">
        <v>9754.51289057662</v>
      </c>
      <c r="E19" s="275" t="n">
        <v>9755.51289057662</v>
      </c>
      <c r="F19" s="276" t="n">
        <v>15981.0427421551</v>
      </c>
      <c r="G19" s="275" t="n">
        <v>15982.0427421551</v>
      </c>
      <c r="H19" s="276" t="n">
        <v>15981.0427421551</v>
      </c>
      <c r="I19" s="268" t="n">
        <v>15982.0427421551</v>
      </c>
      <c r="J19" s="268" t="n">
        <v>15982.0427421551</v>
      </c>
      <c r="K19" s="268"/>
      <c r="L19" s="268"/>
    </row>
    <row r="20" customFormat="false" ht="12.75" hidden="false" customHeight="false" outlineLevel="0" collapsed="false">
      <c r="A20" s="272" t="n">
        <v>37104</v>
      </c>
      <c r="B20" s="273" t="n">
        <v>15771</v>
      </c>
      <c r="C20" s="274" t="n">
        <v>0</v>
      </c>
      <c r="D20" s="273" t="n">
        <v>10907.4807875951</v>
      </c>
      <c r="E20" s="275" t="n">
        <v>10908.4807875951</v>
      </c>
      <c r="F20" s="276" t="n">
        <v>16995.2427482536</v>
      </c>
      <c r="G20" s="275" t="n">
        <v>16996.2427482536</v>
      </c>
      <c r="H20" s="276" t="n">
        <v>16995.2427482536</v>
      </c>
      <c r="I20" s="268" t="n">
        <v>16996.2427482536</v>
      </c>
      <c r="J20" s="268" t="n">
        <v>16996.2427482536</v>
      </c>
      <c r="K20" s="268"/>
      <c r="L20" s="268"/>
    </row>
    <row r="21" customFormat="false" ht="12.75" hidden="false" customHeight="false" outlineLevel="0" collapsed="false">
      <c r="A21" s="277" t="n">
        <v>37135</v>
      </c>
      <c r="B21" s="278" t="n">
        <v>15771</v>
      </c>
      <c r="C21" s="279" t="n">
        <v>0</v>
      </c>
      <c r="D21" s="278" t="n">
        <v>3150.3517233528</v>
      </c>
      <c r="E21" s="280" t="n">
        <v>3151.3517233528</v>
      </c>
      <c r="F21" s="281" t="n">
        <v>50436.6065525355</v>
      </c>
      <c r="G21" s="280" t="n">
        <v>50437.6065525355</v>
      </c>
      <c r="H21" s="281" t="n">
        <v>50436.6065525355</v>
      </c>
      <c r="I21" s="282" t="n">
        <v>50437.6065525355</v>
      </c>
      <c r="J21" s="282" t="n">
        <v>50437.6065525355</v>
      </c>
      <c r="K21" s="282"/>
      <c r="L21" s="282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83"/>
      <c r="DR21" s="283"/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  <c r="GH21" s="283"/>
      <c r="GI21" s="283"/>
      <c r="GJ21" s="283"/>
      <c r="GK21" s="283"/>
      <c r="GL21" s="283"/>
      <c r="GM21" s="283"/>
      <c r="GN21" s="283"/>
      <c r="GO21" s="283"/>
      <c r="GP21" s="283"/>
      <c r="GQ21" s="283"/>
      <c r="GR21" s="283"/>
      <c r="GS21" s="283"/>
      <c r="GT21" s="283"/>
      <c r="GU21" s="283"/>
      <c r="GV21" s="283"/>
      <c r="GW21" s="283"/>
      <c r="GX21" s="283"/>
      <c r="GY21" s="283"/>
      <c r="GZ21" s="283"/>
      <c r="HA21" s="283"/>
      <c r="HB21" s="283"/>
      <c r="HC21" s="283"/>
      <c r="HD21" s="283"/>
      <c r="HE21" s="283"/>
      <c r="HF21" s="283"/>
      <c r="HG21" s="283"/>
      <c r="HH21" s="283"/>
      <c r="HI21" s="283"/>
      <c r="HJ21" s="283"/>
      <c r="HK21" s="283"/>
      <c r="HL21" s="283"/>
      <c r="HM21" s="283"/>
      <c r="HN21" s="283"/>
      <c r="HO21" s="283"/>
      <c r="HP21" s="283"/>
      <c r="HQ21" s="283"/>
      <c r="HR21" s="283"/>
      <c r="HS21" s="283"/>
      <c r="HT21" s="283"/>
      <c r="HU21" s="283"/>
      <c r="HV21" s="283"/>
      <c r="HW21" s="283"/>
      <c r="HX21" s="283"/>
      <c r="HY21" s="283"/>
      <c r="HZ21" s="283"/>
      <c r="IA21" s="283"/>
      <c r="IB21" s="283"/>
      <c r="IC21" s="283"/>
      <c r="ID21" s="283"/>
      <c r="IE21" s="283"/>
      <c r="IF21" s="283"/>
      <c r="IG21" s="283"/>
      <c r="IH21" s="283"/>
      <c r="II21" s="283"/>
      <c r="IJ21" s="283"/>
      <c r="IK21" s="283"/>
      <c r="IL21" s="283"/>
      <c r="IM21" s="283"/>
      <c r="IN21" s="283"/>
      <c r="IO21" s="283"/>
      <c r="IP21" s="283"/>
      <c r="IQ21" s="283"/>
      <c r="IR21" s="283"/>
      <c r="IS21" s="283"/>
      <c r="IT21" s="283"/>
      <c r="IU21" s="283"/>
      <c r="IV21" s="283"/>
      <c r="IW21" s="283"/>
    </row>
    <row r="22" customFormat="false" ht="12.75" hidden="false" customHeight="false" outlineLevel="0" collapsed="false">
      <c r="A22" s="284" t="n">
        <v>37165</v>
      </c>
      <c r="B22" s="285" t="n">
        <v>15771</v>
      </c>
      <c r="C22" s="286" t="n">
        <v>0</v>
      </c>
      <c r="D22" s="285" t="n">
        <v>2257.43009601776</v>
      </c>
      <c r="E22" s="287" t="n">
        <v>2258.43009601776</v>
      </c>
      <c r="F22" s="288" t="n">
        <v>112811</v>
      </c>
      <c r="G22" s="287" t="n">
        <v>112812</v>
      </c>
      <c r="H22" s="288" t="n">
        <v>147657.241772956</v>
      </c>
      <c r="I22" s="289" t="n">
        <v>147658.241772956</v>
      </c>
      <c r="J22" s="289" t="n">
        <v>147658.241772956</v>
      </c>
      <c r="K22" s="282"/>
      <c r="L22" s="282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3"/>
      <c r="DF22" s="283"/>
      <c r="DG22" s="283"/>
      <c r="DH22" s="283"/>
      <c r="DI22" s="283"/>
      <c r="DJ22" s="283"/>
      <c r="DK22" s="283"/>
      <c r="DL22" s="283"/>
      <c r="DM22" s="283"/>
      <c r="DN22" s="283"/>
      <c r="DO22" s="283"/>
      <c r="DP22" s="283"/>
      <c r="DQ22" s="283"/>
      <c r="DR22" s="283"/>
      <c r="DS22" s="283"/>
      <c r="DT22" s="283"/>
      <c r="DU22" s="283"/>
      <c r="DV22" s="283"/>
      <c r="DW22" s="283"/>
      <c r="DX22" s="283"/>
      <c r="DY22" s="283"/>
      <c r="DZ22" s="283"/>
      <c r="EA22" s="283"/>
      <c r="EB22" s="283"/>
      <c r="EC22" s="283"/>
      <c r="ED22" s="283"/>
      <c r="EE22" s="283"/>
      <c r="EF22" s="283"/>
      <c r="EG22" s="283"/>
      <c r="EH22" s="283"/>
      <c r="EI22" s="283"/>
      <c r="EJ22" s="283"/>
      <c r="EK22" s="283"/>
      <c r="EL22" s="283"/>
      <c r="EM22" s="283"/>
      <c r="EN22" s="283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3"/>
      <c r="EZ22" s="283"/>
      <c r="FA22" s="283"/>
      <c r="FB22" s="283"/>
      <c r="FC22" s="283"/>
      <c r="FD22" s="283"/>
      <c r="FE22" s="283"/>
      <c r="FF22" s="283"/>
      <c r="FG22" s="283"/>
      <c r="FH22" s="283"/>
      <c r="FI22" s="283"/>
      <c r="FJ22" s="283"/>
      <c r="FK22" s="283"/>
      <c r="FL22" s="283"/>
      <c r="FM22" s="283"/>
      <c r="FN22" s="283"/>
      <c r="FO22" s="283"/>
      <c r="FP22" s="283"/>
      <c r="FQ22" s="283"/>
      <c r="FR22" s="283"/>
      <c r="FS22" s="283"/>
      <c r="FT22" s="283"/>
      <c r="FU22" s="283"/>
      <c r="FV22" s="283"/>
      <c r="FW22" s="283"/>
      <c r="FX22" s="283"/>
      <c r="FY22" s="283"/>
      <c r="FZ22" s="283"/>
      <c r="GA22" s="283"/>
      <c r="GB22" s="283"/>
      <c r="GC22" s="283"/>
      <c r="GD22" s="283"/>
      <c r="GE22" s="283"/>
      <c r="GF22" s="283"/>
      <c r="GG22" s="283"/>
      <c r="GH22" s="283"/>
      <c r="GI22" s="283"/>
      <c r="GJ22" s="283"/>
      <c r="GK22" s="283"/>
      <c r="GL22" s="283"/>
      <c r="GM22" s="283"/>
      <c r="GN22" s="283"/>
      <c r="GO22" s="283"/>
      <c r="GP22" s="283"/>
      <c r="GQ22" s="283"/>
      <c r="GR22" s="283"/>
      <c r="GS22" s="283"/>
      <c r="GT22" s="283"/>
      <c r="GU22" s="283"/>
      <c r="GV22" s="283"/>
      <c r="GW22" s="283"/>
      <c r="GX22" s="283"/>
      <c r="GY22" s="283"/>
      <c r="GZ22" s="283"/>
      <c r="HA22" s="283"/>
      <c r="HB22" s="283"/>
      <c r="HC22" s="283"/>
      <c r="HD22" s="283"/>
      <c r="HE22" s="283"/>
      <c r="HF22" s="283"/>
      <c r="HG22" s="283"/>
      <c r="HH22" s="283"/>
      <c r="HI22" s="283"/>
      <c r="HJ22" s="283"/>
      <c r="HK22" s="283"/>
      <c r="HL22" s="283"/>
      <c r="HM22" s="283"/>
      <c r="HN22" s="283"/>
      <c r="HO22" s="283"/>
      <c r="HP22" s="283"/>
      <c r="HQ22" s="283"/>
      <c r="HR22" s="283"/>
      <c r="HS22" s="283"/>
      <c r="HT22" s="283"/>
      <c r="HU22" s="283"/>
      <c r="HV22" s="283"/>
      <c r="HW22" s="283"/>
      <c r="HX22" s="283"/>
      <c r="HY22" s="283"/>
      <c r="HZ22" s="283"/>
      <c r="IA22" s="283"/>
      <c r="IB22" s="283"/>
      <c r="IC22" s="283"/>
      <c r="ID22" s="283"/>
      <c r="IE22" s="283"/>
      <c r="IF22" s="283"/>
      <c r="IG22" s="283"/>
      <c r="IH22" s="283"/>
      <c r="II22" s="283"/>
      <c r="IJ22" s="283"/>
      <c r="IK22" s="283"/>
      <c r="IL22" s="283"/>
      <c r="IM22" s="283"/>
      <c r="IN22" s="283"/>
      <c r="IO22" s="283"/>
      <c r="IP22" s="283"/>
      <c r="IQ22" s="283"/>
      <c r="IR22" s="283"/>
      <c r="IS22" s="283"/>
      <c r="IT22" s="283"/>
      <c r="IU22" s="283"/>
      <c r="IV22" s="283"/>
      <c r="IW22" s="283"/>
    </row>
    <row r="23" customFormat="false" ht="12.75" hidden="false" customHeight="false" outlineLevel="0" collapsed="false">
      <c r="A23" s="272" t="n">
        <v>37196</v>
      </c>
      <c r="B23" s="273" t="n">
        <v>15771</v>
      </c>
      <c r="C23" s="274" t="n">
        <v>0</v>
      </c>
      <c r="D23" s="273" t="n">
        <v>19725.6157929027</v>
      </c>
      <c r="E23" s="275" t="n">
        <v>19726.6157929027</v>
      </c>
      <c r="F23" s="276" t="n">
        <v>87753.2377682934</v>
      </c>
      <c r="G23" s="275" t="n">
        <v>87754.2377682934</v>
      </c>
      <c r="H23" s="276" t="n">
        <v>274491.237768293</v>
      </c>
      <c r="I23" s="268" t="n">
        <v>274492.237768293</v>
      </c>
      <c r="J23" s="268" t="n">
        <v>326317.237768293</v>
      </c>
      <c r="K23" s="268"/>
      <c r="L23" s="268"/>
    </row>
    <row r="24" customFormat="false" ht="12.75" hidden="false" customHeight="false" outlineLevel="0" collapsed="false">
      <c r="A24" s="272" t="n">
        <v>37226</v>
      </c>
      <c r="B24" s="273" t="n">
        <v>15771</v>
      </c>
      <c r="C24" s="274" t="n">
        <v>0</v>
      </c>
      <c r="D24" s="273" t="n">
        <v>22988.4198966213</v>
      </c>
      <c r="E24" s="275" t="n">
        <v>22989.4198966213</v>
      </c>
      <c r="F24" s="276" t="n">
        <v>116163.87</v>
      </c>
      <c r="G24" s="275" t="n">
        <v>116164.87</v>
      </c>
      <c r="H24" s="276" t="n">
        <v>312901.87</v>
      </c>
      <c r="I24" s="268" t="n">
        <v>312902.87</v>
      </c>
      <c r="J24" s="268" t="n">
        <v>364727.87</v>
      </c>
      <c r="K24" s="268"/>
      <c r="L24" s="268"/>
    </row>
    <row r="25" customFormat="false" ht="12.75" hidden="false" customHeight="false" outlineLevel="0" collapsed="false">
      <c r="A25" s="272" t="n">
        <v>37257</v>
      </c>
      <c r="B25" s="273" t="n">
        <v>15771</v>
      </c>
      <c r="C25" s="274" t="n">
        <v>0</v>
      </c>
      <c r="D25" s="273" t="n">
        <v>35712.8208558091</v>
      </c>
      <c r="E25" s="275" t="n">
        <v>35713.8208558091</v>
      </c>
      <c r="F25" s="276" t="n">
        <v>116163.87</v>
      </c>
      <c r="G25" s="275" t="n">
        <v>116164.87</v>
      </c>
      <c r="H25" s="276" t="n">
        <v>312901.87</v>
      </c>
      <c r="I25" s="268" t="n">
        <v>312902.87</v>
      </c>
      <c r="J25" s="268" t="n">
        <v>364727.87</v>
      </c>
      <c r="K25" s="268"/>
      <c r="L25" s="268"/>
    </row>
    <row r="26" customFormat="false" ht="12.75" hidden="false" customHeight="false" outlineLevel="0" collapsed="false">
      <c r="A26" s="272" t="n">
        <v>37288</v>
      </c>
      <c r="B26" s="273" t="n">
        <v>15771</v>
      </c>
      <c r="C26" s="274" t="n">
        <v>0</v>
      </c>
      <c r="D26" s="273" t="n">
        <v>31068.4613051422</v>
      </c>
      <c r="E26" s="275" t="n">
        <v>31069.4613051422</v>
      </c>
      <c r="F26" s="276" t="n">
        <v>116163.87</v>
      </c>
      <c r="G26" s="275" t="n">
        <v>116164.87</v>
      </c>
      <c r="H26" s="276" t="n">
        <v>312901.87</v>
      </c>
      <c r="I26" s="268" t="n">
        <v>312902.87</v>
      </c>
      <c r="J26" s="268" t="n">
        <v>364727.87</v>
      </c>
      <c r="K26" s="268"/>
      <c r="L26" s="268"/>
    </row>
    <row r="27" customFormat="false" ht="12.75" hidden="false" customHeight="false" outlineLevel="0" collapsed="false">
      <c r="A27" s="272" t="n">
        <v>37316</v>
      </c>
      <c r="B27" s="273" t="n">
        <v>15771</v>
      </c>
      <c r="C27" s="274" t="n">
        <v>0</v>
      </c>
      <c r="D27" s="273" t="n">
        <v>29545.7981610383</v>
      </c>
      <c r="E27" s="275" t="n">
        <v>29546.7981610383</v>
      </c>
      <c r="F27" s="276" t="n">
        <v>110211.31560209</v>
      </c>
      <c r="G27" s="275" t="n">
        <v>110212.31560209</v>
      </c>
      <c r="H27" s="276" t="n">
        <v>296949.31560209</v>
      </c>
      <c r="I27" s="268" t="n">
        <v>296950.31560209</v>
      </c>
      <c r="J27" s="268" t="n">
        <v>348775.31560209</v>
      </c>
      <c r="K27" s="268"/>
      <c r="L27" s="268"/>
    </row>
    <row r="28" customFormat="false" ht="12.75" hidden="false" customHeight="false" outlineLevel="0" collapsed="false">
      <c r="A28" s="272" t="n">
        <v>37347</v>
      </c>
      <c r="B28" s="273" t="n">
        <v>15771</v>
      </c>
      <c r="C28" s="274" t="n">
        <v>0</v>
      </c>
      <c r="D28" s="273" t="n">
        <v>11462.5308361589</v>
      </c>
      <c r="E28" s="275" t="n">
        <v>11463.5308361589</v>
      </c>
      <c r="F28" s="276" t="n">
        <v>116163.87</v>
      </c>
      <c r="G28" s="275" t="n">
        <v>116164.87</v>
      </c>
      <c r="H28" s="276" t="n">
        <v>163985.470500294</v>
      </c>
      <c r="I28" s="268" t="n">
        <v>163986.470500294</v>
      </c>
      <c r="J28" s="268" t="n">
        <v>163986.470500294</v>
      </c>
      <c r="K28" s="268"/>
      <c r="L28" s="268"/>
    </row>
    <row r="29" customFormat="false" ht="12.75" hidden="false" customHeight="false" outlineLevel="0" collapsed="false">
      <c r="A29" s="272" t="n">
        <v>37377</v>
      </c>
      <c r="B29" s="273" t="n">
        <v>15771</v>
      </c>
      <c r="C29" s="274" t="n">
        <v>0</v>
      </c>
      <c r="D29" s="273" t="n">
        <v>9653.97246496574</v>
      </c>
      <c r="E29" s="275" t="n">
        <v>9654.97246496574</v>
      </c>
      <c r="F29" s="276" t="n">
        <v>99596.2773012192</v>
      </c>
      <c r="G29" s="275" t="n">
        <v>99597.2773012192</v>
      </c>
      <c r="H29" s="276" t="n">
        <v>99596.2773012192</v>
      </c>
      <c r="I29" s="268" t="n">
        <v>99597.2773012192</v>
      </c>
      <c r="J29" s="268" t="n">
        <v>99597.2773012192</v>
      </c>
      <c r="K29" s="268"/>
      <c r="L29" s="268"/>
    </row>
    <row r="30" customFormat="false" ht="12.75" hidden="false" customHeight="false" outlineLevel="0" collapsed="false">
      <c r="A30" s="272" t="n">
        <v>37408</v>
      </c>
      <c r="B30" s="273" t="n">
        <v>15771</v>
      </c>
      <c r="C30" s="274" t="n">
        <v>0</v>
      </c>
      <c r="D30" s="273" t="n">
        <v>10835.7933705067</v>
      </c>
      <c r="E30" s="275" t="n">
        <v>10836.7933705067</v>
      </c>
      <c r="F30" s="276" t="n">
        <v>52082.9076665783</v>
      </c>
      <c r="G30" s="275" t="n">
        <v>52083.9076665783</v>
      </c>
      <c r="H30" s="276" t="n">
        <v>52082.9076665783</v>
      </c>
      <c r="I30" s="268" t="n">
        <v>52083.9076665783</v>
      </c>
      <c r="J30" s="268" t="n">
        <v>52083.9076665783</v>
      </c>
      <c r="K30" s="268"/>
      <c r="L30" s="268"/>
    </row>
    <row r="31" customFormat="false" ht="12.75" hidden="false" customHeight="false" outlineLevel="0" collapsed="false">
      <c r="A31" s="272" t="n">
        <v>37438</v>
      </c>
      <c r="B31" s="273" t="n">
        <v>15771</v>
      </c>
      <c r="C31" s="274" t="n">
        <v>0</v>
      </c>
      <c r="D31" s="273" t="n">
        <v>10472.9058417468</v>
      </c>
      <c r="E31" s="275" t="n">
        <v>10473.9058417468</v>
      </c>
      <c r="F31" s="276" t="n">
        <v>17092.3642381305</v>
      </c>
      <c r="G31" s="275" t="n">
        <v>17093.3642381305</v>
      </c>
      <c r="H31" s="276" t="n">
        <v>17092.3642381305</v>
      </c>
      <c r="I31" s="268" t="n">
        <v>17093.3642381305</v>
      </c>
      <c r="J31" s="268" t="n">
        <v>17093.3642381305</v>
      </c>
      <c r="K31" s="268"/>
      <c r="L31" s="268"/>
    </row>
    <row r="32" customFormat="false" ht="12.75" hidden="false" customHeight="false" outlineLevel="0" collapsed="false">
      <c r="A32" s="272" t="n">
        <v>37469</v>
      </c>
      <c r="B32" s="273" t="n">
        <v>15771</v>
      </c>
      <c r="C32" s="274" t="n">
        <v>0</v>
      </c>
      <c r="D32" s="273" t="n">
        <v>11666.2276151609</v>
      </c>
      <c r="E32" s="275" t="n">
        <v>11667.2276151609</v>
      </c>
      <c r="F32" s="276" t="n">
        <v>18142.0612444425</v>
      </c>
      <c r="G32" s="275" t="n">
        <v>18143.0612444425</v>
      </c>
      <c r="H32" s="276" t="n">
        <v>18142.0612444425</v>
      </c>
      <c r="I32" s="268" t="n">
        <v>18143.0612444425</v>
      </c>
      <c r="J32" s="268" t="n">
        <v>18143.0612444425</v>
      </c>
      <c r="K32" s="268"/>
      <c r="L32" s="268"/>
    </row>
    <row r="33" customFormat="false" ht="12.75" hidden="false" customHeight="false" outlineLevel="0" collapsed="false">
      <c r="A33" s="272" t="n">
        <v>37500</v>
      </c>
      <c r="B33" s="273" t="n">
        <v>15771</v>
      </c>
      <c r="C33" s="274" t="n">
        <v>0</v>
      </c>
      <c r="D33" s="273" t="n">
        <v>3557.82143492328</v>
      </c>
      <c r="E33" s="275" t="n">
        <v>3558.82143492328</v>
      </c>
      <c r="F33" s="276" t="n">
        <v>52753.8727818742</v>
      </c>
      <c r="G33" s="275" t="n">
        <v>52754.8727818742</v>
      </c>
      <c r="H33" s="276" t="n">
        <v>52753.8727818742</v>
      </c>
      <c r="I33" s="268" t="n">
        <v>52754.8727818742</v>
      </c>
      <c r="J33" s="268" t="n">
        <v>52754.8727818742</v>
      </c>
      <c r="K33" s="268"/>
      <c r="L33" s="268"/>
    </row>
    <row r="34" customFormat="false" ht="12.75" hidden="false" customHeight="false" outlineLevel="0" collapsed="false">
      <c r="A34" s="272" t="n">
        <v>37530</v>
      </c>
      <c r="B34" s="273" t="n">
        <v>15771</v>
      </c>
      <c r="C34" s="274" t="n">
        <v>0</v>
      </c>
      <c r="D34" s="273" t="n">
        <v>2699.6917793231</v>
      </c>
      <c r="E34" s="275" t="n">
        <v>2700.6917793231</v>
      </c>
      <c r="F34" s="276" t="n">
        <v>116163.87</v>
      </c>
      <c r="G34" s="275" t="n">
        <v>116164.87</v>
      </c>
      <c r="H34" s="276" t="n">
        <v>153377.23023501</v>
      </c>
      <c r="I34" s="268" t="n">
        <v>153378.23023501</v>
      </c>
      <c r="J34" s="268" t="n">
        <v>153378.23023501</v>
      </c>
      <c r="K34" s="268"/>
      <c r="L34" s="268"/>
    </row>
    <row r="35" customFormat="false" ht="12.75" hidden="false" customHeight="false" outlineLevel="0" collapsed="false">
      <c r="A35" s="290" t="n">
        <v>37561</v>
      </c>
      <c r="B35" s="291" t="n">
        <v>15771</v>
      </c>
      <c r="C35" s="292" t="n">
        <v>0</v>
      </c>
      <c r="D35" s="291" t="n">
        <v>20337.8145286959</v>
      </c>
      <c r="E35" s="293" t="n">
        <v>20338.8145286959</v>
      </c>
      <c r="F35" s="294" t="n">
        <v>91201.5860901837</v>
      </c>
      <c r="G35" s="293" t="n">
        <v>91202.5860901837</v>
      </c>
      <c r="H35" s="294" t="n">
        <v>277939.586090184</v>
      </c>
      <c r="I35" s="295" t="n">
        <v>277940.586090184</v>
      </c>
      <c r="J35" s="296" t="n">
        <v>329765.586090184</v>
      </c>
      <c r="K35" s="268"/>
      <c r="L35" s="268"/>
    </row>
    <row r="36" customFormat="false" ht="12.75" hidden="false" customHeight="false" outlineLevel="0" collapsed="false">
      <c r="A36" s="297" t="n">
        <v>37591</v>
      </c>
      <c r="B36" s="298" t="n">
        <v>15771</v>
      </c>
      <c r="C36" s="299" t="n">
        <v>0</v>
      </c>
      <c r="D36" s="298" t="n">
        <v>23610.4028802113</v>
      </c>
      <c r="E36" s="300" t="n">
        <v>23611.4028802113</v>
      </c>
      <c r="F36" s="301" t="n">
        <v>123863.87</v>
      </c>
      <c r="G36" s="300" t="n">
        <v>123864.87</v>
      </c>
      <c r="H36" s="301" t="n">
        <v>320601.87</v>
      </c>
      <c r="I36" s="302" t="n">
        <v>320602.87</v>
      </c>
      <c r="J36" s="303" t="n">
        <v>372427.87</v>
      </c>
      <c r="K36" s="268"/>
      <c r="L36" s="268"/>
    </row>
    <row r="37" customFormat="false" ht="12.75" hidden="false" customHeight="false" outlineLevel="0" collapsed="false">
      <c r="A37" s="304" t="n">
        <v>37622</v>
      </c>
      <c r="B37" s="305" t="n">
        <v>15771</v>
      </c>
      <c r="C37" s="306" t="n">
        <v>0</v>
      </c>
      <c r="D37" s="305" t="n">
        <v>36738.3923146374</v>
      </c>
      <c r="E37" s="307" t="n">
        <v>36739.3923146374</v>
      </c>
      <c r="F37" s="308" t="n">
        <v>123863.87</v>
      </c>
      <c r="G37" s="307" t="n">
        <v>123864.87</v>
      </c>
      <c r="H37" s="308" t="n">
        <v>320601.87</v>
      </c>
      <c r="I37" s="309" t="n">
        <v>320602.87</v>
      </c>
      <c r="J37" s="310" t="n">
        <v>372427.87</v>
      </c>
      <c r="K37" s="268"/>
      <c r="L37" s="268"/>
    </row>
    <row r="38" customFormat="false" ht="12.75" hidden="false" customHeight="false" outlineLevel="0" collapsed="false">
      <c r="A38" s="272"/>
      <c r="B38" s="273"/>
      <c r="C38" s="274"/>
      <c r="D38" s="273"/>
      <c r="E38" s="275"/>
      <c r="F38" s="276"/>
      <c r="G38" s="275"/>
      <c r="H38" s="276"/>
      <c r="I38" s="268"/>
      <c r="J38" s="268"/>
      <c r="K38" s="268"/>
      <c r="L38" s="268"/>
    </row>
    <row r="39" customFormat="false" ht="12.75" hidden="false" customHeight="false" outlineLevel="0" collapsed="false">
      <c r="A39" s="272"/>
      <c r="B39" s="273"/>
      <c r="C39" s="274"/>
      <c r="D39" s="273"/>
      <c r="E39" s="275"/>
      <c r="F39" s="276"/>
      <c r="G39" s="275"/>
      <c r="H39" s="276"/>
      <c r="I39" s="268"/>
      <c r="J39" s="268"/>
      <c r="K39" s="268"/>
      <c r="L39" s="268"/>
    </row>
    <row r="40" customFormat="false" ht="12.75" hidden="false" customHeight="false" outlineLevel="0" collapsed="false">
      <c r="A40" s="272"/>
      <c r="B40" s="273"/>
      <c r="C40" s="274"/>
      <c r="D40" s="273"/>
      <c r="E40" s="275"/>
      <c r="F40" s="276"/>
      <c r="G40" s="275"/>
      <c r="H40" s="276"/>
      <c r="I40" s="268"/>
      <c r="J40" s="268"/>
      <c r="K40" s="268"/>
      <c r="L40" s="268"/>
    </row>
    <row r="41" customFormat="false" ht="12.75" hidden="false" customHeight="false" outlineLevel="0" collapsed="false">
      <c r="A41" s="272"/>
      <c r="B41" s="273"/>
      <c r="C41" s="274"/>
      <c r="D41" s="273"/>
      <c r="E41" s="275"/>
      <c r="F41" s="276"/>
      <c r="G41" s="275"/>
      <c r="H41" s="276"/>
      <c r="I41" s="268"/>
      <c r="J41" s="268"/>
      <c r="K41" s="268"/>
      <c r="L41" s="268"/>
    </row>
    <row r="42" customFormat="false" ht="12.75" hidden="false" customHeight="false" outlineLevel="0" collapsed="false">
      <c r="A42" s="272"/>
      <c r="B42" s="273"/>
      <c r="C42" s="274"/>
      <c r="D42" s="273"/>
      <c r="E42" s="275"/>
      <c r="F42" s="276"/>
      <c r="G42" s="275"/>
      <c r="H42" s="276"/>
      <c r="I42" s="268"/>
      <c r="J42" s="268"/>
      <c r="K42" s="268"/>
      <c r="L42" s="268"/>
    </row>
    <row r="43" customFormat="false" ht="12.75" hidden="false" customHeight="false" outlineLevel="0" collapsed="false">
      <c r="A43" s="272"/>
      <c r="B43" s="273"/>
      <c r="C43" s="274"/>
      <c r="D43" s="273"/>
      <c r="E43" s="275"/>
      <c r="F43" s="276"/>
      <c r="G43" s="275"/>
      <c r="H43" s="276"/>
      <c r="I43" s="268"/>
      <c r="J43" s="268"/>
      <c r="K43" s="268"/>
      <c r="L43" s="268"/>
    </row>
    <row r="44" customFormat="false" ht="12.75" hidden="false" customHeight="false" outlineLevel="0" collapsed="false">
      <c r="A44" s="272"/>
      <c r="B44" s="273"/>
      <c r="C44" s="274"/>
      <c r="D44" s="273"/>
      <c r="E44" s="275"/>
      <c r="F44" s="276"/>
      <c r="G44" s="275"/>
      <c r="H44" s="276"/>
      <c r="I44" s="268"/>
      <c r="J44" s="268"/>
      <c r="K44" s="268"/>
      <c r="L44" s="268"/>
    </row>
    <row r="45" customFormat="false" ht="12.75" hidden="false" customHeight="false" outlineLevel="0" collapsed="false">
      <c r="A45" s="272"/>
      <c r="B45" s="273"/>
      <c r="C45" s="274"/>
      <c r="D45" s="273"/>
      <c r="E45" s="275"/>
      <c r="F45" s="276"/>
      <c r="G45" s="275"/>
      <c r="H45" s="276"/>
      <c r="I45" s="268"/>
      <c r="J45" s="268"/>
      <c r="K45" s="268"/>
      <c r="L45" s="268"/>
    </row>
    <row r="46" customFormat="false" ht="12.75" hidden="false" customHeight="false" outlineLevel="0" collapsed="false">
      <c r="A46" s="272"/>
      <c r="B46" s="273"/>
      <c r="C46" s="274"/>
      <c r="D46" s="273"/>
      <c r="E46" s="275"/>
      <c r="F46" s="276"/>
      <c r="G46" s="275"/>
      <c r="H46" s="276"/>
      <c r="I46" s="268"/>
      <c r="J46" s="268"/>
      <c r="K46" s="268"/>
      <c r="L46" s="268"/>
    </row>
    <row r="47" customFormat="false" ht="12.75" hidden="false" customHeight="false" outlineLevel="0" collapsed="false">
      <c r="A47" s="272"/>
      <c r="B47" s="272"/>
      <c r="D47" s="268"/>
      <c r="E47" s="268"/>
      <c r="F47" s="311"/>
      <c r="L47" s="268"/>
    </row>
    <row r="48" customFormat="false" ht="12.75" hidden="false" customHeight="false" outlineLevel="0" collapsed="false">
      <c r="A48" s="266" t="s">
        <v>111</v>
      </c>
      <c r="C48" s="266" t="s">
        <v>112</v>
      </c>
      <c r="L48" s="268"/>
    </row>
    <row r="49" customFormat="false" ht="12.75" hidden="false" customHeight="false" outlineLevel="0" collapsed="false">
      <c r="C49" s="266" t="s">
        <v>113</v>
      </c>
    </row>
    <row r="50" customFormat="false" ht="12.75" hidden="false" customHeight="false" outlineLevel="0" collapsed="false">
      <c r="C50" s="266" t="s">
        <v>114</v>
      </c>
    </row>
    <row r="51" customFormat="false" ht="12.75" hidden="false" customHeight="false" outlineLevel="0" collapsed="false">
      <c r="C51" s="266" t="s">
        <v>115</v>
      </c>
    </row>
    <row r="52" customFormat="false" ht="12.75" hidden="false" customHeight="false" outlineLevel="0" collapsed="false">
      <c r="C52" s="266" t="s">
        <v>116</v>
      </c>
    </row>
    <row r="53" customFormat="false" ht="12.75" hidden="false" customHeight="false" outlineLevel="0" collapsed="false">
      <c r="C53" s="266" t="s">
        <v>117</v>
      </c>
    </row>
    <row r="54" customFormat="false" ht="12.75" hidden="false" customHeight="false" outlineLevel="0" collapsed="false">
      <c r="C54" s="266" t="s">
        <v>118</v>
      </c>
    </row>
  </sheetData>
  <printOptions headings="false" gridLines="false" gridLinesSet="true" horizontalCentered="false" verticalCentered="false"/>
  <pageMargins left="0.35" right="0.259722222222222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U1" activePane="topRight" state="frozen"/>
      <selection pane="topLeft" activeCell="A1" activeCellId="0" sqref="A1"/>
      <selection pane="topRight" activeCell="AF27" activeCellId="0" sqref="A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3" style="0" width="11.7"/>
    <col collapsed="false" customWidth="true" hidden="false" outlineLevel="0" max="13" min="13" style="0" width="11.42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A1" s="7"/>
      <c r="B1" s="312"/>
    </row>
    <row r="2" customFormat="false" ht="12.75" hidden="false" customHeight="false" outlineLevel="0" collapsed="false">
      <c r="A2" s="313" t="s">
        <v>119</v>
      </c>
      <c r="B2" s="314" t="n">
        <v>1.83</v>
      </c>
    </row>
    <row r="3" customFormat="false" ht="12.75" hidden="false" customHeight="false" outlineLevel="0" collapsed="false">
      <c r="A3" s="315" t="s">
        <v>120</v>
      </c>
      <c r="B3" s="316" t="n">
        <v>37165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customFormat="false" ht="12.75" hidden="false" customHeight="false" outlineLevel="0" collapsed="false">
      <c r="A4" s="317" t="s">
        <v>121</v>
      </c>
      <c r="B4" s="318" t="n">
        <v>1.75</v>
      </c>
    </row>
    <row r="5" customFormat="false" ht="12.75" hidden="false" customHeight="false" outlineLevel="0" collapsed="false">
      <c r="A5" s="317" t="s">
        <v>122</v>
      </c>
      <c r="B5" s="318" t="n">
        <v>1.73</v>
      </c>
    </row>
    <row r="6" customFormat="false" ht="12.75" hidden="false" customHeight="false" outlineLevel="0" collapsed="false">
      <c r="A6" s="317" t="s">
        <v>123</v>
      </c>
      <c r="B6" s="318" t="n">
        <v>2.02</v>
      </c>
    </row>
    <row r="7" customFormat="false" ht="12.75" hidden="false" customHeight="false" outlineLevel="0" collapsed="false">
      <c r="A7" s="317" t="s">
        <v>124</v>
      </c>
      <c r="B7" s="318" t="n">
        <v>2.02</v>
      </c>
    </row>
    <row r="8" customFormat="false" ht="12.75" hidden="false" customHeight="false" outlineLevel="0" collapsed="false">
      <c r="A8" s="317" t="s">
        <v>125</v>
      </c>
      <c r="B8" s="318" t="n">
        <v>1.76</v>
      </c>
    </row>
    <row r="9" customFormat="false" ht="12.75" hidden="false" customHeight="false" outlineLevel="0" collapsed="false">
      <c r="A9" s="317" t="s">
        <v>126</v>
      </c>
      <c r="B9" s="318" t="n">
        <v>1.78</v>
      </c>
    </row>
    <row r="10" customFormat="false" ht="12.75" hidden="false" customHeight="false" outlineLevel="0" collapsed="false">
      <c r="A10" s="317" t="s">
        <v>127</v>
      </c>
      <c r="B10" s="318" t="n">
        <v>1.86</v>
      </c>
    </row>
    <row r="11" customFormat="false" ht="12.75" hidden="false" customHeight="false" outlineLevel="0" collapsed="false">
      <c r="A11" s="317" t="s">
        <v>128</v>
      </c>
      <c r="B11" s="318" t="n">
        <v>1.81</v>
      </c>
    </row>
    <row r="12" customFormat="false" ht="12.75" hidden="false" customHeight="false" outlineLevel="0" collapsed="false">
      <c r="A12" s="317" t="s">
        <v>129</v>
      </c>
      <c r="B12" s="318" t="n">
        <v>2.05</v>
      </c>
    </row>
    <row r="13" customFormat="false" ht="12.75" hidden="false" customHeight="false" outlineLevel="0" collapsed="false">
      <c r="C13" s="319" t="s">
        <v>130</v>
      </c>
      <c r="D13" s="320" t="s">
        <v>131</v>
      </c>
    </row>
    <row r="14" customFormat="false" ht="12.75" hidden="false" customHeight="false" outlineLevel="0" collapsed="false">
      <c r="A14" s="321" t="s">
        <v>132</v>
      </c>
      <c r="B14" s="322" t="n">
        <f aca="false">B3</f>
        <v>37165</v>
      </c>
      <c r="C14" s="322" t="n">
        <f aca="false">B14+1</f>
        <v>37166</v>
      </c>
      <c r="D14" s="322" t="n">
        <f aca="false">C14+1</f>
        <v>37167</v>
      </c>
      <c r="E14" s="322" t="n">
        <f aca="false">D14+1</f>
        <v>37168</v>
      </c>
      <c r="F14" s="322" t="n">
        <f aca="false">E14+1</f>
        <v>37169</v>
      </c>
      <c r="G14" s="322" t="n">
        <f aca="false">F14+1</f>
        <v>37170</v>
      </c>
      <c r="H14" s="322" t="n">
        <f aca="false">G14+1</f>
        <v>37171</v>
      </c>
      <c r="I14" s="322" t="n">
        <f aca="false">H14+1</f>
        <v>37172</v>
      </c>
      <c r="J14" s="322" t="n">
        <f aca="false">I14+1</f>
        <v>37173</v>
      </c>
      <c r="K14" s="322" t="n">
        <f aca="false">J14+1</f>
        <v>37174</v>
      </c>
      <c r="L14" s="322" t="n">
        <f aca="false">K14+1</f>
        <v>37175</v>
      </c>
      <c r="M14" s="322" t="n">
        <f aca="false">L14+1</f>
        <v>37176</v>
      </c>
      <c r="N14" s="322" t="n">
        <f aca="false">M14+1</f>
        <v>37177</v>
      </c>
      <c r="O14" s="322" t="n">
        <f aca="false">N14+1</f>
        <v>37178</v>
      </c>
      <c r="P14" s="322" t="n">
        <f aca="false">O14+1</f>
        <v>37179</v>
      </c>
      <c r="Q14" s="322" t="n">
        <f aca="false">P14+1</f>
        <v>37180</v>
      </c>
      <c r="R14" s="322" t="n">
        <f aca="false">Q14+1</f>
        <v>37181</v>
      </c>
      <c r="S14" s="322" t="n">
        <f aca="false">R14+1</f>
        <v>37182</v>
      </c>
      <c r="T14" s="322" t="n">
        <f aca="false">S14+1</f>
        <v>37183</v>
      </c>
      <c r="U14" s="322" t="n">
        <f aca="false">T14+1</f>
        <v>37184</v>
      </c>
      <c r="V14" s="322" t="n">
        <f aca="false">U14+1</f>
        <v>37185</v>
      </c>
      <c r="W14" s="322" t="n">
        <f aca="false">V14+1</f>
        <v>37186</v>
      </c>
      <c r="X14" s="322" t="n">
        <f aca="false">W14+1</f>
        <v>37187</v>
      </c>
      <c r="Y14" s="322" t="n">
        <f aca="false">X14+1</f>
        <v>37188</v>
      </c>
      <c r="Z14" s="322" t="n">
        <f aca="false">Y14+1</f>
        <v>37189</v>
      </c>
      <c r="AA14" s="322" t="n">
        <f aca="false">Z14+1</f>
        <v>37190</v>
      </c>
      <c r="AB14" s="322" t="n">
        <f aca="false">AA14+1</f>
        <v>37191</v>
      </c>
      <c r="AC14" s="322" t="n">
        <f aca="false">AB14+1</f>
        <v>37192</v>
      </c>
      <c r="AD14" s="322" t="n">
        <f aca="false">AC14+1</f>
        <v>37193</v>
      </c>
      <c r="AE14" s="323" t="n">
        <f aca="false">AD14+1</f>
        <v>37194</v>
      </c>
      <c r="AF14" s="323" t="n">
        <f aca="false">AE14+1</f>
        <v>37195</v>
      </c>
    </row>
    <row r="15" customFormat="false" ht="12.75" hidden="false" customHeight="false" outlineLevel="0" collapsed="false">
      <c r="A15" s="317"/>
      <c r="B15" s="324" t="s">
        <v>133</v>
      </c>
      <c r="C15" s="324" t="s">
        <v>134</v>
      </c>
      <c r="D15" s="324" t="s">
        <v>135</v>
      </c>
      <c r="E15" s="325" t="s">
        <v>136</v>
      </c>
      <c r="F15" s="324" t="s">
        <v>137</v>
      </c>
      <c r="G15" s="324" t="s">
        <v>138</v>
      </c>
      <c r="H15" s="324" t="s">
        <v>139</v>
      </c>
      <c r="I15" s="324" t="s">
        <v>133</v>
      </c>
      <c r="J15" s="324" t="s">
        <v>134</v>
      </c>
      <c r="K15" s="324" t="s">
        <v>135</v>
      </c>
      <c r="L15" s="325" t="s">
        <v>136</v>
      </c>
      <c r="M15" s="324" t="s">
        <v>137</v>
      </c>
      <c r="N15" s="324" t="s">
        <v>138</v>
      </c>
      <c r="O15" s="324" t="s">
        <v>139</v>
      </c>
      <c r="P15" s="324" t="s">
        <v>133</v>
      </c>
      <c r="Q15" s="324" t="s">
        <v>134</v>
      </c>
      <c r="R15" s="324" t="s">
        <v>135</v>
      </c>
      <c r="S15" s="324" t="s">
        <v>136</v>
      </c>
      <c r="T15" s="324" t="s">
        <v>137</v>
      </c>
      <c r="U15" s="324" t="s">
        <v>138</v>
      </c>
      <c r="V15" s="324" t="s">
        <v>139</v>
      </c>
      <c r="W15" s="324" t="s">
        <v>133</v>
      </c>
      <c r="X15" s="324" t="s">
        <v>134</v>
      </c>
      <c r="Y15" s="324" t="s">
        <v>135</v>
      </c>
      <c r="Z15" s="324" t="s">
        <v>136</v>
      </c>
      <c r="AA15" s="324" t="s">
        <v>137</v>
      </c>
      <c r="AB15" s="324" t="s">
        <v>138</v>
      </c>
      <c r="AC15" s="324" t="s">
        <v>139</v>
      </c>
      <c r="AD15" s="324" t="s">
        <v>133</v>
      </c>
      <c r="AE15" s="324" t="s">
        <v>134</v>
      </c>
      <c r="AF15" s="324" t="s">
        <v>135</v>
      </c>
      <c r="AG15" s="324" t="s">
        <v>136</v>
      </c>
      <c r="AH15" s="324" t="s">
        <v>137</v>
      </c>
      <c r="AI15" s="324" t="s">
        <v>138</v>
      </c>
      <c r="AJ15" s="324" t="s">
        <v>139</v>
      </c>
    </row>
    <row r="16" customFormat="false" ht="12.75" hidden="false" customHeight="false" outlineLevel="0" collapsed="false">
      <c r="A16" s="317" t="s">
        <v>140</v>
      </c>
      <c r="B16" s="326" t="n">
        <v>1.76</v>
      </c>
      <c r="C16" s="326" t="n">
        <v>1.72</v>
      </c>
      <c r="D16" s="326" t="n">
        <v>1.79</v>
      </c>
      <c r="E16" s="326" t="n">
        <v>1.96</v>
      </c>
      <c r="F16" s="326" t="n">
        <v>2.095</v>
      </c>
      <c r="G16" s="326" t="n">
        <v>2.095</v>
      </c>
      <c r="H16" s="326" t="n">
        <v>2.095</v>
      </c>
      <c r="I16" s="326" t="n">
        <v>2.095</v>
      </c>
      <c r="J16" s="326" t="n">
        <v>2</v>
      </c>
      <c r="K16" s="326" t="n">
        <v>2.08</v>
      </c>
      <c r="L16" s="326" t="n">
        <v>2.21</v>
      </c>
      <c r="M16" s="326" t="n">
        <v>2.365</v>
      </c>
      <c r="N16" s="326" t="n">
        <v>2.28</v>
      </c>
      <c r="O16" s="326" t="n">
        <v>2.28</v>
      </c>
      <c r="P16" s="326" t="n">
        <v>2.28</v>
      </c>
      <c r="Q16" s="326" t="n">
        <v>2.235</v>
      </c>
      <c r="R16" s="326" t="n">
        <v>2.5</v>
      </c>
      <c r="S16" s="326" t="n">
        <v>2.645</v>
      </c>
      <c r="T16" s="326" t="n">
        <v>2.39</v>
      </c>
      <c r="U16" s="326" t="n">
        <v>2.31</v>
      </c>
      <c r="V16" s="326" t="n">
        <v>2.31</v>
      </c>
      <c r="W16" s="326" t="n">
        <v>2.31</v>
      </c>
      <c r="X16" s="326" t="n">
        <v>2.585</v>
      </c>
      <c r="Y16" s="326" t="n">
        <v>2.8</v>
      </c>
      <c r="Z16" s="326" t="n">
        <v>2.665</v>
      </c>
      <c r="AA16" s="326" t="n">
        <v>3.135</v>
      </c>
      <c r="AB16" s="326" t="n">
        <v>3.04</v>
      </c>
      <c r="AC16" s="326" t="n">
        <v>3.04</v>
      </c>
      <c r="AD16" s="326" t="n">
        <v>3.04</v>
      </c>
      <c r="AE16" s="326" t="n">
        <v>3.2</v>
      </c>
      <c r="AF16" s="326" t="n">
        <v>3.085</v>
      </c>
      <c r="AG16" s="326"/>
    </row>
    <row r="18" customFormat="false" ht="12.75" hidden="false" customHeight="false" outlineLevel="0" collapsed="false">
      <c r="A18" s="21" t="s">
        <v>141</v>
      </c>
      <c r="B18" s="326" t="n">
        <v>1.98</v>
      </c>
      <c r="C18" s="326" t="n">
        <v>1.93</v>
      </c>
      <c r="D18" s="326" t="n">
        <v>1.98</v>
      </c>
      <c r="E18" s="326" t="n">
        <v>2.195</v>
      </c>
      <c r="F18" s="326" t="n">
        <v>2.345</v>
      </c>
      <c r="G18" s="326" t="n">
        <v>2.39</v>
      </c>
      <c r="H18" s="326" t="n">
        <v>2.39</v>
      </c>
      <c r="I18" s="326" t="n">
        <v>2.39</v>
      </c>
      <c r="J18" s="326" t="n">
        <v>2.28</v>
      </c>
      <c r="K18" s="326" t="n">
        <v>2.32</v>
      </c>
      <c r="L18" s="326" t="n">
        <v>2.35</v>
      </c>
      <c r="M18" s="326" t="n">
        <v>2.47</v>
      </c>
      <c r="N18" s="326" t="n">
        <v>2.385</v>
      </c>
      <c r="O18" s="326" t="n">
        <v>2.385</v>
      </c>
      <c r="P18" s="326" t="n">
        <v>2.385</v>
      </c>
      <c r="Q18" s="326" t="n">
        <v>2.42</v>
      </c>
      <c r="R18" s="326" t="n">
        <v>2.77</v>
      </c>
      <c r="S18" s="326" t="n">
        <v>2.95</v>
      </c>
      <c r="T18" s="326" t="n">
        <v>2.6</v>
      </c>
      <c r="U18" s="326" t="n">
        <v>2.485</v>
      </c>
      <c r="V18" s="326" t="n">
        <v>2.485</v>
      </c>
      <c r="W18" s="326" t="n">
        <v>2.485</v>
      </c>
      <c r="X18" s="326" t="n">
        <v>2.74</v>
      </c>
      <c r="Y18" s="326" t="n">
        <v>2.99</v>
      </c>
      <c r="Z18" s="326" t="n">
        <v>2.945</v>
      </c>
      <c r="AA18" s="326" t="n">
        <v>3.51</v>
      </c>
      <c r="AB18" s="326" t="n">
        <v>3.415</v>
      </c>
      <c r="AC18" s="326" t="n">
        <v>3.415</v>
      </c>
      <c r="AD18" s="326" t="n">
        <v>3.415</v>
      </c>
      <c r="AE18" s="326" t="n">
        <v>3.575</v>
      </c>
      <c r="AF18" s="326" t="n">
        <v>3.345</v>
      </c>
    </row>
    <row r="20" customFormat="false" ht="12.75" hidden="false" customHeight="false" outlineLevel="0" collapsed="false">
      <c r="A20" s="21" t="s">
        <v>142</v>
      </c>
      <c r="B20" s="326" t="n">
        <v>1.795</v>
      </c>
      <c r="C20" s="326" t="n">
        <v>1.725</v>
      </c>
      <c r="D20" s="326" t="n">
        <v>1.77</v>
      </c>
      <c r="E20" s="326" t="n">
        <v>1.95</v>
      </c>
      <c r="F20" s="326" t="n">
        <v>2.1</v>
      </c>
      <c r="G20" s="326" t="n">
        <v>2.115</v>
      </c>
      <c r="H20" s="326" t="n">
        <v>2.115</v>
      </c>
      <c r="I20" s="326" t="n">
        <v>2.115</v>
      </c>
      <c r="J20" s="326" t="n">
        <v>2.02</v>
      </c>
      <c r="K20" s="326" t="n">
        <v>2.085</v>
      </c>
      <c r="L20" s="326" t="n">
        <v>2.18</v>
      </c>
      <c r="M20" s="326" t="n">
        <v>2.335</v>
      </c>
      <c r="N20" s="326" t="n">
        <v>2.235</v>
      </c>
      <c r="O20" s="326" t="n">
        <v>2.235</v>
      </c>
      <c r="P20" s="326" t="n">
        <v>2.235</v>
      </c>
      <c r="Q20" s="326" t="n">
        <v>2.165</v>
      </c>
      <c r="R20" s="326" t="n">
        <v>2.445</v>
      </c>
      <c r="S20" s="326" t="n">
        <v>2.625</v>
      </c>
      <c r="T20" s="326" t="n">
        <v>2.355</v>
      </c>
      <c r="U20" s="326" t="n">
        <v>2.275</v>
      </c>
      <c r="V20" s="326" t="n">
        <v>2.275</v>
      </c>
      <c r="W20" s="326" t="n">
        <v>2.275</v>
      </c>
      <c r="X20" s="326" t="n">
        <v>2.54</v>
      </c>
      <c r="Y20" s="326" t="n">
        <v>2.785</v>
      </c>
      <c r="Z20" s="326" t="n">
        <v>2.635</v>
      </c>
      <c r="AA20" s="326" t="n">
        <v>3.145</v>
      </c>
      <c r="AB20" s="326" t="n">
        <v>3.04</v>
      </c>
      <c r="AC20" s="326" t="n">
        <v>3.04</v>
      </c>
      <c r="AD20" s="326" t="n">
        <v>3.04</v>
      </c>
      <c r="AE20" s="326" t="n">
        <v>3.195</v>
      </c>
      <c r="AF20" s="326" t="n">
        <v>3.07</v>
      </c>
    </row>
    <row r="21" customFormat="false" ht="12.75" hidden="false" customHeight="false" outlineLevel="0" collapsed="false">
      <c r="A21" s="21"/>
    </row>
    <row r="22" customFormat="false" ht="12.75" hidden="false" customHeight="false" outlineLevel="0" collapsed="false">
      <c r="A22" s="317" t="s">
        <v>143</v>
      </c>
      <c r="B22" s="326" t="n">
        <v>1.68</v>
      </c>
      <c r="C22" s="326" t="n">
        <v>1.65</v>
      </c>
      <c r="D22" s="326" t="n">
        <v>1.74</v>
      </c>
      <c r="E22" s="326" t="n">
        <v>1.92</v>
      </c>
      <c r="F22" s="326" t="n">
        <v>2.04</v>
      </c>
      <c r="G22" s="326" t="n">
        <v>2.04</v>
      </c>
      <c r="H22" s="326" t="n">
        <v>2.04</v>
      </c>
      <c r="I22" s="326" t="n">
        <v>2.04</v>
      </c>
      <c r="J22" s="326" t="n">
        <v>1.945</v>
      </c>
      <c r="K22" s="326" t="n">
        <v>2.03</v>
      </c>
      <c r="L22" s="326" t="n">
        <v>2.125</v>
      </c>
      <c r="M22" s="326" t="n">
        <v>2.305</v>
      </c>
      <c r="N22" s="326" t="n">
        <v>2.22</v>
      </c>
      <c r="O22" s="326" t="n">
        <v>2.22</v>
      </c>
      <c r="P22" s="326" t="n">
        <v>2.22</v>
      </c>
      <c r="Q22" s="326" t="n">
        <v>2.155</v>
      </c>
      <c r="R22" s="326" t="n">
        <v>2.425</v>
      </c>
      <c r="S22" s="326" t="n">
        <v>2.59</v>
      </c>
      <c r="T22" s="326" t="n">
        <v>2.33</v>
      </c>
      <c r="U22" s="326" t="n">
        <v>2.23</v>
      </c>
      <c r="V22" s="326" t="n">
        <v>2.23</v>
      </c>
      <c r="W22" s="326" t="n">
        <v>2.23</v>
      </c>
      <c r="X22" s="326" t="n">
        <v>2.55</v>
      </c>
      <c r="Y22" s="326" t="n">
        <v>2.78</v>
      </c>
      <c r="Z22" s="326" t="n">
        <v>2.635</v>
      </c>
      <c r="AA22" s="326" t="n">
        <v>3.11</v>
      </c>
      <c r="AB22" s="326" t="n">
        <v>2.99</v>
      </c>
      <c r="AC22" s="326" t="n">
        <v>2.99</v>
      </c>
      <c r="AD22" s="326" t="n">
        <v>2.99</v>
      </c>
      <c r="AE22" s="326" t="n">
        <v>3.18</v>
      </c>
      <c r="AF22" s="326" t="n">
        <v>3.05</v>
      </c>
    </row>
    <row r="24" customFormat="false" ht="12.75" hidden="false" customHeight="false" outlineLevel="0" collapsed="false">
      <c r="A24" s="317" t="s">
        <v>144</v>
      </c>
      <c r="B24" s="326" t="n">
        <v>1.865</v>
      </c>
      <c r="C24" s="326" t="n">
        <v>1.795</v>
      </c>
      <c r="D24" s="326" t="n">
        <v>1.825</v>
      </c>
      <c r="E24" s="326" t="n">
        <v>1.99</v>
      </c>
      <c r="F24" s="326" t="n">
        <v>2.165</v>
      </c>
      <c r="G24" s="326" t="n">
        <v>2.175</v>
      </c>
      <c r="H24" s="326" t="n">
        <v>2.175</v>
      </c>
      <c r="I24" s="326" t="n">
        <v>2.175</v>
      </c>
      <c r="J24" s="326" t="n">
        <v>2.1</v>
      </c>
      <c r="K24" s="326" t="n">
        <v>2.19</v>
      </c>
      <c r="L24" s="326" t="n">
        <v>2.285</v>
      </c>
      <c r="M24" s="326" t="n">
        <v>2.445</v>
      </c>
      <c r="N24" s="326" t="n">
        <v>2.31</v>
      </c>
      <c r="O24" s="326" t="n">
        <v>2.31</v>
      </c>
      <c r="P24" s="326" t="n">
        <v>2.31</v>
      </c>
      <c r="Q24" s="326" t="n">
        <v>2.26</v>
      </c>
      <c r="R24" s="326" t="n">
        <v>2.55</v>
      </c>
      <c r="S24" s="326" t="n">
        <v>2.72</v>
      </c>
      <c r="T24" s="326" t="n">
        <v>2.425</v>
      </c>
      <c r="U24" s="326" t="n">
        <v>2.365</v>
      </c>
      <c r="V24" s="326" t="n">
        <v>2.365</v>
      </c>
      <c r="W24" s="326" t="n">
        <v>2.365</v>
      </c>
      <c r="X24" s="326" t="n">
        <v>2.645</v>
      </c>
      <c r="Y24" s="326" t="n">
        <v>2.87</v>
      </c>
      <c r="Z24" s="326" t="n">
        <v>2.725</v>
      </c>
      <c r="AA24" s="326" t="n">
        <v>3.21</v>
      </c>
      <c r="AB24" s="326" t="n">
        <v>3.1</v>
      </c>
      <c r="AC24" s="326" t="n">
        <v>3.1</v>
      </c>
      <c r="AD24" s="326" t="n">
        <v>3.1</v>
      </c>
      <c r="AE24" s="326" t="n">
        <v>3.23</v>
      </c>
      <c r="AF24" s="326" t="n">
        <v>3.115</v>
      </c>
    </row>
    <row r="26" customFormat="false" ht="12.75" hidden="false" customHeight="false" outlineLevel="0" collapsed="false">
      <c r="A26" s="317" t="s">
        <v>145</v>
      </c>
      <c r="B26" s="326" t="n">
        <v>2.025</v>
      </c>
      <c r="C26" s="326" t="n">
        <v>1.93</v>
      </c>
      <c r="D26" s="326" t="n">
        <v>1.93</v>
      </c>
      <c r="E26" s="326" t="n">
        <v>2.105</v>
      </c>
      <c r="F26" s="326" t="n">
        <v>2.275</v>
      </c>
      <c r="G26" s="326" t="n">
        <v>2.305</v>
      </c>
      <c r="H26" s="326" t="n">
        <v>2.305</v>
      </c>
      <c r="I26" s="326" t="n">
        <v>2.305</v>
      </c>
      <c r="J26" s="326" t="n">
        <v>2.245</v>
      </c>
      <c r="K26" s="326" t="n">
        <v>2.29</v>
      </c>
      <c r="L26" s="326" t="n">
        <v>2.35</v>
      </c>
      <c r="M26" s="326" t="n">
        <v>2.48</v>
      </c>
      <c r="N26" s="326" t="n">
        <v>2.415</v>
      </c>
      <c r="O26" s="326" t="n">
        <v>2.415</v>
      </c>
      <c r="P26" s="326" t="n">
        <v>2.415</v>
      </c>
      <c r="Q26" s="326" t="n">
        <v>2.38</v>
      </c>
      <c r="R26" s="326" t="n">
        <v>2.65</v>
      </c>
      <c r="S26" s="326" t="n">
        <v>2.81</v>
      </c>
      <c r="T26" s="326" t="n">
        <v>2.55</v>
      </c>
      <c r="U26" s="326" t="n">
        <v>2.445</v>
      </c>
      <c r="V26" s="326" t="n">
        <v>2.445</v>
      </c>
      <c r="W26" s="326" t="n">
        <v>2.445</v>
      </c>
      <c r="X26" s="326" t="n">
        <v>2.745</v>
      </c>
      <c r="Y26" s="326" t="n">
        <v>2.945</v>
      </c>
      <c r="Z26" s="326" t="n">
        <v>2.88</v>
      </c>
      <c r="AA26" s="326" t="n">
        <v>3.465</v>
      </c>
      <c r="AB26" s="326" t="n">
        <v>3.415</v>
      </c>
      <c r="AC26" s="326" t="n">
        <v>3.415</v>
      </c>
      <c r="AD26" s="326" t="n">
        <v>3.415</v>
      </c>
      <c r="AE26" s="326" t="n">
        <v>3.585</v>
      </c>
      <c r="AF26" s="326" t="n">
        <v>3.33</v>
      </c>
    </row>
    <row r="29" customFormat="false" ht="12.75" hidden="false" customHeight="false" outlineLevel="0" collapsed="false">
      <c r="B29" s="0" t="s">
        <v>146</v>
      </c>
    </row>
  </sheetData>
  <printOptions headings="false" gridLines="false" gridLinesSet="true" horizontalCentered="false" verticalCentered="false"/>
  <pageMargins left="0.270138888888889" right="0.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11.7"/>
    <col collapsed="false" customWidth="true" hidden="false" outlineLevel="0" max="3" min="3" style="327" width="11.7"/>
    <col collapsed="false" customWidth="true" hidden="false" outlineLevel="0" max="4" min="4" style="324" width="14.41"/>
    <col collapsed="false" customWidth="true" hidden="false" outlineLevel="0" max="5" min="5" style="0" width="15.41"/>
    <col collapsed="false" customWidth="true" hidden="false" outlineLevel="0" max="6" min="6" style="0" width="16.56"/>
    <col collapsed="false" customWidth="true" hidden="false" outlineLevel="0" max="7" min="7" style="0" width="25.41"/>
    <col collapsed="false" customWidth="true" hidden="false" outlineLevel="0" max="8" min="8" style="0" width="37.7"/>
    <col collapsed="false" customWidth="true" hidden="false" outlineLevel="0" max="9" min="9" style="0" width="19.41"/>
    <col collapsed="false" customWidth="true" hidden="false" outlineLevel="0" max="10" min="10" style="0" width="17.28"/>
    <col collapsed="false" customWidth="true" hidden="false" outlineLevel="0" max="11" min="11" style="0" width="9.28"/>
    <col collapsed="false" customWidth="true" hidden="false" outlineLevel="0" max="14" min="14" style="0" width="8.56"/>
    <col collapsed="false" customWidth="true" hidden="false" outlineLevel="0" max="15" min="15" style="0" width="13.85"/>
  </cols>
  <sheetData>
    <row r="1" customFormat="false" ht="18" hidden="false" customHeight="false" outlineLevel="0" collapsed="false">
      <c r="A1" s="328" t="s">
        <v>14</v>
      </c>
    </row>
    <row r="2" customFormat="false" ht="12.75" hidden="false" customHeight="false" outlineLevel="0" collapsed="false">
      <c r="I2" s="329" t="s">
        <v>147</v>
      </c>
      <c r="J2" s="329"/>
      <c r="K2" s="329"/>
    </row>
    <row r="3" customFormat="false" ht="12.75" hidden="false" customHeight="false" outlineLevel="0" collapsed="false">
      <c r="A3" s="330"/>
      <c r="B3" s="330"/>
      <c r="C3" s="331"/>
      <c r="E3" s="330"/>
      <c r="F3" s="332"/>
      <c r="G3" s="330"/>
      <c r="H3" s="330"/>
      <c r="I3" s="330"/>
      <c r="J3" s="330"/>
      <c r="K3" s="330"/>
      <c r="L3" s="330"/>
      <c r="M3" s="330"/>
      <c r="N3" s="330"/>
      <c r="O3" s="330"/>
    </row>
    <row r="4" customFormat="false" ht="15.75" hidden="false" customHeight="false" outlineLevel="0" collapsed="false">
      <c r="A4" s="333" t="s">
        <v>148</v>
      </c>
      <c r="B4" s="334" t="s">
        <v>149</v>
      </c>
      <c r="C4" s="335" t="s">
        <v>149</v>
      </c>
      <c r="D4" s="336"/>
      <c r="E4" s="334" t="s">
        <v>150</v>
      </c>
      <c r="F4" s="334" t="s">
        <v>151</v>
      </c>
      <c r="G4" s="334" t="s">
        <v>152</v>
      </c>
      <c r="H4" s="334" t="s">
        <v>153</v>
      </c>
      <c r="I4" s="334" t="s">
        <v>154</v>
      </c>
      <c r="J4" s="334" t="s">
        <v>155</v>
      </c>
      <c r="K4" s="337"/>
      <c r="L4" s="338"/>
      <c r="M4" s="334"/>
      <c r="N4" s="339"/>
      <c r="O4" s="334"/>
    </row>
    <row r="5" customFormat="false" ht="15.75" hidden="false" customHeight="false" outlineLevel="0" collapsed="false">
      <c r="A5" s="340"/>
      <c r="B5" s="341" t="s">
        <v>31</v>
      </c>
      <c r="C5" s="342" t="s">
        <v>156</v>
      </c>
      <c r="D5" s="343" t="s">
        <v>157</v>
      </c>
      <c r="E5" s="344"/>
      <c r="F5" s="341" t="s">
        <v>158</v>
      </c>
      <c r="G5" s="345" t="s">
        <v>159</v>
      </c>
      <c r="H5" s="345"/>
      <c r="I5" s="344"/>
      <c r="J5" s="344"/>
      <c r="K5" s="345"/>
      <c r="L5" s="346"/>
      <c r="M5" s="345"/>
      <c r="N5" s="344"/>
      <c r="O5" s="345"/>
    </row>
    <row r="6" customFormat="false" ht="15.75" hidden="false" customHeight="false" outlineLevel="0" collapsed="false">
      <c r="A6" s="17"/>
      <c r="B6" s="330"/>
      <c r="C6" s="331"/>
      <c r="D6" s="347"/>
      <c r="E6" s="330"/>
      <c r="F6" s="348"/>
      <c r="G6" s="349"/>
      <c r="H6" s="349"/>
      <c r="I6" s="21"/>
      <c r="J6" s="350"/>
      <c r="K6" s="351"/>
      <c r="L6" s="352"/>
      <c r="M6" s="353"/>
      <c r="N6" s="330"/>
      <c r="O6" s="330"/>
    </row>
    <row r="7" customFormat="false" ht="15.75" hidden="false" customHeight="false" outlineLevel="0" collapsed="false">
      <c r="A7" s="354" t="s">
        <v>160</v>
      </c>
      <c r="B7" s="355" t="n">
        <v>100007</v>
      </c>
      <c r="C7" s="356" t="n">
        <v>523666</v>
      </c>
      <c r="D7" s="357" t="n">
        <v>2</v>
      </c>
      <c r="E7" s="355" t="s">
        <v>161</v>
      </c>
      <c r="F7" s="358" t="n">
        <v>58352</v>
      </c>
      <c r="G7" s="359" t="n">
        <v>42825</v>
      </c>
      <c r="H7" s="359" t="s">
        <v>162</v>
      </c>
      <c r="I7" s="360" t="n">
        <v>1.18765</v>
      </c>
      <c r="J7" s="361" t="n">
        <f aca="false">F7*I7</f>
        <v>69301.7528</v>
      </c>
      <c r="K7" s="362"/>
      <c r="L7" s="363"/>
      <c r="M7" s="364"/>
      <c r="N7" s="363"/>
      <c r="O7" s="363"/>
    </row>
    <row r="8" customFormat="false" ht="15.75" hidden="false" customHeight="false" outlineLevel="0" collapsed="false">
      <c r="A8" s="354"/>
      <c r="B8" s="365" t="n">
        <v>100007</v>
      </c>
      <c r="C8" s="366" t="n">
        <v>523664</v>
      </c>
      <c r="D8" s="367"/>
      <c r="E8" s="365" t="s">
        <v>161</v>
      </c>
      <c r="F8" s="368" t="n">
        <v>15225</v>
      </c>
      <c r="G8" s="369" t="n">
        <v>42825</v>
      </c>
      <c r="H8" s="369" t="s">
        <v>163</v>
      </c>
      <c r="I8" s="370" t="n">
        <v>5.7216</v>
      </c>
      <c r="J8" s="371" t="n">
        <f aca="false">F8*I8</f>
        <v>87111.36</v>
      </c>
      <c r="K8" s="362"/>
      <c r="L8" s="363"/>
      <c r="M8" s="364"/>
      <c r="N8" s="363"/>
      <c r="O8" s="363"/>
    </row>
    <row r="9" customFormat="false" ht="15.75" hidden="false" customHeight="false" outlineLevel="0" collapsed="false">
      <c r="A9" s="354"/>
      <c r="B9" s="355"/>
      <c r="C9" s="356"/>
      <c r="D9" s="357"/>
      <c r="E9" s="355"/>
      <c r="F9" s="358"/>
      <c r="G9" s="355"/>
      <c r="H9" s="355"/>
      <c r="I9" s="372"/>
      <c r="J9" s="359"/>
      <c r="K9" s="362"/>
      <c r="L9" s="373"/>
      <c r="M9" s="364"/>
      <c r="N9" s="363"/>
      <c r="O9" s="363"/>
    </row>
    <row r="10" customFormat="false" ht="14.25" hidden="false" customHeight="false" outlineLevel="0" collapsed="false">
      <c r="A10" s="374"/>
      <c r="B10" s="375" t="n">
        <v>300107</v>
      </c>
      <c r="C10" s="376"/>
      <c r="D10" s="377" t="n">
        <v>9</v>
      </c>
      <c r="E10" s="375" t="s">
        <v>43</v>
      </c>
      <c r="F10" s="378" t="n">
        <v>761250</v>
      </c>
      <c r="G10" s="359" t="n">
        <v>42308</v>
      </c>
      <c r="H10" s="379" t="s">
        <v>164</v>
      </c>
      <c r="I10" s="360" t="n">
        <v>0.014</v>
      </c>
      <c r="J10" s="361" t="n">
        <f aca="false">F10*I10</f>
        <v>10657.5</v>
      </c>
      <c r="K10" s="380"/>
      <c r="L10" s="363"/>
      <c r="M10" s="381"/>
      <c r="N10" s="363"/>
      <c r="O10" s="381"/>
    </row>
    <row r="11" customFormat="false" ht="14.25" hidden="false" customHeight="false" outlineLevel="0" collapsed="false">
      <c r="A11" s="374"/>
      <c r="B11" s="375" t="n">
        <v>300107</v>
      </c>
      <c r="C11" s="376"/>
      <c r="D11" s="377" t="n">
        <v>8</v>
      </c>
      <c r="E11" s="375" t="s">
        <v>43</v>
      </c>
      <c r="F11" s="358" t="n">
        <v>15225</v>
      </c>
      <c r="G11" s="359" t="n">
        <v>42308</v>
      </c>
      <c r="H11" s="355" t="s">
        <v>165</v>
      </c>
      <c r="I11" s="360" t="n">
        <v>1.85489</v>
      </c>
      <c r="J11" s="361" t="n">
        <f aca="false">F11*I11</f>
        <v>28240.70025</v>
      </c>
      <c r="K11" s="380"/>
      <c r="L11" s="363"/>
      <c r="M11" s="381"/>
      <c r="N11" s="363"/>
      <c r="O11" s="381"/>
    </row>
    <row r="12" customFormat="false" ht="15.75" hidden="false" customHeight="false" outlineLevel="0" collapsed="false">
      <c r="A12" s="382"/>
      <c r="B12" s="355"/>
      <c r="C12" s="356"/>
      <c r="D12" s="377"/>
      <c r="E12" s="355"/>
      <c r="F12" s="358"/>
      <c r="G12" s="355"/>
      <c r="H12" s="355"/>
      <c r="I12" s="372"/>
      <c r="J12" s="359"/>
      <c r="K12" s="380"/>
      <c r="L12" s="363"/>
      <c r="M12" s="381" t="s">
        <v>166</v>
      </c>
      <c r="N12" s="363"/>
      <c r="O12" s="381"/>
    </row>
    <row r="13" customFormat="false" ht="15.75" hidden="false" customHeight="false" outlineLevel="0" collapsed="false">
      <c r="A13" s="382"/>
      <c r="B13" s="375" t="n">
        <v>300008</v>
      </c>
      <c r="C13" s="376"/>
      <c r="D13" s="377" t="n">
        <v>6</v>
      </c>
      <c r="E13" s="375" t="s">
        <v>43</v>
      </c>
      <c r="F13" s="358" t="n">
        <v>2791000</v>
      </c>
      <c r="G13" s="379" t="s">
        <v>167</v>
      </c>
      <c r="H13" s="379" t="s">
        <v>164</v>
      </c>
      <c r="I13" s="360" t="n">
        <v>0.014</v>
      </c>
      <c r="J13" s="361" t="n">
        <f aca="false">F13*I13</f>
        <v>39074</v>
      </c>
      <c r="K13" s="380"/>
      <c r="L13" s="363"/>
      <c r="M13" s="381"/>
      <c r="N13" s="363"/>
      <c r="O13" s="381"/>
    </row>
    <row r="14" customFormat="false" ht="15.75" hidden="false" customHeight="false" outlineLevel="0" collapsed="false">
      <c r="A14" s="382"/>
      <c r="B14" s="375" t="n">
        <v>300008</v>
      </c>
      <c r="C14" s="376"/>
      <c r="D14" s="377" t="n">
        <v>7</v>
      </c>
      <c r="E14" s="375" t="s">
        <v>43</v>
      </c>
      <c r="F14" s="358" t="n">
        <v>53648</v>
      </c>
      <c r="G14" s="379" t="s">
        <v>167</v>
      </c>
      <c r="H14" s="355" t="s">
        <v>165</v>
      </c>
      <c r="I14" s="360" t="n">
        <v>1.8549</v>
      </c>
      <c r="J14" s="361" t="n">
        <f aca="false">F14*I14</f>
        <v>99511.6752</v>
      </c>
      <c r="K14" s="380"/>
      <c r="L14" s="363"/>
      <c r="M14" s="381"/>
      <c r="N14" s="363"/>
      <c r="O14" s="381"/>
    </row>
    <row r="15" customFormat="false" ht="15.75" hidden="false" customHeight="false" outlineLevel="0" collapsed="false">
      <c r="A15" s="382"/>
      <c r="B15" s="375"/>
      <c r="C15" s="376"/>
      <c r="D15" s="357"/>
      <c r="E15" s="378"/>
      <c r="F15" s="378"/>
      <c r="G15" s="375"/>
      <c r="H15" s="375"/>
      <c r="I15" s="372"/>
      <c r="J15" s="379"/>
      <c r="K15" s="383"/>
      <c r="L15" s="384"/>
      <c r="M15" s="354"/>
      <c r="N15" s="385"/>
      <c r="O15" s="385"/>
    </row>
    <row r="16" customFormat="false" ht="15.75" hidden="false" customHeight="false" outlineLevel="0" collapsed="false">
      <c r="A16" s="382"/>
      <c r="B16" s="355" t="n">
        <v>700005</v>
      </c>
      <c r="C16" s="356" t="n">
        <v>571492</v>
      </c>
      <c r="D16" s="357" t="n">
        <v>5</v>
      </c>
      <c r="E16" s="355" t="s">
        <v>168</v>
      </c>
      <c r="F16" s="378" t="n">
        <v>40148</v>
      </c>
      <c r="G16" s="359" t="s">
        <v>169</v>
      </c>
      <c r="H16" s="359" t="s">
        <v>162</v>
      </c>
      <c r="I16" s="360" t="n">
        <v>5.70899</v>
      </c>
      <c r="J16" s="361" t="n">
        <f aca="false">F16*I16</f>
        <v>229204.53052</v>
      </c>
      <c r="K16" s="386"/>
      <c r="L16" s="363"/>
      <c r="M16" s="387"/>
      <c r="N16" s="385"/>
      <c r="O16" s="387"/>
    </row>
    <row r="17" customFormat="false" ht="15.75" hidden="false" customHeight="false" outlineLevel="0" collapsed="false">
      <c r="A17" s="382"/>
      <c r="B17" s="375"/>
      <c r="C17" s="376"/>
      <c r="D17" s="357"/>
      <c r="E17" s="378"/>
      <c r="F17" s="378"/>
      <c r="G17" s="375"/>
      <c r="H17" s="375"/>
      <c r="I17" s="372"/>
      <c r="J17" s="379"/>
      <c r="K17" s="386"/>
      <c r="L17" s="385"/>
      <c r="M17" s="387"/>
      <c r="N17" s="385"/>
      <c r="O17" s="387"/>
    </row>
    <row r="18" customFormat="false" ht="15.75" hidden="false" customHeight="false" outlineLevel="0" collapsed="false">
      <c r="A18" s="382"/>
      <c r="B18" s="355" t="n">
        <v>200088</v>
      </c>
      <c r="C18" s="356" t="n">
        <v>523667</v>
      </c>
      <c r="D18" s="357" t="n">
        <v>4</v>
      </c>
      <c r="E18" s="388" t="s">
        <v>170</v>
      </c>
      <c r="F18" s="358" t="n">
        <v>10000</v>
      </c>
      <c r="G18" s="359" t="n">
        <v>38411</v>
      </c>
      <c r="H18" s="359" t="s">
        <v>162</v>
      </c>
      <c r="I18" s="360" t="n">
        <v>5.6097</v>
      </c>
      <c r="J18" s="361" t="n">
        <f aca="false">F18*I18</f>
        <v>56097</v>
      </c>
      <c r="K18" s="386" t="s">
        <v>171</v>
      </c>
      <c r="L18" s="385"/>
      <c r="M18" s="387"/>
      <c r="N18" s="385"/>
      <c r="O18" s="387"/>
    </row>
    <row r="19" customFormat="false" ht="15.75" hidden="false" customHeight="false" outlineLevel="0" collapsed="false">
      <c r="A19" s="382"/>
      <c r="B19" s="355"/>
      <c r="C19" s="356"/>
      <c r="D19" s="357"/>
      <c r="E19" s="388"/>
      <c r="F19" s="358"/>
      <c r="G19" s="359"/>
      <c r="H19" s="359"/>
      <c r="I19" s="389"/>
      <c r="J19" s="361"/>
      <c r="K19" s="386"/>
      <c r="L19" s="385"/>
      <c r="M19" s="387"/>
      <c r="N19" s="385"/>
      <c r="O19" s="387"/>
    </row>
    <row r="20" customFormat="false" ht="15.75" hidden="false" customHeight="false" outlineLevel="0" collapsed="false">
      <c r="A20" s="390"/>
      <c r="B20" s="391"/>
      <c r="C20" s="392"/>
      <c r="D20" s="393"/>
      <c r="E20" s="394"/>
      <c r="F20" s="395"/>
      <c r="G20" s="396"/>
      <c r="H20" s="396"/>
      <c r="I20" s="397"/>
      <c r="J20" s="398" t="n">
        <f aca="false">SUM(J7:J19)</f>
        <v>619198.51877</v>
      </c>
      <c r="K20" s="399" t="s">
        <v>172</v>
      </c>
      <c r="L20" s="400"/>
      <c r="M20" s="401"/>
      <c r="N20" s="400"/>
      <c r="O20" s="401"/>
    </row>
    <row r="21" customFormat="false" ht="15.75" hidden="false" customHeight="false" outlineLevel="0" collapsed="false">
      <c r="A21" s="382"/>
      <c r="D21" s="357"/>
      <c r="I21" s="402"/>
      <c r="M21" s="403"/>
      <c r="N21" s="404"/>
      <c r="O21" s="385"/>
    </row>
    <row r="22" customFormat="false" ht="15.75" hidden="false" customHeight="false" outlineLevel="0" collapsed="false">
      <c r="A22" s="382" t="s">
        <v>173</v>
      </c>
      <c r="B22" s="355" t="n">
        <v>200088</v>
      </c>
      <c r="C22" s="356"/>
      <c r="D22" s="357"/>
      <c r="E22" s="388" t="s">
        <v>174</v>
      </c>
      <c r="F22" s="358" t="n">
        <v>100000</v>
      </c>
      <c r="G22" s="359" t="n">
        <v>37195</v>
      </c>
      <c r="H22" s="379" t="s">
        <v>164</v>
      </c>
      <c r="I22" s="389" t="n">
        <v>0</v>
      </c>
      <c r="J22" s="405" t="n">
        <f aca="false">F22*I22</f>
        <v>0</v>
      </c>
      <c r="K22" s="403"/>
      <c r="L22" s="403"/>
      <c r="M22" s="403"/>
      <c r="N22" s="404"/>
      <c r="O22" s="385"/>
    </row>
    <row r="23" customFormat="false" ht="14.25" hidden="false" customHeight="false" outlineLevel="0" collapsed="false">
      <c r="B23" s="355" t="n">
        <v>200088</v>
      </c>
      <c r="C23" s="406"/>
      <c r="D23" s="377" t="n">
        <v>21</v>
      </c>
      <c r="E23" s="21" t="s">
        <v>175</v>
      </c>
      <c r="F23" s="358" t="n">
        <v>10000</v>
      </c>
      <c r="G23" s="359" t="n">
        <v>37195</v>
      </c>
      <c r="H23" s="355" t="s">
        <v>165</v>
      </c>
      <c r="I23" s="389" t="n">
        <v>4.9473</v>
      </c>
      <c r="J23" s="361" t="n">
        <f aca="false">F23*I23</f>
        <v>49473</v>
      </c>
      <c r="K23" s="407"/>
      <c r="L23" s="408"/>
      <c r="M23" s="387"/>
      <c r="N23" s="363"/>
      <c r="O23" s="381"/>
    </row>
    <row r="24" customFormat="false" ht="14.25" hidden="false" customHeight="false" outlineLevel="0" collapsed="false">
      <c r="B24" s="409" t="n">
        <v>100104</v>
      </c>
      <c r="C24" s="410" t="n">
        <v>523664</v>
      </c>
      <c r="D24" s="377" t="n">
        <v>3</v>
      </c>
      <c r="F24" s="358" t="n">
        <v>15225</v>
      </c>
      <c r="G24" s="359" t="n">
        <v>37195</v>
      </c>
      <c r="H24" s="355" t="s">
        <v>165</v>
      </c>
      <c r="I24" s="389" t="n">
        <v>0</v>
      </c>
      <c r="J24" s="361" t="n">
        <f aca="false">F24*I24</f>
        <v>0</v>
      </c>
      <c r="K24" s="407"/>
      <c r="L24" s="408"/>
      <c r="M24" s="387"/>
      <c r="N24" s="363"/>
      <c r="O24" s="381"/>
    </row>
    <row r="25" customFormat="false" ht="15.75" hidden="false" customHeight="false" outlineLevel="0" collapsed="false">
      <c r="A25" s="382"/>
      <c r="B25" s="355"/>
      <c r="C25" s="356"/>
      <c r="D25" s="377"/>
      <c r="E25" s="355"/>
      <c r="F25" s="358"/>
      <c r="G25" s="355"/>
      <c r="H25" s="355"/>
      <c r="I25" s="411"/>
      <c r="J25" s="359"/>
      <c r="K25" s="380"/>
      <c r="L25" s="363"/>
      <c r="M25" s="381"/>
      <c r="N25" s="363"/>
      <c r="O25" s="381"/>
    </row>
    <row r="26" customFormat="false" ht="15.75" hidden="false" customHeight="false" outlineLevel="0" collapsed="false">
      <c r="A26" s="390"/>
      <c r="B26" s="391"/>
      <c r="C26" s="392"/>
      <c r="D26" s="412"/>
      <c r="E26" s="391"/>
      <c r="F26" s="395"/>
      <c r="G26" s="391"/>
      <c r="H26" s="391"/>
      <c r="I26" s="413"/>
      <c r="J26" s="414" t="n">
        <f aca="false">SUM(J22:J25)</f>
        <v>49473</v>
      </c>
      <c r="K26" s="399" t="s">
        <v>176</v>
      </c>
      <c r="L26" s="400"/>
      <c r="M26" s="401"/>
      <c r="N26" s="400"/>
      <c r="O26" s="401"/>
    </row>
    <row r="27" customFormat="false" ht="15.75" hidden="false" customHeight="false" outlineLevel="0" collapsed="false">
      <c r="A27" s="382"/>
      <c r="B27" s="415"/>
      <c r="C27" s="416"/>
      <c r="D27" s="377"/>
      <c r="E27" s="415"/>
      <c r="F27" s="415"/>
      <c r="G27" s="415"/>
      <c r="H27" s="415"/>
      <c r="I27" s="417"/>
      <c r="J27" s="415"/>
      <c r="K27" s="415"/>
    </row>
    <row r="28" customFormat="false" ht="15.75" hidden="false" customHeight="false" outlineLevel="0" collapsed="false">
      <c r="A28" s="354" t="s">
        <v>177</v>
      </c>
      <c r="B28" s="355" t="n">
        <v>38115</v>
      </c>
      <c r="C28" s="356"/>
      <c r="D28" s="357" t="n">
        <v>10</v>
      </c>
      <c r="E28" s="355" t="s">
        <v>178</v>
      </c>
      <c r="F28" s="358" t="n">
        <v>57970</v>
      </c>
      <c r="G28" s="359" t="n">
        <v>38291</v>
      </c>
      <c r="H28" s="359" t="s">
        <v>162</v>
      </c>
      <c r="I28" s="389" t="n">
        <v>2.6886</v>
      </c>
      <c r="J28" s="361" t="n">
        <f aca="false">F28*I28</f>
        <v>155858.142</v>
      </c>
      <c r="K28" s="380"/>
      <c r="L28" s="363"/>
      <c r="M28" s="381"/>
      <c r="N28" s="363"/>
      <c r="O28" s="381"/>
    </row>
    <row r="29" customFormat="false" ht="15.75" hidden="false" customHeight="false" outlineLevel="0" collapsed="false">
      <c r="A29" s="354"/>
      <c r="B29" s="355" t="n">
        <v>38115</v>
      </c>
      <c r="C29" s="356"/>
      <c r="D29" s="357"/>
      <c r="E29" s="355" t="s">
        <v>178</v>
      </c>
      <c r="F29" s="358" t="n">
        <v>57970</v>
      </c>
      <c r="G29" s="359" t="n">
        <v>38291</v>
      </c>
      <c r="H29" s="359" t="s">
        <v>179</v>
      </c>
      <c r="I29" s="418" t="n">
        <v>-0.844</v>
      </c>
      <c r="J29" s="419" t="n">
        <f aca="false">F29*I29</f>
        <v>-48926.68</v>
      </c>
      <c r="K29" s="380" t="s">
        <v>180</v>
      </c>
      <c r="L29" s="363"/>
      <c r="M29" s="381"/>
      <c r="N29" s="363"/>
      <c r="O29" s="381"/>
    </row>
    <row r="30" customFormat="false" ht="15.75" hidden="false" customHeight="false" outlineLevel="0" collapsed="false">
      <c r="A30" s="354"/>
      <c r="B30" s="355" t="n">
        <v>38115</v>
      </c>
      <c r="C30" s="356"/>
      <c r="D30" s="357"/>
      <c r="E30" s="355" t="s">
        <v>178</v>
      </c>
      <c r="F30" s="358" t="n">
        <v>57970</v>
      </c>
      <c r="G30" s="359" t="n">
        <v>38291</v>
      </c>
      <c r="H30" s="359" t="s">
        <v>179</v>
      </c>
      <c r="I30" s="389" t="n">
        <v>0</v>
      </c>
      <c r="J30" s="361" t="n">
        <f aca="false">F30*I30</f>
        <v>0</v>
      </c>
      <c r="K30" s="380"/>
      <c r="L30" s="363"/>
      <c r="M30" s="381"/>
      <c r="N30" s="363"/>
      <c r="O30" s="381"/>
    </row>
    <row r="31" customFormat="false" ht="15.75" hidden="false" customHeight="false" outlineLevel="0" collapsed="false">
      <c r="A31" s="354"/>
      <c r="B31" s="355" t="n">
        <v>38115</v>
      </c>
      <c r="C31" s="356"/>
      <c r="D31" s="357"/>
      <c r="E31" s="355" t="s">
        <v>178</v>
      </c>
      <c r="F31" s="358" t="n">
        <v>57970</v>
      </c>
      <c r="G31" s="359" t="n">
        <v>38291</v>
      </c>
      <c r="H31" s="359" t="s">
        <v>181</v>
      </c>
      <c r="I31" s="389" t="n">
        <v>0</v>
      </c>
      <c r="J31" s="361" t="n">
        <f aca="false">F31*I31</f>
        <v>0</v>
      </c>
      <c r="K31" s="380"/>
      <c r="L31" s="363"/>
      <c r="M31" s="381"/>
      <c r="N31" s="363"/>
      <c r="O31" s="381"/>
    </row>
    <row r="32" customFormat="false" ht="15.75" hidden="false" customHeight="false" outlineLevel="0" collapsed="false">
      <c r="A32" s="354"/>
      <c r="B32" s="355"/>
      <c r="C32" s="356"/>
      <c r="D32" s="357"/>
      <c r="E32" s="355"/>
      <c r="F32" s="358"/>
      <c r="G32" s="359"/>
      <c r="H32" s="359"/>
      <c r="I32" s="389"/>
      <c r="J32" s="361"/>
      <c r="K32" s="380"/>
      <c r="L32" s="363"/>
      <c r="M32" s="381"/>
      <c r="N32" s="363"/>
      <c r="O32" s="381"/>
    </row>
    <row r="33" customFormat="false" ht="15.75" hidden="false" customHeight="false" outlineLevel="0" collapsed="false">
      <c r="A33" s="354"/>
      <c r="B33" s="420" t="n">
        <v>35889</v>
      </c>
      <c r="C33" s="421"/>
      <c r="D33" s="357" t="n">
        <v>16</v>
      </c>
      <c r="E33" s="375" t="s">
        <v>182</v>
      </c>
      <c r="F33" s="378" t="n">
        <v>52090</v>
      </c>
      <c r="G33" s="379" t="n">
        <v>38077</v>
      </c>
      <c r="H33" s="355" t="s">
        <v>165</v>
      </c>
      <c r="I33" s="389" t="n">
        <v>0.76</v>
      </c>
      <c r="J33" s="361" t="n">
        <f aca="false">F33*I33</f>
        <v>39588.4</v>
      </c>
      <c r="K33" s="415"/>
      <c r="M33" s="381"/>
      <c r="N33" s="363"/>
      <c r="O33" s="381"/>
    </row>
    <row r="34" customFormat="false" ht="15.75" hidden="false" customHeight="false" outlineLevel="0" collapsed="false">
      <c r="A34" s="354"/>
      <c r="B34" s="420" t="n">
        <v>35889</v>
      </c>
      <c r="C34" s="421"/>
      <c r="D34" s="357" t="n">
        <v>17</v>
      </c>
      <c r="E34" s="375" t="s">
        <v>182</v>
      </c>
      <c r="F34" s="378" t="n">
        <v>778500</v>
      </c>
      <c r="G34" s="379" t="n">
        <v>38077</v>
      </c>
      <c r="H34" s="379" t="s">
        <v>164</v>
      </c>
      <c r="I34" s="389" t="n">
        <v>0.304</v>
      </c>
      <c r="J34" s="422" t="n">
        <f aca="false">F34*I34</f>
        <v>236664</v>
      </c>
      <c r="K34" s="423"/>
      <c r="L34" s="424"/>
      <c r="M34" s="387"/>
      <c r="N34" s="363"/>
      <c r="O34" s="381"/>
    </row>
    <row r="35" customFormat="false" ht="15.75" hidden="false" customHeight="false" outlineLevel="0" collapsed="false">
      <c r="A35" s="354"/>
      <c r="B35" s="355"/>
      <c r="C35" s="356"/>
      <c r="D35" s="357"/>
      <c r="E35" s="355"/>
      <c r="F35" s="358"/>
      <c r="G35" s="355"/>
      <c r="H35" s="355"/>
      <c r="I35" s="411"/>
      <c r="J35" s="359"/>
      <c r="K35" s="386"/>
      <c r="L35" s="385"/>
      <c r="M35" s="387"/>
      <c r="N35" s="363"/>
      <c r="O35" s="381"/>
    </row>
    <row r="36" customFormat="false" ht="15.75" hidden="false" customHeight="false" outlineLevel="0" collapsed="false">
      <c r="A36" s="354"/>
      <c r="B36" s="355"/>
      <c r="C36" s="356"/>
      <c r="D36" s="357"/>
      <c r="E36" s="355"/>
      <c r="F36" s="358"/>
      <c r="G36" s="359"/>
      <c r="H36" s="355"/>
      <c r="I36" s="411"/>
      <c r="J36" s="415"/>
      <c r="K36" s="425"/>
      <c r="L36" s="385"/>
      <c r="M36" s="385"/>
      <c r="N36" s="363"/>
      <c r="O36" s="363"/>
    </row>
    <row r="37" customFormat="false" ht="15.75" hidden="false" customHeight="false" outlineLevel="0" collapsed="false">
      <c r="A37" s="354"/>
      <c r="B37" s="375" t="n">
        <v>53004</v>
      </c>
      <c r="C37" s="376"/>
      <c r="D37" s="357" t="n">
        <v>14</v>
      </c>
      <c r="E37" s="375" t="s">
        <v>41</v>
      </c>
      <c r="F37" s="378" t="n">
        <v>2848655</v>
      </c>
      <c r="G37" s="379" t="n">
        <v>38291</v>
      </c>
      <c r="H37" s="379" t="s">
        <v>164</v>
      </c>
      <c r="I37" s="389" t="n">
        <v>0.0293</v>
      </c>
      <c r="J37" s="361" t="n">
        <f aca="false">F37*I37</f>
        <v>83465.5915</v>
      </c>
      <c r="K37" s="423"/>
      <c r="L37" s="408"/>
      <c r="M37" s="404"/>
      <c r="N37" s="385"/>
      <c r="O37" s="387"/>
    </row>
    <row r="38" customFormat="false" ht="15.75" hidden="false" customHeight="false" outlineLevel="0" collapsed="false">
      <c r="A38" s="354"/>
      <c r="B38" s="375" t="n">
        <v>53004</v>
      </c>
      <c r="C38" s="376"/>
      <c r="D38" s="357" t="n">
        <v>15</v>
      </c>
      <c r="E38" s="375" t="s">
        <v>41</v>
      </c>
      <c r="F38" s="378" t="n">
        <v>49030</v>
      </c>
      <c r="G38" s="379" t="n">
        <v>38291</v>
      </c>
      <c r="H38" s="379" t="s">
        <v>164</v>
      </c>
      <c r="I38" s="389" t="n">
        <v>1.524</v>
      </c>
      <c r="J38" s="361" t="n">
        <f aca="false">F38*I38</f>
        <v>74721.72</v>
      </c>
      <c r="K38" s="423"/>
      <c r="L38" s="408"/>
      <c r="M38" s="404"/>
      <c r="N38" s="385"/>
      <c r="O38" s="387"/>
    </row>
    <row r="39" customFormat="false" ht="15.75" hidden="false" customHeight="false" outlineLevel="0" collapsed="false">
      <c r="A39" s="426"/>
      <c r="B39" s="355" t="n">
        <v>38088</v>
      </c>
      <c r="C39" s="356"/>
      <c r="D39" s="357" t="n">
        <v>12</v>
      </c>
      <c r="E39" s="355" t="s">
        <v>183</v>
      </c>
      <c r="F39" s="358" t="n">
        <v>49030</v>
      </c>
      <c r="G39" s="359" t="n">
        <v>38291</v>
      </c>
      <c r="H39" s="355" t="s">
        <v>165</v>
      </c>
      <c r="I39" s="389" t="n">
        <v>1.524</v>
      </c>
      <c r="J39" s="361" t="n">
        <f aca="false">F39*I39</f>
        <v>74721.72</v>
      </c>
      <c r="K39" s="423"/>
      <c r="L39" s="385"/>
      <c r="M39" s="387"/>
      <c r="N39" s="363"/>
      <c r="O39" s="427"/>
    </row>
    <row r="40" customFormat="false" ht="15.75" hidden="false" customHeight="false" outlineLevel="0" collapsed="false">
      <c r="A40" s="426"/>
      <c r="B40" s="355" t="n">
        <v>38088</v>
      </c>
      <c r="C40" s="356"/>
      <c r="D40" s="357" t="n">
        <v>11</v>
      </c>
      <c r="E40" s="355" t="s">
        <v>183</v>
      </c>
      <c r="F40" s="358" t="n">
        <v>49030</v>
      </c>
      <c r="G40" s="359" t="n">
        <v>38291</v>
      </c>
      <c r="H40" s="355" t="s">
        <v>165</v>
      </c>
      <c r="I40" s="389" t="n">
        <v>6.059</v>
      </c>
      <c r="J40" s="361" t="n">
        <f aca="false">F40*I40</f>
        <v>297072.77</v>
      </c>
      <c r="K40" s="423"/>
      <c r="L40" s="385"/>
      <c r="M40" s="387"/>
      <c r="N40" s="363"/>
      <c r="O40" s="427"/>
    </row>
    <row r="41" customFormat="false" ht="15.75" hidden="false" customHeight="false" outlineLevel="0" collapsed="false">
      <c r="A41" s="426"/>
      <c r="B41" s="415"/>
      <c r="C41" s="416"/>
      <c r="D41" s="357"/>
      <c r="E41" s="415"/>
      <c r="F41" s="415"/>
      <c r="G41" s="415"/>
      <c r="H41" s="415"/>
      <c r="I41" s="417"/>
      <c r="J41" s="415"/>
      <c r="K41" s="415"/>
    </row>
    <row r="42" customFormat="false" ht="15.75" hidden="false" customHeight="false" outlineLevel="0" collapsed="false">
      <c r="A42" s="426"/>
      <c r="B42" s="375" t="n">
        <v>60537</v>
      </c>
      <c r="C42" s="376"/>
      <c r="D42" s="357" t="n">
        <v>18</v>
      </c>
      <c r="E42" s="375" t="s">
        <v>41</v>
      </c>
      <c r="F42" s="378" t="n">
        <v>731250</v>
      </c>
      <c r="G42" s="379" t="n">
        <v>41943</v>
      </c>
      <c r="H42" s="379" t="s">
        <v>164</v>
      </c>
      <c r="I42" s="389" t="n">
        <v>0.0293</v>
      </c>
      <c r="J42" s="361" t="n">
        <f aca="false">F42*I42</f>
        <v>21425.625</v>
      </c>
      <c r="K42" s="415"/>
      <c r="L42" s="408"/>
      <c r="M42" s="404"/>
      <c r="N42" s="385"/>
      <c r="O42" s="387"/>
    </row>
    <row r="43" customFormat="false" ht="15.75" hidden="false" customHeight="false" outlineLevel="0" collapsed="false">
      <c r="A43" s="426"/>
      <c r="B43" s="375" t="n">
        <v>60537</v>
      </c>
      <c r="C43" s="376"/>
      <c r="D43" s="357" t="n">
        <v>19</v>
      </c>
      <c r="E43" s="375" t="s">
        <v>41</v>
      </c>
      <c r="F43" s="378" t="n">
        <v>14625</v>
      </c>
      <c r="G43" s="379" t="n">
        <v>41943</v>
      </c>
      <c r="H43" s="379" t="s">
        <v>164</v>
      </c>
      <c r="I43" s="389" t="n">
        <v>1.524</v>
      </c>
      <c r="J43" s="361" t="n">
        <f aca="false">F43*I43</f>
        <v>22288.5</v>
      </c>
      <c r="K43" s="415"/>
      <c r="L43" s="408"/>
      <c r="M43" s="404"/>
      <c r="N43" s="385"/>
      <c r="O43" s="387"/>
    </row>
    <row r="44" customFormat="false" ht="15.75" hidden="false" customHeight="false" outlineLevel="0" collapsed="false">
      <c r="A44" s="426"/>
      <c r="B44" s="355" t="n">
        <v>60536</v>
      </c>
      <c r="C44" s="356"/>
      <c r="D44" s="357" t="n">
        <v>13</v>
      </c>
      <c r="E44" s="355" t="s">
        <v>183</v>
      </c>
      <c r="F44" s="358" t="n">
        <v>14625</v>
      </c>
      <c r="G44" s="359" t="n">
        <v>41943</v>
      </c>
      <c r="H44" s="355" t="s">
        <v>165</v>
      </c>
      <c r="I44" s="389" t="n">
        <v>1.524</v>
      </c>
      <c r="J44" s="361" t="n">
        <f aca="false">F44*I44</f>
        <v>22288.5</v>
      </c>
      <c r="K44" s="380"/>
      <c r="L44" s="381"/>
    </row>
    <row r="45" customFormat="false" ht="15" hidden="false" customHeight="true" outlineLevel="0" collapsed="false">
      <c r="A45" s="426"/>
      <c r="B45" s="355" t="n">
        <v>65065</v>
      </c>
      <c r="C45" s="356"/>
      <c r="D45" s="357"/>
      <c r="E45" s="355" t="s">
        <v>178</v>
      </c>
      <c r="F45" s="358" t="n">
        <v>38000</v>
      </c>
      <c r="G45" s="359" t="s">
        <v>184</v>
      </c>
      <c r="H45" s="355" t="s">
        <v>165</v>
      </c>
      <c r="I45" s="389" t="n">
        <v>1.4</v>
      </c>
      <c r="J45" s="361" t="n">
        <f aca="false">F45*I45</f>
        <v>53200</v>
      </c>
      <c r="K45" s="380"/>
      <c r="L45" s="381"/>
    </row>
    <row r="46" customFormat="false" ht="15" hidden="false" customHeight="true" outlineLevel="0" collapsed="false">
      <c r="A46" s="426"/>
      <c r="B46" s="355" t="n">
        <v>65066</v>
      </c>
      <c r="C46" s="356"/>
      <c r="D46" s="357" t="n">
        <v>20</v>
      </c>
      <c r="E46" s="355" t="s">
        <v>178</v>
      </c>
      <c r="F46" s="358" t="n">
        <v>38000</v>
      </c>
      <c r="G46" s="359" t="s">
        <v>184</v>
      </c>
      <c r="H46" s="355" t="s">
        <v>165</v>
      </c>
      <c r="I46" s="389" t="n">
        <v>0</v>
      </c>
      <c r="J46" s="361" t="n">
        <f aca="false">F46*I46</f>
        <v>0</v>
      </c>
      <c r="K46" s="380" t="s">
        <v>185</v>
      </c>
      <c r="L46" s="381"/>
    </row>
    <row r="47" customFormat="false" ht="15.75" hidden="false" customHeight="false" outlineLevel="0" collapsed="false">
      <c r="A47" s="426"/>
      <c r="B47" s="355"/>
      <c r="C47" s="356"/>
      <c r="D47" s="357"/>
      <c r="E47" s="355"/>
      <c r="F47" s="358"/>
      <c r="G47" s="359"/>
      <c r="H47" s="355"/>
      <c r="I47" s="389"/>
      <c r="J47" s="361"/>
      <c r="K47" s="380"/>
      <c r="L47" s="381"/>
    </row>
    <row r="48" customFormat="false" ht="15.75" hidden="false" customHeight="false" outlineLevel="0" collapsed="false">
      <c r="A48" s="428"/>
      <c r="B48" s="391"/>
      <c r="C48" s="392"/>
      <c r="D48" s="393"/>
      <c r="E48" s="391"/>
      <c r="F48" s="395"/>
      <c r="G48" s="396"/>
      <c r="H48" s="391"/>
      <c r="I48" s="397"/>
      <c r="J48" s="398" t="n">
        <f aca="false">SUM(J28:J47)</f>
        <v>1032368.2885</v>
      </c>
      <c r="K48" s="399" t="s">
        <v>186</v>
      </c>
      <c r="L48" s="401"/>
      <c r="M48" s="429"/>
      <c r="N48" s="429"/>
      <c r="O48" s="429"/>
    </row>
    <row r="49" customFormat="false" ht="15.75" hidden="false" customHeight="false" outlineLevel="0" collapsed="false">
      <c r="A49" s="426"/>
      <c r="B49" s="355"/>
      <c r="C49" s="356"/>
      <c r="D49" s="357"/>
      <c r="E49" s="355"/>
      <c r="F49" s="358"/>
      <c r="G49" s="359"/>
      <c r="H49" s="355"/>
      <c r="I49" s="389"/>
      <c r="J49" s="361"/>
      <c r="K49" s="380"/>
      <c r="L49" s="381"/>
    </row>
    <row r="50" customFormat="false" ht="15.75" hidden="false" customHeight="false" outlineLevel="0" collapsed="false">
      <c r="A50" s="354"/>
      <c r="B50" s="355"/>
      <c r="C50" s="356"/>
      <c r="D50" s="357"/>
      <c r="E50" s="355"/>
      <c r="F50" s="378"/>
      <c r="G50" s="355"/>
      <c r="H50" s="355"/>
      <c r="I50" s="411"/>
      <c r="J50" s="430"/>
      <c r="K50" s="430"/>
      <c r="L50" s="17"/>
      <c r="M50" s="17"/>
      <c r="N50" s="17"/>
      <c r="O50" s="17"/>
    </row>
    <row r="51" customFormat="false" ht="15.75" hidden="false" customHeight="false" outlineLevel="0" collapsed="false">
      <c r="A51" s="354" t="s">
        <v>187</v>
      </c>
      <c r="B51" s="355" t="n">
        <v>38070</v>
      </c>
      <c r="C51" s="356" t="n">
        <v>70198</v>
      </c>
      <c r="D51" s="357" t="n">
        <v>1</v>
      </c>
      <c r="E51" s="355" t="s">
        <v>178</v>
      </c>
      <c r="F51" s="358" t="n">
        <v>51479</v>
      </c>
      <c r="G51" s="359" t="n">
        <v>38291</v>
      </c>
      <c r="H51" s="359" t="s">
        <v>162</v>
      </c>
      <c r="I51" s="389" t="n">
        <v>3.145</v>
      </c>
      <c r="J51" s="361" t="n">
        <f aca="false">F51*I51</f>
        <v>161901.455</v>
      </c>
      <c r="K51" s="380"/>
      <c r="L51" s="363"/>
      <c r="M51" s="381"/>
      <c r="N51" s="17"/>
      <c r="O51" s="17"/>
    </row>
    <row r="52" customFormat="false" ht="14.25" hidden="false" customHeight="false" outlineLevel="0" collapsed="false">
      <c r="A52" s="431"/>
      <c r="B52" s="355"/>
      <c r="C52" s="356"/>
      <c r="D52" s="357"/>
      <c r="E52" s="355"/>
      <c r="F52" s="358"/>
      <c r="G52" s="355"/>
      <c r="H52" s="355"/>
      <c r="I52" s="411"/>
      <c r="J52" s="359"/>
      <c r="K52" s="380"/>
      <c r="L52" s="363"/>
      <c r="M52" s="363"/>
      <c r="N52" s="17"/>
      <c r="O52" s="17"/>
    </row>
    <row r="53" customFormat="false" ht="15" hidden="false" customHeight="false" outlineLevel="0" collapsed="false">
      <c r="A53" s="432"/>
      <c r="B53" s="433"/>
      <c r="C53" s="434"/>
      <c r="D53" s="393"/>
      <c r="E53" s="391"/>
      <c r="F53" s="433"/>
      <c r="G53" s="433"/>
      <c r="H53" s="433"/>
      <c r="I53" s="435"/>
      <c r="J53" s="414" t="n">
        <f aca="false">SUM(J51:J52)</f>
        <v>161901.455</v>
      </c>
      <c r="K53" s="436" t="s">
        <v>188</v>
      </c>
      <c r="L53" s="400"/>
      <c r="M53" s="400"/>
      <c r="N53" s="400"/>
      <c r="O53" s="437"/>
    </row>
    <row r="54" customFormat="false" ht="14.25" hidden="false" customHeight="false" outlineLevel="0" collapsed="false">
      <c r="A54" s="385"/>
      <c r="B54" s="438"/>
      <c r="C54" s="439"/>
      <c r="D54" s="357"/>
      <c r="E54" s="355"/>
      <c r="F54" s="438"/>
      <c r="G54" s="438"/>
      <c r="H54" s="438"/>
      <c r="I54" s="440"/>
      <c r="J54" s="438"/>
      <c r="K54" s="438"/>
      <c r="L54" s="363"/>
      <c r="M54" s="363"/>
      <c r="N54" s="363"/>
      <c r="O54" s="363"/>
    </row>
    <row r="55" customFormat="false" ht="15.75" hidden="false" customHeight="false" outlineLevel="0" collapsed="false">
      <c r="A55" s="354" t="s">
        <v>189</v>
      </c>
      <c r="B55" s="441" t="n">
        <v>21882</v>
      </c>
      <c r="C55" s="442" t="n">
        <v>35876</v>
      </c>
      <c r="D55" s="357" t="n">
        <v>24</v>
      </c>
      <c r="E55" s="355" t="s">
        <v>190</v>
      </c>
      <c r="F55" s="358" t="n">
        <v>4599</v>
      </c>
      <c r="G55" s="359" t="n">
        <v>36981</v>
      </c>
      <c r="H55" s="359" t="s">
        <v>162</v>
      </c>
      <c r="I55" s="389" t="n">
        <v>7.815</v>
      </c>
      <c r="J55" s="361" t="n">
        <f aca="false">F55*I55</f>
        <v>35941.185</v>
      </c>
      <c r="K55" s="380"/>
      <c r="L55" s="363"/>
      <c r="M55" s="381"/>
      <c r="N55" s="363"/>
      <c r="O55" s="443"/>
    </row>
    <row r="56" customFormat="false" ht="15.75" hidden="false" customHeight="false" outlineLevel="0" collapsed="false">
      <c r="A56" s="354"/>
      <c r="B56" s="441"/>
      <c r="C56" s="442"/>
      <c r="D56" s="357"/>
      <c r="E56" s="355"/>
      <c r="F56" s="358"/>
      <c r="G56" s="359"/>
      <c r="H56" s="359"/>
      <c r="I56" s="389"/>
      <c r="J56" s="361"/>
      <c r="K56" s="380"/>
      <c r="L56" s="363"/>
      <c r="M56" s="381"/>
      <c r="N56" s="363"/>
      <c r="O56" s="443"/>
    </row>
    <row r="57" customFormat="false" ht="15.75" hidden="false" customHeight="false" outlineLevel="0" collapsed="false">
      <c r="A57" s="444"/>
      <c r="B57" s="445"/>
      <c r="C57" s="446"/>
      <c r="D57" s="393"/>
      <c r="E57" s="391"/>
      <c r="F57" s="395"/>
      <c r="G57" s="396"/>
      <c r="H57" s="396"/>
      <c r="I57" s="397"/>
      <c r="J57" s="398" t="n">
        <f aca="false">SUM(J55:J56)</f>
        <v>35941.185</v>
      </c>
      <c r="K57" s="399" t="s">
        <v>191</v>
      </c>
      <c r="L57" s="400"/>
      <c r="M57" s="401"/>
      <c r="N57" s="400"/>
      <c r="O57" s="447"/>
    </row>
    <row r="58" customFormat="false" ht="15.75" hidden="false" customHeight="false" outlineLevel="0" collapsed="false">
      <c r="A58" s="354"/>
      <c r="B58" s="441"/>
      <c r="C58" s="442"/>
      <c r="D58" s="357"/>
      <c r="E58" s="355"/>
      <c r="F58" s="358"/>
      <c r="G58" s="359"/>
      <c r="H58" s="359"/>
      <c r="I58" s="389"/>
      <c r="J58" s="361"/>
      <c r="K58" s="380"/>
      <c r="L58" s="363"/>
      <c r="M58" s="381"/>
      <c r="N58" s="363"/>
      <c r="O58" s="443"/>
    </row>
    <row r="59" customFormat="false" ht="15.75" hidden="false" customHeight="false" outlineLevel="0" collapsed="false">
      <c r="A59" s="426"/>
      <c r="B59" s="438"/>
      <c r="C59" s="439"/>
      <c r="D59" s="357"/>
      <c r="E59" s="355"/>
      <c r="F59" s="438"/>
      <c r="G59" s="438"/>
      <c r="H59" s="438"/>
      <c r="I59" s="440"/>
      <c r="J59" s="355"/>
      <c r="K59" s="355"/>
      <c r="L59" s="363"/>
      <c r="M59" s="448"/>
      <c r="N59" s="363"/>
      <c r="O59" s="363"/>
    </row>
    <row r="60" customFormat="false" ht="15.75" hidden="false" customHeight="false" outlineLevel="0" collapsed="false">
      <c r="A60" s="354" t="s">
        <v>24</v>
      </c>
      <c r="B60" s="449" t="n">
        <v>0.6507</v>
      </c>
      <c r="C60" s="450"/>
      <c r="D60" s="357" t="n">
        <v>26</v>
      </c>
      <c r="E60" s="355" t="s">
        <v>170</v>
      </c>
      <c r="F60" s="358" t="n">
        <v>543</v>
      </c>
      <c r="G60" s="359" t="n">
        <v>37560</v>
      </c>
      <c r="H60" s="359" t="s">
        <v>162</v>
      </c>
      <c r="I60" s="389" t="n">
        <v>10.8554</v>
      </c>
      <c r="J60" s="361" t="n">
        <f aca="false">F60*I60</f>
        <v>5894.4822</v>
      </c>
      <c r="K60" s="415"/>
      <c r="N60" s="363"/>
      <c r="P60" s="451"/>
      <c r="Q60" s="363"/>
      <c r="R60" s="381"/>
      <c r="S60" s="363"/>
    </row>
    <row r="61" customFormat="false" ht="15.75" hidden="false" customHeight="false" outlineLevel="0" collapsed="false">
      <c r="A61" s="354"/>
      <c r="B61" s="449" t="n">
        <v>0.6507</v>
      </c>
      <c r="C61" s="450"/>
      <c r="D61" s="357" t="n">
        <v>27</v>
      </c>
      <c r="E61" s="355" t="s">
        <v>170</v>
      </c>
      <c r="F61" s="358" t="n">
        <v>13</v>
      </c>
      <c r="G61" s="359" t="n">
        <v>37560</v>
      </c>
      <c r="H61" s="359" t="s">
        <v>162</v>
      </c>
      <c r="I61" s="389" t="n">
        <v>10.1875</v>
      </c>
      <c r="J61" s="361" t="n">
        <f aca="false">F61*I61</f>
        <v>132.4375</v>
      </c>
      <c r="K61" s="415"/>
      <c r="N61" s="363"/>
      <c r="P61" s="451"/>
      <c r="Q61" s="363"/>
      <c r="R61" s="381"/>
      <c r="S61" s="363"/>
    </row>
    <row r="62" customFormat="false" ht="15.75" hidden="false" customHeight="false" outlineLevel="0" collapsed="false">
      <c r="A62" s="426"/>
      <c r="B62" s="449" t="n">
        <v>0.3924</v>
      </c>
      <c r="C62" s="450"/>
      <c r="D62" s="357" t="n">
        <v>28</v>
      </c>
      <c r="E62" s="355" t="s">
        <v>170</v>
      </c>
      <c r="F62" s="358" t="n">
        <v>6108</v>
      </c>
      <c r="G62" s="359" t="n">
        <v>38442</v>
      </c>
      <c r="H62" s="359" t="s">
        <v>162</v>
      </c>
      <c r="I62" s="389" t="n">
        <v>9.9683</v>
      </c>
      <c r="J62" s="361" t="n">
        <f aca="false">F62*I62</f>
        <v>60886.3764</v>
      </c>
      <c r="K62" s="415"/>
      <c r="N62" s="363"/>
      <c r="P62" s="18"/>
      <c r="Q62" s="363"/>
      <c r="R62" s="381"/>
      <c r="S62" s="363"/>
    </row>
    <row r="63" customFormat="false" ht="15.75" hidden="false" customHeight="false" outlineLevel="0" collapsed="false">
      <c r="A63" s="426"/>
      <c r="B63" s="449" t="n">
        <v>0.3924</v>
      </c>
      <c r="C63" s="450"/>
      <c r="D63" s="357" t="n">
        <v>29</v>
      </c>
      <c r="E63" s="355" t="s">
        <v>170</v>
      </c>
      <c r="F63" s="358" t="n">
        <v>8983</v>
      </c>
      <c r="G63" s="359" t="n">
        <v>38442</v>
      </c>
      <c r="H63" s="359" t="s">
        <v>162</v>
      </c>
      <c r="I63" s="389" t="n">
        <v>9.4034</v>
      </c>
      <c r="J63" s="361" t="n">
        <f aca="false">F63*I63</f>
        <v>84470.7422</v>
      </c>
      <c r="K63" s="415"/>
      <c r="N63" s="363"/>
      <c r="P63" s="18"/>
      <c r="Q63" s="363"/>
      <c r="R63" s="381"/>
      <c r="S63" s="363"/>
    </row>
    <row r="64" customFormat="false" ht="15.75" hidden="false" customHeight="false" outlineLevel="0" collapsed="false">
      <c r="A64" s="426"/>
      <c r="B64" s="449" t="n">
        <v>0.3924</v>
      </c>
      <c r="C64" s="450"/>
      <c r="D64" s="357" t="n">
        <v>30</v>
      </c>
      <c r="E64" s="355" t="s">
        <v>170</v>
      </c>
      <c r="F64" s="358" t="n">
        <v>20839</v>
      </c>
      <c r="G64" s="359" t="n">
        <v>38442</v>
      </c>
      <c r="H64" s="359" t="s">
        <v>162</v>
      </c>
      <c r="I64" s="389" t="n">
        <v>8.7355</v>
      </c>
      <c r="J64" s="361" t="n">
        <f aca="false">F64*I64</f>
        <v>182039.0845</v>
      </c>
      <c r="K64" s="415"/>
      <c r="N64" s="363"/>
      <c r="P64" s="18"/>
      <c r="Q64" s="363"/>
      <c r="R64" s="381"/>
      <c r="S64" s="363"/>
    </row>
    <row r="65" customFormat="false" ht="15.75" hidden="false" customHeight="false" outlineLevel="0" collapsed="false">
      <c r="A65" s="426"/>
      <c r="B65" s="449" t="n">
        <v>3.1212</v>
      </c>
      <c r="C65" s="450"/>
      <c r="D65" s="357" t="n">
        <v>31</v>
      </c>
      <c r="E65" s="355" t="s">
        <v>170</v>
      </c>
      <c r="F65" s="358" t="n">
        <v>14625</v>
      </c>
      <c r="G65" s="359" t="n">
        <v>38564</v>
      </c>
      <c r="H65" s="359" t="s">
        <v>162</v>
      </c>
      <c r="I65" s="389" t="n">
        <v>3.8377</v>
      </c>
      <c r="J65" s="361" t="n">
        <f aca="false">F65*I65</f>
        <v>56126.3625</v>
      </c>
      <c r="K65" s="415"/>
      <c r="N65" s="363"/>
      <c r="P65" s="451"/>
      <c r="Q65" s="363"/>
      <c r="R65" s="381"/>
      <c r="S65" s="363"/>
    </row>
    <row r="66" customFormat="false" ht="15.75" hidden="false" customHeight="false" outlineLevel="0" collapsed="false">
      <c r="A66" s="426"/>
      <c r="B66" s="420" t="n">
        <v>0.3924</v>
      </c>
      <c r="C66" s="416"/>
      <c r="D66" s="357" t="s">
        <v>192</v>
      </c>
      <c r="E66" s="415" t="s">
        <v>95</v>
      </c>
      <c r="F66" s="358" t="n">
        <v>15930</v>
      </c>
      <c r="G66" s="452" t="n">
        <v>36981</v>
      </c>
      <c r="H66" s="415" t="s">
        <v>193</v>
      </c>
      <c r="I66" s="389" t="n">
        <v>0</v>
      </c>
      <c r="J66" s="361" t="n">
        <f aca="false">F66*I66</f>
        <v>0</v>
      </c>
      <c r="K66" s="415"/>
      <c r="O66" s="381"/>
    </row>
    <row r="67" customFormat="false" ht="15.75" hidden="false" customHeight="false" outlineLevel="0" collapsed="false">
      <c r="A67" s="426"/>
      <c r="B67" s="453"/>
      <c r="C67" s="454"/>
      <c r="D67" s="367"/>
      <c r="E67" s="453" t="s">
        <v>95</v>
      </c>
      <c r="F67" s="368" t="n">
        <v>15930</v>
      </c>
      <c r="G67" s="455" t="n">
        <v>36981</v>
      </c>
      <c r="H67" s="453" t="s">
        <v>194</v>
      </c>
      <c r="I67" s="456" t="n">
        <f aca="false">'Williams FS Price'!P11</f>
        <v>1.95131056095432</v>
      </c>
      <c r="J67" s="371" t="n">
        <f aca="false">F67*I67</f>
        <v>31084.3772360024</v>
      </c>
      <c r="K67" s="415"/>
      <c r="O67" s="381"/>
    </row>
    <row r="68" customFormat="false" ht="15.75" hidden="false" customHeight="false" outlineLevel="0" collapsed="false">
      <c r="A68" s="426"/>
      <c r="B68" s="457"/>
      <c r="C68" s="458"/>
      <c r="D68" s="357"/>
      <c r="E68" s="459"/>
      <c r="F68" s="457"/>
      <c r="G68" s="460"/>
      <c r="H68" s="460"/>
      <c r="I68" s="440"/>
      <c r="J68" s="460"/>
      <c r="K68" s="375"/>
      <c r="L68" s="461"/>
      <c r="M68" s="385"/>
      <c r="N68" s="461"/>
      <c r="O68" s="385"/>
      <c r="P68" s="385"/>
      <c r="Q68" s="462"/>
    </row>
    <row r="69" customFormat="false" ht="15.75" hidden="false" customHeight="false" outlineLevel="0" collapsed="false">
      <c r="A69" s="354"/>
      <c r="B69" s="375" t="s">
        <v>195</v>
      </c>
      <c r="C69" s="376"/>
      <c r="D69" s="357" t="n">
        <v>33</v>
      </c>
      <c r="E69" s="375" t="s">
        <v>46</v>
      </c>
      <c r="F69" s="378" t="n">
        <v>724500</v>
      </c>
      <c r="G69" s="463" t="n">
        <v>35885</v>
      </c>
      <c r="H69" s="379" t="s">
        <v>164</v>
      </c>
      <c r="I69" s="389" t="n">
        <v>0.0079006</v>
      </c>
      <c r="J69" s="361" t="n">
        <f aca="false">F69*I69</f>
        <v>5723.9847</v>
      </c>
      <c r="K69" s="415"/>
      <c r="P69" s="385"/>
      <c r="Q69" s="283"/>
    </row>
    <row r="70" customFormat="false" ht="14.25" hidden="false" customHeight="false" outlineLevel="0" collapsed="false">
      <c r="A70" s="403"/>
      <c r="B70" s="375" t="s">
        <v>195</v>
      </c>
      <c r="C70" s="416"/>
      <c r="D70" s="357" t="n">
        <v>32</v>
      </c>
      <c r="E70" s="375" t="s">
        <v>46</v>
      </c>
      <c r="F70" s="378" t="n">
        <v>8523</v>
      </c>
      <c r="G70" s="463" t="n">
        <v>35885</v>
      </c>
      <c r="H70" s="355" t="s">
        <v>165</v>
      </c>
      <c r="I70" s="389" t="n">
        <v>0.66725</v>
      </c>
      <c r="J70" s="361" t="n">
        <f aca="false">F70*I70</f>
        <v>5686.97175</v>
      </c>
      <c r="K70" s="415"/>
      <c r="Q70" s="283"/>
    </row>
    <row r="71" customFormat="false" ht="14.25" hidden="false" customHeight="false" outlineLevel="0" collapsed="false">
      <c r="B71" s="415"/>
      <c r="C71" s="416"/>
      <c r="E71" s="415"/>
      <c r="F71" s="415"/>
      <c r="G71" s="415"/>
      <c r="H71" s="415"/>
      <c r="I71" s="411"/>
      <c r="J71" s="415"/>
      <c r="K71" s="415"/>
      <c r="R71" s="283"/>
      <c r="S71" s="283"/>
    </row>
    <row r="72" customFormat="false" ht="15.75" hidden="false" customHeight="false" outlineLevel="0" collapsed="false">
      <c r="A72" s="354"/>
      <c r="B72" s="375" t="s">
        <v>196</v>
      </c>
      <c r="C72" s="376"/>
      <c r="D72" s="324" t="n">
        <v>36</v>
      </c>
      <c r="E72" s="375" t="s">
        <v>197</v>
      </c>
      <c r="F72" s="378" t="n">
        <v>90254</v>
      </c>
      <c r="H72" s="379" t="s">
        <v>164</v>
      </c>
      <c r="I72" s="389" t="n">
        <v>0.0481</v>
      </c>
      <c r="J72" s="361" t="n">
        <f aca="false">F72*I72</f>
        <v>4341.2174</v>
      </c>
      <c r="K72" s="415"/>
      <c r="L72" s="385"/>
      <c r="M72" s="385"/>
      <c r="N72" s="385"/>
      <c r="O72" s="385"/>
      <c r="P72" s="385"/>
      <c r="R72" s="283"/>
      <c r="S72" s="283"/>
    </row>
    <row r="73" customFormat="false" ht="15.75" hidden="false" customHeight="false" outlineLevel="0" collapsed="false">
      <c r="A73" s="354"/>
      <c r="B73" s="375" t="s">
        <v>196</v>
      </c>
      <c r="C73" s="406"/>
      <c r="D73" s="324" t="n">
        <v>37</v>
      </c>
      <c r="E73" s="375" t="s">
        <v>197</v>
      </c>
      <c r="F73" s="378" t="n">
        <v>8970</v>
      </c>
      <c r="G73" s="375"/>
      <c r="H73" s="355" t="s">
        <v>165</v>
      </c>
      <c r="I73" s="389" t="n">
        <v>0.484</v>
      </c>
      <c r="J73" s="361" t="n">
        <f aca="false">F73*I73</f>
        <v>4341.48</v>
      </c>
      <c r="K73" s="415"/>
      <c r="L73" s="385"/>
      <c r="M73" s="385"/>
      <c r="N73" s="385"/>
      <c r="O73" s="385"/>
      <c r="P73" s="385"/>
      <c r="R73" s="283"/>
      <c r="S73" s="283"/>
    </row>
    <row r="74" customFormat="false" ht="14.25" hidden="false" customHeight="false" outlineLevel="0" collapsed="false">
      <c r="B74" s="415"/>
      <c r="C74" s="416"/>
      <c r="E74" s="415"/>
      <c r="F74" s="415"/>
      <c r="G74" s="415"/>
      <c r="H74" s="415"/>
      <c r="I74" s="411"/>
      <c r="J74" s="415"/>
      <c r="K74" s="415"/>
      <c r="R74" s="403"/>
      <c r="S74" s="403"/>
    </row>
    <row r="75" customFormat="false" ht="14.25" hidden="false" customHeight="false" outlineLevel="0" collapsed="false">
      <c r="B75" s="464" t="n">
        <v>0.3768</v>
      </c>
      <c r="C75" s="465"/>
      <c r="D75" s="324" t="n">
        <v>35</v>
      </c>
      <c r="E75" s="375" t="s">
        <v>43</v>
      </c>
      <c r="F75" s="378" t="n">
        <v>98790</v>
      </c>
      <c r="G75" s="463" t="n">
        <v>41364</v>
      </c>
      <c r="H75" s="379" t="s">
        <v>164</v>
      </c>
      <c r="I75" s="389" t="n">
        <v>0.0162</v>
      </c>
      <c r="J75" s="361" t="n">
        <f aca="false">F75*I75</f>
        <v>1600.398</v>
      </c>
      <c r="K75" s="415"/>
      <c r="L75" s="385"/>
      <c r="M75" s="385"/>
      <c r="N75" s="385"/>
      <c r="O75" s="385"/>
      <c r="R75" s="403"/>
      <c r="S75" s="403"/>
    </row>
    <row r="76" customFormat="false" ht="14.25" hidden="false" customHeight="false" outlineLevel="0" collapsed="false">
      <c r="B76" s="464" t="n">
        <v>0.3768</v>
      </c>
      <c r="C76" s="416"/>
      <c r="D76" s="324" t="n">
        <v>34</v>
      </c>
      <c r="E76" s="375" t="s">
        <v>43</v>
      </c>
      <c r="F76" s="378" t="n">
        <v>2070</v>
      </c>
      <c r="G76" s="415"/>
      <c r="H76" s="355" t="s">
        <v>165</v>
      </c>
      <c r="I76" s="389" t="n">
        <v>2.4169</v>
      </c>
      <c r="J76" s="361" t="n">
        <f aca="false">F76*I76</f>
        <v>5002.983</v>
      </c>
      <c r="K76" s="415"/>
      <c r="R76" s="403"/>
      <c r="S76" s="403"/>
    </row>
    <row r="77" customFormat="false" ht="14.25" hidden="false" customHeight="false" outlineLevel="0" collapsed="false">
      <c r="B77" s="464"/>
      <c r="C77" s="416"/>
      <c r="E77" s="375"/>
      <c r="F77" s="378"/>
      <c r="G77" s="415"/>
      <c r="H77" s="355"/>
      <c r="I77" s="466"/>
      <c r="J77" s="361"/>
      <c r="K77" s="415"/>
      <c r="R77" s="403"/>
      <c r="S77" s="403"/>
    </row>
    <row r="78" customFormat="false" ht="15" hidden="false" customHeight="false" outlineLevel="0" collapsed="false">
      <c r="A78" s="429"/>
      <c r="B78" s="467"/>
      <c r="C78" s="468"/>
      <c r="D78" s="412"/>
      <c r="E78" s="391"/>
      <c r="F78" s="395"/>
      <c r="G78" s="469"/>
      <c r="H78" s="391"/>
      <c r="I78" s="470"/>
      <c r="J78" s="398" t="n">
        <f aca="false">SUM(J60:J77)</f>
        <v>447330.897386002</v>
      </c>
      <c r="K78" s="471" t="s">
        <v>198</v>
      </c>
      <c r="L78" s="429"/>
      <c r="M78" s="429"/>
      <c r="N78" s="429"/>
      <c r="O78" s="429"/>
      <c r="R78" s="472"/>
      <c r="S78" s="472"/>
    </row>
    <row r="79" customFormat="false" ht="14.25" hidden="false" customHeight="false" outlineLevel="0" collapsed="false">
      <c r="B79" s="464"/>
      <c r="C79" s="416"/>
      <c r="E79" s="375"/>
      <c r="F79" s="378"/>
      <c r="G79" s="415"/>
      <c r="H79" s="355"/>
      <c r="I79" s="466"/>
      <c r="J79" s="361"/>
      <c r="K79" s="415"/>
      <c r="R79" s="403"/>
      <c r="S79" s="403"/>
    </row>
    <row r="80" customFormat="false" ht="15" hidden="false" customHeight="false" outlineLevel="0" collapsed="false">
      <c r="B80" s="415"/>
      <c r="C80" s="416"/>
      <c r="E80" s="473"/>
      <c r="F80" s="473"/>
      <c r="G80" s="415"/>
      <c r="H80" s="415"/>
      <c r="I80" s="415"/>
      <c r="J80" s="415"/>
      <c r="K80" s="415"/>
      <c r="R80" s="403"/>
      <c r="S80" s="403"/>
    </row>
    <row r="81" customFormat="false" ht="15" hidden="false" customHeight="false" outlineLevel="0" collapsed="false">
      <c r="B81" s="415"/>
      <c r="C81" s="416"/>
      <c r="E81" s="415"/>
      <c r="F81" s="415"/>
      <c r="G81" s="415"/>
      <c r="H81" s="415"/>
      <c r="I81" s="415"/>
      <c r="J81" s="474" t="n">
        <f aca="false">SUM(J78,J57,J53,J48,J26,J20)</f>
        <v>2346213.344656</v>
      </c>
      <c r="K81" s="415"/>
      <c r="R81" s="403"/>
      <c r="S81" s="403"/>
    </row>
    <row r="82" customFormat="false" ht="15.75" hidden="false" customHeight="false" outlineLevel="0" collapsed="false">
      <c r="A82" s="475"/>
      <c r="B82" s="476"/>
      <c r="C82" s="477"/>
      <c r="D82" s="478"/>
      <c r="E82" s="476"/>
      <c r="F82" s="476"/>
      <c r="G82" s="415"/>
      <c r="H82" s="415"/>
      <c r="I82" s="415"/>
      <c r="K82" s="415"/>
      <c r="R82" s="403"/>
      <c r="S82" s="403"/>
    </row>
    <row r="83" customFormat="false" ht="14.25" hidden="false" customHeight="false" outlineLevel="0" collapsed="false">
      <c r="A83" s="403"/>
      <c r="B83" s="430"/>
      <c r="C83" s="479"/>
      <c r="D83" s="357"/>
      <c r="E83" s="430"/>
      <c r="F83" s="430"/>
      <c r="G83" s="430"/>
      <c r="H83" s="430"/>
      <c r="I83" s="430"/>
      <c r="J83" s="430"/>
      <c r="K83" s="430"/>
      <c r="L83" s="17"/>
      <c r="M83" s="17"/>
      <c r="N83" s="17"/>
      <c r="O83" s="17"/>
    </row>
    <row r="84" customFormat="false" ht="15.75" hidden="false" customHeight="false" outlineLevel="0" collapsed="false">
      <c r="A84" s="354"/>
      <c r="B84" s="449"/>
      <c r="C84" s="450"/>
      <c r="E84" s="355"/>
      <c r="F84" s="358"/>
      <c r="G84" s="355"/>
      <c r="H84" s="355"/>
      <c r="I84" s="438"/>
      <c r="J84" s="359"/>
      <c r="K84" s="380"/>
      <c r="L84" s="363"/>
      <c r="M84" s="381"/>
      <c r="N84" s="363"/>
    </row>
    <row r="85" customFormat="false" ht="12.75" hidden="false" customHeight="false" outlineLevel="0" collapsed="false">
      <c r="A85" s="403"/>
      <c r="B85" s="480"/>
      <c r="C85" s="481"/>
      <c r="E85" s="18"/>
      <c r="F85" s="19"/>
      <c r="G85" s="18"/>
      <c r="H85" s="18"/>
      <c r="I85" s="363"/>
      <c r="J85" s="482"/>
      <c r="K85" s="451"/>
      <c r="L85" s="363"/>
      <c r="M85" s="381"/>
      <c r="N85" s="363"/>
    </row>
    <row r="86" customFormat="false" ht="12.75" hidden="false" customHeight="false" outlineLevel="0" collapsed="false">
      <c r="A86" s="403"/>
      <c r="B86" s="480"/>
      <c r="C86" s="481"/>
      <c r="E86" s="18"/>
      <c r="F86" s="19"/>
      <c r="G86" s="18"/>
      <c r="H86" s="18"/>
      <c r="I86" s="363"/>
      <c r="J86" s="482"/>
      <c r="K86" s="451"/>
      <c r="L86" s="363"/>
      <c r="M86" s="381"/>
      <c r="N86" s="363"/>
    </row>
    <row r="87" customFormat="false" ht="12.75" hidden="false" customHeight="false" outlineLevel="0" collapsed="false">
      <c r="A87" s="403"/>
      <c r="B87" s="363"/>
      <c r="C87" s="483"/>
      <c r="D87" s="347"/>
      <c r="E87" s="484"/>
      <c r="F87" s="363"/>
      <c r="G87" s="363"/>
      <c r="H87" s="363"/>
      <c r="I87" s="482"/>
      <c r="J87" s="451"/>
      <c r="K87" s="363"/>
      <c r="L87" s="381"/>
      <c r="M87" s="363"/>
      <c r="N87" s="17"/>
    </row>
    <row r="88" customFormat="false" ht="12.75" hidden="false" customHeight="false" outlineLevel="0" collapsed="false">
      <c r="A88" s="403"/>
      <c r="D88" s="347"/>
      <c r="E88" s="485"/>
      <c r="F88" s="485"/>
      <c r="G88" s="17"/>
      <c r="H88" s="17"/>
      <c r="I88" s="17"/>
      <c r="J88" s="17"/>
      <c r="K88" s="17"/>
      <c r="L88" s="17"/>
      <c r="M88" s="17"/>
      <c r="N88" s="17"/>
    </row>
    <row r="89" customFormat="false" ht="12.75" hidden="false" customHeight="false" outlineLevel="0" collapsed="false">
      <c r="A89" s="403"/>
      <c r="B89" s="17"/>
      <c r="C89" s="486"/>
      <c r="D89" s="35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customFormat="false" ht="12.75" hidden="false" customHeight="false" outlineLevel="0" collapsed="false">
      <c r="A90" s="403"/>
      <c r="B90" s="17"/>
      <c r="C90" s="486"/>
      <c r="D90" s="35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customFormat="false" ht="12.75" hidden="false" customHeight="false" outlineLevel="0" collapsed="false">
      <c r="A91" s="403"/>
      <c r="B91" s="17"/>
      <c r="C91" s="486"/>
      <c r="D91" s="35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customFormat="false" ht="12.75" hidden="false" customHeight="false" outlineLevel="0" collapsed="false">
      <c r="A92" s="403"/>
      <c r="B92" s="17"/>
      <c r="C92" s="486"/>
      <c r="D92" s="35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customFormat="false" ht="12.75" hidden="false" customHeight="false" outlineLevel="0" collapsed="false">
      <c r="A93" s="403"/>
      <c r="B93" s="17"/>
      <c r="C93" s="486"/>
      <c r="D93" s="35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customFormat="false" ht="12.75" hidden="false" customHeight="false" outlineLevel="0" collapsed="false">
      <c r="A94" s="403"/>
      <c r="B94" s="17"/>
      <c r="C94" s="486"/>
      <c r="D94" s="35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customFormat="false" ht="12.75" hidden="false" customHeight="false" outlineLevel="0" collapsed="false">
      <c r="A95" s="403"/>
      <c r="B95" s="17"/>
      <c r="C95" s="486"/>
      <c r="D95" s="35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customFormat="false" ht="12.75" hidden="false" customHeight="false" outlineLevel="0" collapsed="false">
      <c r="A96" s="403"/>
      <c r="B96" s="17"/>
      <c r="C96" s="486"/>
      <c r="D96" s="35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customFormat="false" ht="12.75" hidden="false" customHeight="false" outlineLevel="0" collapsed="false">
      <c r="A97" s="403"/>
      <c r="B97" s="17"/>
      <c r="C97" s="486"/>
      <c r="D97" s="35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customFormat="false" ht="12.75" hidden="false" customHeight="false" outlineLevel="0" collapsed="false">
      <c r="A98" s="403"/>
      <c r="B98" s="17"/>
      <c r="C98" s="486"/>
      <c r="D98" s="35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customFormat="false" ht="12.75" hidden="false" customHeight="false" outlineLevel="0" collapsed="false">
      <c r="A99" s="403"/>
      <c r="B99" s="17"/>
      <c r="C99" s="486"/>
      <c r="D99" s="35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customFormat="false" ht="12.75" hidden="false" customHeight="false" outlineLevel="0" collapsed="false">
      <c r="A100" s="403"/>
      <c r="B100" s="17"/>
      <c r="C100" s="486"/>
      <c r="D100" s="35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customFormat="false" ht="12.75" hidden="false" customHeight="false" outlineLevel="0" collapsed="false">
      <c r="A101" s="403"/>
      <c r="B101" s="17"/>
      <c r="C101" s="486"/>
      <c r="D101" s="35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customFormat="false" ht="12.75" hidden="false" customHeight="false" outlineLevel="0" collapsed="false">
      <c r="A102" s="403"/>
      <c r="B102" s="17"/>
      <c r="C102" s="486"/>
      <c r="D102" s="35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customFormat="false" ht="12.75" hidden="false" customHeight="false" outlineLevel="0" collapsed="false">
      <c r="A103" s="403"/>
      <c r="B103" s="17"/>
      <c r="C103" s="486"/>
      <c r="D103" s="35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customFormat="false" ht="12.75" hidden="false" customHeight="false" outlineLevel="0" collapsed="false">
      <c r="A104" s="403"/>
      <c r="B104" s="17"/>
      <c r="C104" s="486"/>
      <c r="D104" s="35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customFormat="false" ht="12.75" hidden="false" customHeight="false" outlineLevel="0" collapsed="false">
      <c r="A105" s="403"/>
      <c r="B105" s="17"/>
      <c r="C105" s="486"/>
      <c r="D105" s="35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customFormat="false" ht="12.75" hidden="false" customHeight="false" outlineLevel="0" collapsed="false">
      <c r="A106" s="403"/>
      <c r="B106" s="17"/>
      <c r="C106" s="486"/>
      <c r="D106" s="35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customFormat="false" ht="12.75" hidden="false" customHeight="false" outlineLevel="0" collapsed="false">
      <c r="A107" s="403"/>
      <c r="B107" s="17"/>
      <c r="C107" s="486"/>
      <c r="D107" s="35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customFormat="false" ht="12.75" hidden="false" customHeight="false" outlineLevel="0" collapsed="false">
      <c r="A108" s="403"/>
      <c r="B108" s="17"/>
      <c r="C108" s="486"/>
      <c r="D108" s="35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customFormat="false" ht="12.75" hidden="false" customHeight="false" outlineLevel="0" collapsed="false">
      <c r="A109" s="403"/>
      <c r="B109" s="17"/>
      <c r="C109" s="486"/>
      <c r="D109" s="35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customFormat="false" ht="12.75" hidden="false" customHeight="false" outlineLevel="0" collapsed="false">
      <c r="A110" s="403"/>
      <c r="B110" s="17"/>
      <c r="C110" s="486"/>
      <c r="D110" s="35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customFormat="false" ht="12.75" hidden="false" customHeight="false" outlineLevel="0" collapsed="false">
      <c r="A111" s="403"/>
      <c r="B111" s="17"/>
      <c r="C111" s="486"/>
      <c r="D111" s="35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customFormat="false" ht="12.75" hidden="false" customHeight="false" outlineLevel="0" collapsed="false">
      <c r="A112" s="403"/>
      <c r="B112" s="17"/>
      <c r="C112" s="486"/>
      <c r="D112" s="35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customFormat="false" ht="12.75" hidden="false" customHeight="false" outlineLevel="0" collapsed="false">
      <c r="A113" s="403"/>
      <c r="B113" s="17"/>
      <c r="C113" s="486"/>
      <c r="D113" s="35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customFormat="false" ht="12.75" hidden="false" customHeight="false" outlineLevel="0" collapsed="false">
      <c r="A114" s="403"/>
      <c r="B114" s="17"/>
      <c r="C114" s="486"/>
      <c r="D114" s="35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customFormat="false" ht="12.75" hidden="false" customHeight="false" outlineLevel="0" collapsed="false">
      <c r="A115" s="403"/>
      <c r="B115" s="17"/>
      <c r="C115" s="486"/>
      <c r="D115" s="35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customFormat="false" ht="12.75" hidden="false" customHeight="false" outlineLevel="0" collapsed="false">
      <c r="A116" s="403"/>
      <c r="B116" s="17"/>
      <c r="C116" s="486"/>
      <c r="D116" s="35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customFormat="false" ht="12.75" hidden="false" customHeight="false" outlineLevel="0" collapsed="false">
      <c r="A117" s="403"/>
      <c r="B117" s="17"/>
      <c r="C117" s="486"/>
      <c r="D117" s="35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customFormat="false" ht="12.75" hidden="false" customHeight="false" outlineLevel="0" collapsed="false">
      <c r="A118" s="403"/>
      <c r="B118" s="17"/>
      <c r="C118" s="486"/>
      <c r="D118" s="35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customFormat="false" ht="12.75" hidden="false" customHeight="false" outlineLevel="0" collapsed="false">
      <c r="A119" s="403"/>
      <c r="B119" s="17"/>
      <c r="C119" s="486"/>
      <c r="D119" s="35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customFormat="false" ht="12.75" hidden="false" customHeight="false" outlineLevel="0" collapsed="false">
      <c r="A120" s="403"/>
      <c r="B120" s="17"/>
      <c r="C120" s="486"/>
      <c r="D120" s="35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customFormat="false" ht="12.75" hidden="false" customHeight="false" outlineLevel="0" collapsed="false">
      <c r="A121" s="403"/>
      <c r="B121" s="17"/>
      <c r="C121" s="486"/>
      <c r="D121" s="35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customFormat="false" ht="12.75" hidden="false" customHeight="false" outlineLevel="0" collapsed="false">
      <c r="A122" s="403"/>
      <c r="B122" s="17"/>
      <c r="C122" s="486"/>
      <c r="D122" s="35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customFormat="false" ht="12.75" hidden="false" customHeight="false" outlineLevel="0" collapsed="false">
      <c r="A123" s="403"/>
      <c r="B123" s="17"/>
      <c r="C123" s="486"/>
      <c r="D123" s="35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customFormat="false" ht="12.75" hidden="false" customHeight="false" outlineLevel="0" collapsed="false">
      <c r="A124" s="403"/>
      <c r="B124" s="17"/>
      <c r="C124" s="486"/>
      <c r="D124" s="35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customFormat="false" ht="12.75" hidden="false" customHeight="false" outlineLevel="0" collapsed="false">
      <c r="A125" s="403"/>
      <c r="B125" s="17"/>
      <c r="C125" s="486"/>
      <c r="D125" s="35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customFormat="false" ht="12.75" hidden="false" customHeight="false" outlineLevel="0" collapsed="false">
      <c r="A126" s="403"/>
      <c r="B126" s="17"/>
      <c r="C126" s="486"/>
      <c r="D126" s="35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customFormat="false" ht="12.75" hidden="false" customHeight="false" outlineLevel="0" collapsed="false">
      <c r="A127" s="403"/>
      <c r="B127" s="17"/>
      <c r="C127" s="486"/>
      <c r="D127" s="35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customFormat="false" ht="12.75" hidden="false" customHeight="false" outlineLevel="0" collapsed="false">
      <c r="A128" s="403"/>
      <c r="B128" s="17"/>
      <c r="C128" s="486"/>
      <c r="D128" s="35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customFormat="false" ht="12.75" hidden="false" customHeight="false" outlineLevel="0" collapsed="false">
      <c r="A129" s="403"/>
      <c r="B129" s="17"/>
      <c r="C129" s="486"/>
      <c r="D129" s="35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customFormat="false" ht="12.75" hidden="false" customHeight="false" outlineLevel="0" collapsed="false">
      <c r="A130" s="403"/>
      <c r="B130" s="17"/>
      <c r="C130" s="486"/>
      <c r="D130" s="35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customFormat="false" ht="12.75" hidden="false" customHeight="false" outlineLevel="0" collapsed="false">
      <c r="A131" s="403"/>
      <c r="B131" s="17"/>
      <c r="C131" s="486"/>
      <c r="D131" s="35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customFormat="false" ht="12.75" hidden="false" customHeight="false" outlineLevel="0" collapsed="false">
      <c r="A132" s="403"/>
      <c r="B132" s="17"/>
      <c r="C132" s="486"/>
      <c r="D132" s="35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customFormat="false" ht="12.75" hidden="false" customHeight="false" outlineLevel="0" collapsed="false">
      <c r="A133" s="403"/>
      <c r="B133" s="17"/>
      <c r="C133" s="486"/>
      <c r="D133" s="35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customFormat="false" ht="12.75" hidden="false" customHeight="false" outlineLevel="0" collapsed="false">
      <c r="A134" s="403"/>
      <c r="B134" s="17"/>
      <c r="C134" s="486"/>
      <c r="D134" s="35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customFormat="false" ht="12.75" hidden="false" customHeight="false" outlineLevel="0" collapsed="false">
      <c r="A135" s="403"/>
      <c r="B135" s="17"/>
      <c r="C135" s="486"/>
      <c r="D135" s="35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customFormat="false" ht="12.75" hidden="false" customHeight="false" outlineLevel="0" collapsed="false">
      <c r="A136" s="403"/>
      <c r="B136" s="17"/>
      <c r="C136" s="486"/>
      <c r="D136" s="35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customFormat="false" ht="12.75" hidden="false" customHeight="false" outlineLevel="0" collapsed="false">
      <c r="A137" s="403"/>
      <c r="B137" s="17"/>
      <c r="C137" s="486"/>
      <c r="D137" s="35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customFormat="false" ht="12.75" hidden="false" customHeight="false" outlineLevel="0" collapsed="false">
      <c r="A138" s="403"/>
      <c r="B138" s="17"/>
      <c r="C138" s="486"/>
      <c r="D138" s="35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customFormat="false" ht="12.75" hidden="false" customHeight="false" outlineLevel="0" collapsed="false">
      <c r="A139" s="403"/>
      <c r="B139" s="17"/>
      <c r="C139" s="486"/>
      <c r="D139" s="35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customFormat="false" ht="12.75" hidden="false" customHeight="false" outlineLevel="0" collapsed="false">
      <c r="A140" s="403"/>
      <c r="B140" s="17"/>
      <c r="C140" s="486"/>
      <c r="D140" s="35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customFormat="false" ht="12.75" hidden="false" customHeight="false" outlineLevel="0" collapsed="false">
      <c r="A141" s="403"/>
      <c r="B141" s="17"/>
      <c r="C141" s="486"/>
      <c r="D141" s="35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customFormat="false" ht="12.75" hidden="false" customHeight="false" outlineLevel="0" collapsed="false">
      <c r="A142" s="403"/>
      <c r="B142" s="17"/>
      <c r="C142" s="486"/>
      <c r="D142" s="35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customFormat="false" ht="12.75" hidden="false" customHeight="false" outlineLevel="0" collapsed="false">
      <c r="A143" s="403"/>
      <c r="B143" s="17"/>
      <c r="C143" s="486"/>
      <c r="D143" s="35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customFormat="false" ht="12.75" hidden="false" customHeight="false" outlineLevel="0" collapsed="false">
      <c r="A144" s="403"/>
      <c r="B144" s="17"/>
      <c r="C144" s="486"/>
      <c r="D144" s="35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customFormat="false" ht="12.75" hidden="false" customHeight="false" outlineLevel="0" collapsed="false">
      <c r="A145" s="403"/>
      <c r="B145" s="17"/>
      <c r="C145" s="486"/>
      <c r="D145" s="35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customFormat="false" ht="12.75" hidden="false" customHeight="false" outlineLevel="0" collapsed="false">
      <c r="A146" s="403"/>
      <c r="B146" s="17"/>
      <c r="C146" s="486"/>
      <c r="D146" s="35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customFormat="false" ht="12.75" hidden="false" customHeight="false" outlineLevel="0" collapsed="false">
      <c r="A147" s="403"/>
      <c r="B147" s="17"/>
      <c r="C147" s="486"/>
      <c r="D147" s="35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customFormat="false" ht="12.75" hidden="false" customHeight="false" outlineLevel="0" collapsed="false">
      <c r="A148" s="403"/>
      <c r="B148" s="17"/>
      <c r="C148" s="486"/>
      <c r="D148" s="35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customFormat="false" ht="12.75" hidden="false" customHeight="false" outlineLevel="0" collapsed="false">
      <c r="A149" s="403"/>
      <c r="B149" s="17"/>
      <c r="C149" s="486"/>
      <c r="D149" s="35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customFormat="false" ht="12.75" hidden="false" customHeight="false" outlineLevel="0" collapsed="false">
      <c r="A150" s="403"/>
      <c r="B150" s="17"/>
      <c r="C150" s="486"/>
      <c r="D150" s="35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customFormat="false" ht="12.75" hidden="false" customHeight="false" outlineLevel="0" collapsed="false">
      <c r="A151" s="403"/>
      <c r="B151" s="17"/>
      <c r="C151" s="486"/>
      <c r="D151" s="35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customFormat="false" ht="12.75" hidden="false" customHeight="false" outlineLevel="0" collapsed="false">
      <c r="A152" s="403"/>
      <c r="B152" s="17"/>
      <c r="C152" s="486"/>
      <c r="D152" s="35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customFormat="false" ht="12.75" hidden="false" customHeight="false" outlineLevel="0" collapsed="false">
      <c r="A153" s="403"/>
      <c r="B153" s="17"/>
      <c r="C153" s="486"/>
      <c r="D153" s="35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customFormat="false" ht="12.75" hidden="false" customHeight="false" outlineLevel="0" collapsed="false">
      <c r="A154" s="403"/>
      <c r="B154" s="17"/>
      <c r="C154" s="486"/>
      <c r="D154" s="35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customFormat="false" ht="12.75" hidden="false" customHeight="false" outlineLevel="0" collapsed="false">
      <c r="A155" s="403"/>
      <c r="B155" s="17"/>
      <c r="C155" s="486"/>
      <c r="D155" s="35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customFormat="false" ht="12.75" hidden="false" customHeight="false" outlineLevel="0" collapsed="false">
      <c r="A156" s="403"/>
      <c r="B156" s="17"/>
      <c r="C156" s="486"/>
      <c r="D156" s="35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customFormat="false" ht="12.75" hidden="false" customHeight="false" outlineLevel="0" collapsed="false">
      <c r="A157" s="403"/>
      <c r="B157" s="17"/>
      <c r="C157" s="486"/>
      <c r="D157" s="35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customFormat="false" ht="12.75" hidden="false" customHeight="false" outlineLevel="0" collapsed="false">
      <c r="A158" s="403"/>
      <c r="B158" s="17"/>
      <c r="C158" s="486"/>
      <c r="D158" s="35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customFormat="false" ht="12.75" hidden="false" customHeight="false" outlineLevel="0" collapsed="false">
      <c r="A159" s="403"/>
      <c r="B159" s="17"/>
      <c r="C159" s="486"/>
      <c r="D159" s="35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customFormat="false" ht="12.75" hidden="false" customHeight="false" outlineLevel="0" collapsed="false">
      <c r="A160" s="403"/>
      <c r="B160" s="17"/>
      <c r="C160" s="486"/>
      <c r="D160" s="35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customFormat="false" ht="12.75" hidden="false" customHeight="false" outlineLevel="0" collapsed="false">
      <c r="A161" s="403"/>
      <c r="B161" s="17"/>
      <c r="C161" s="486"/>
      <c r="D161" s="35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customFormat="false" ht="12.75" hidden="false" customHeight="false" outlineLevel="0" collapsed="false">
      <c r="A162" s="403"/>
      <c r="B162" s="17"/>
      <c r="C162" s="486"/>
      <c r="D162" s="35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customFormat="false" ht="12.75" hidden="false" customHeight="false" outlineLevel="0" collapsed="false">
      <c r="A163" s="403"/>
      <c r="B163" s="17"/>
      <c r="C163" s="486"/>
      <c r="D163" s="35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customFormat="false" ht="12.75" hidden="false" customHeight="false" outlineLevel="0" collapsed="false">
      <c r="A164" s="403"/>
      <c r="B164" s="17"/>
      <c r="C164" s="486"/>
      <c r="D164" s="35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customFormat="false" ht="12.75" hidden="false" customHeight="false" outlineLevel="0" collapsed="false">
      <c r="A165" s="403"/>
      <c r="B165" s="17"/>
      <c r="C165" s="486"/>
      <c r="D165" s="35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customFormat="false" ht="12.75" hidden="false" customHeight="false" outlineLevel="0" collapsed="false">
      <c r="A166" s="403"/>
      <c r="B166" s="17"/>
      <c r="C166" s="486"/>
      <c r="D166" s="35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customFormat="false" ht="12.75" hidden="false" customHeight="false" outlineLevel="0" collapsed="false">
      <c r="A167" s="403"/>
      <c r="B167" s="17"/>
      <c r="C167" s="486"/>
      <c r="D167" s="35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customFormat="false" ht="12.75" hidden="false" customHeight="false" outlineLevel="0" collapsed="false">
      <c r="A168" s="403"/>
      <c r="B168" s="17"/>
      <c r="C168" s="486"/>
      <c r="D168" s="35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customFormat="false" ht="12.75" hidden="false" customHeight="false" outlineLevel="0" collapsed="false">
      <c r="A169" s="403"/>
      <c r="B169" s="17"/>
      <c r="C169" s="486"/>
      <c r="D169" s="35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customFormat="false" ht="12.75" hidden="false" customHeight="false" outlineLevel="0" collapsed="false">
      <c r="A170" s="403"/>
      <c r="B170" s="17"/>
      <c r="C170" s="486"/>
      <c r="D170" s="35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customFormat="false" ht="12.75" hidden="false" customHeight="false" outlineLevel="0" collapsed="false">
      <c r="A171" s="403"/>
      <c r="B171" s="17"/>
      <c r="C171" s="486"/>
      <c r="D171" s="35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customFormat="false" ht="12.75" hidden="false" customHeight="false" outlineLevel="0" collapsed="false">
      <c r="A172" s="403"/>
      <c r="B172" s="17"/>
      <c r="C172" s="486"/>
      <c r="D172" s="35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customFormat="false" ht="12.75" hidden="false" customHeight="false" outlineLevel="0" collapsed="false">
      <c r="A173" s="403"/>
      <c r="B173" s="17"/>
      <c r="C173" s="486"/>
      <c r="D173" s="35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customFormat="false" ht="12.75" hidden="false" customHeight="false" outlineLevel="0" collapsed="false">
      <c r="A174" s="403"/>
      <c r="B174" s="17"/>
      <c r="C174" s="486"/>
      <c r="D174" s="35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customFormat="false" ht="12.75" hidden="false" customHeight="false" outlineLevel="0" collapsed="false">
      <c r="A175" s="403"/>
      <c r="B175" s="17"/>
      <c r="C175" s="486"/>
      <c r="D175" s="35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customFormat="false" ht="12.75" hidden="false" customHeight="false" outlineLevel="0" collapsed="false">
      <c r="A176" s="403"/>
      <c r="B176" s="17"/>
      <c r="C176" s="486"/>
      <c r="D176" s="35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customFormat="false" ht="12.75" hidden="false" customHeight="false" outlineLevel="0" collapsed="false">
      <c r="A177" s="403"/>
      <c r="B177" s="17"/>
      <c r="C177" s="486"/>
      <c r="D177" s="35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customFormat="false" ht="12.75" hidden="false" customHeight="false" outlineLevel="0" collapsed="false">
      <c r="A178" s="403"/>
      <c r="B178" s="17"/>
      <c r="C178" s="486"/>
      <c r="D178" s="35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customFormat="false" ht="12.75" hidden="false" customHeight="false" outlineLevel="0" collapsed="false">
      <c r="A179" s="403"/>
      <c r="B179" s="17"/>
      <c r="C179" s="486"/>
      <c r="D179" s="35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customFormat="false" ht="12.75" hidden="false" customHeight="false" outlineLevel="0" collapsed="false">
      <c r="A180" s="403"/>
      <c r="B180" s="17"/>
      <c r="C180" s="486"/>
      <c r="D180" s="35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customFormat="false" ht="12.75" hidden="false" customHeight="false" outlineLevel="0" collapsed="false">
      <c r="A181" s="403"/>
      <c r="B181" s="17"/>
      <c r="C181" s="486"/>
      <c r="D181" s="35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customFormat="false" ht="12.75" hidden="false" customHeight="false" outlineLevel="0" collapsed="false">
      <c r="A182" s="403"/>
      <c r="B182" s="17"/>
      <c r="C182" s="486"/>
      <c r="D182" s="35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customFormat="false" ht="12.75" hidden="false" customHeight="false" outlineLevel="0" collapsed="false">
      <c r="A183" s="403"/>
      <c r="B183" s="17"/>
      <c r="C183" s="486"/>
      <c r="D183" s="35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customFormat="false" ht="12.75" hidden="false" customHeight="false" outlineLevel="0" collapsed="false">
      <c r="A184" s="403"/>
      <c r="B184" s="17"/>
      <c r="C184" s="486"/>
      <c r="D184" s="35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customFormat="false" ht="12.75" hidden="false" customHeight="false" outlineLevel="0" collapsed="false">
      <c r="A185" s="403"/>
      <c r="B185" s="17"/>
      <c r="C185" s="486"/>
      <c r="D185" s="35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customFormat="false" ht="12.75" hidden="false" customHeight="false" outlineLevel="0" collapsed="false">
      <c r="A186" s="403"/>
      <c r="B186" s="17"/>
      <c r="C186" s="486"/>
      <c r="D186" s="35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customFormat="false" ht="12.75" hidden="false" customHeight="false" outlineLevel="0" collapsed="false">
      <c r="A187" s="403"/>
      <c r="B187" s="17"/>
      <c r="C187" s="486"/>
      <c r="D187" s="35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customFormat="false" ht="12.75" hidden="false" customHeight="false" outlineLevel="0" collapsed="false">
      <c r="A188" s="403"/>
      <c r="B188" s="17"/>
      <c r="C188" s="486"/>
      <c r="D188" s="35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customFormat="false" ht="12.75" hidden="false" customHeight="false" outlineLevel="0" collapsed="false">
      <c r="A189" s="283"/>
      <c r="D189" s="377"/>
    </row>
    <row r="190" customFormat="false" ht="12.75" hidden="false" customHeight="false" outlineLevel="0" collapsed="false">
      <c r="A190" s="283"/>
      <c r="D190" s="377"/>
    </row>
    <row r="191" customFormat="false" ht="12.75" hidden="false" customHeight="false" outlineLevel="0" collapsed="false">
      <c r="A191" s="283"/>
      <c r="D191" s="377"/>
    </row>
    <row r="192" customFormat="false" ht="12.75" hidden="false" customHeight="false" outlineLevel="0" collapsed="false">
      <c r="A192" s="283"/>
      <c r="D192" s="377"/>
    </row>
    <row r="193" customFormat="false" ht="12.75" hidden="false" customHeight="false" outlineLevel="0" collapsed="false">
      <c r="A193" s="283"/>
      <c r="D193" s="377"/>
    </row>
    <row r="194" customFormat="false" ht="12.75" hidden="false" customHeight="false" outlineLevel="0" collapsed="false">
      <c r="A194" s="283"/>
      <c r="D194" s="377"/>
    </row>
    <row r="195" customFormat="false" ht="12.75" hidden="false" customHeight="false" outlineLevel="0" collapsed="false">
      <c r="A195" s="283"/>
      <c r="D195" s="377"/>
    </row>
    <row r="196" customFormat="false" ht="12.75" hidden="false" customHeight="false" outlineLevel="0" collapsed="false">
      <c r="A196" s="283"/>
      <c r="D196" s="377"/>
    </row>
    <row r="197" customFormat="false" ht="12.75" hidden="false" customHeight="false" outlineLevel="0" collapsed="false">
      <c r="A197" s="283"/>
      <c r="D197" s="377"/>
    </row>
    <row r="198" customFormat="false" ht="12.75" hidden="false" customHeight="false" outlineLevel="0" collapsed="false">
      <c r="A198" s="283"/>
      <c r="D198" s="377"/>
    </row>
    <row r="199" customFormat="false" ht="12.75" hidden="false" customHeight="false" outlineLevel="0" collapsed="false">
      <c r="A199" s="283"/>
      <c r="D199" s="377"/>
    </row>
    <row r="200" customFormat="false" ht="12.75" hidden="false" customHeight="false" outlineLevel="0" collapsed="false">
      <c r="A200" s="283"/>
      <c r="D200" s="377"/>
    </row>
    <row r="201" customFormat="false" ht="12.75" hidden="false" customHeight="false" outlineLevel="0" collapsed="false">
      <c r="A201" s="283"/>
      <c r="D201" s="377"/>
    </row>
    <row r="202" customFormat="false" ht="12.75" hidden="false" customHeight="false" outlineLevel="0" collapsed="false">
      <c r="A202" s="283"/>
      <c r="D202" s="377"/>
    </row>
    <row r="203" customFormat="false" ht="12.75" hidden="false" customHeight="false" outlineLevel="0" collapsed="false">
      <c r="A203" s="283"/>
      <c r="D203" s="377"/>
    </row>
    <row r="204" customFormat="false" ht="12.75" hidden="false" customHeight="false" outlineLevel="0" collapsed="false">
      <c r="A204" s="283"/>
      <c r="D204" s="377"/>
    </row>
    <row r="205" customFormat="false" ht="12.75" hidden="false" customHeight="false" outlineLevel="0" collapsed="false">
      <c r="A205" s="283"/>
      <c r="D205" s="377"/>
    </row>
    <row r="206" customFormat="false" ht="12.75" hidden="false" customHeight="false" outlineLevel="0" collapsed="false">
      <c r="A206" s="283"/>
      <c r="D206" s="377"/>
    </row>
    <row r="207" customFormat="false" ht="12.75" hidden="false" customHeight="false" outlineLevel="0" collapsed="false">
      <c r="A207" s="283"/>
      <c r="D207" s="377"/>
    </row>
    <row r="208" customFormat="false" ht="12.75" hidden="false" customHeight="false" outlineLevel="0" collapsed="false">
      <c r="A208" s="283"/>
      <c r="D208" s="377"/>
    </row>
    <row r="209" customFormat="false" ht="12.75" hidden="false" customHeight="false" outlineLevel="0" collapsed="false">
      <c r="A209" s="283"/>
      <c r="D209" s="377"/>
    </row>
    <row r="210" customFormat="false" ht="12.75" hidden="false" customHeight="false" outlineLevel="0" collapsed="false">
      <c r="A210" s="283"/>
      <c r="D210" s="377"/>
    </row>
    <row r="211" customFormat="false" ht="12.75" hidden="false" customHeight="false" outlineLevel="0" collapsed="false">
      <c r="A211" s="283"/>
      <c r="D211" s="377"/>
    </row>
    <row r="212" customFormat="false" ht="12.75" hidden="false" customHeight="false" outlineLevel="0" collapsed="false">
      <c r="A212" s="283"/>
      <c r="D212" s="377"/>
    </row>
    <row r="213" customFormat="false" ht="12.75" hidden="false" customHeight="false" outlineLevel="0" collapsed="false">
      <c r="A213" s="283"/>
      <c r="D213" s="377"/>
    </row>
    <row r="214" customFormat="false" ht="12.75" hidden="false" customHeight="false" outlineLevel="0" collapsed="false">
      <c r="A214" s="283"/>
      <c r="D214" s="377"/>
    </row>
    <row r="215" customFormat="false" ht="12.75" hidden="false" customHeight="false" outlineLevel="0" collapsed="false">
      <c r="A215" s="283"/>
      <c r="D215" s="377"/>
    </row>
    <row r="216" customFormat="false" ht="12.75" hidden="false" customHeight="false" outlineLevel="0" collapsed="false">
      <c r="A216" s="283"/>
      <c r="D216" s="377"/>
    </row>
    <row r="217" customFormat="false" ht="12.75" hidden="false" customHeight="false" outlineLevel="0" collapsed="false">
      <c r="A217" s="283"/>
      <c r="D217" s="377"/>
    </row>
    <row r="218" customFormat="false" ht="12.75" hidden="false" customHeight="false" outlineLevel="0" collapsed="false">
      <c r="A218" s="283"/>
      <c r="D218" s="377"/>
    </row>
    <row r="219" customFormat="false" ht="12.75" hidden="false" customHeight="false" outlineLevel="0" collapsed="false">
      <c r="A219" s="283"/>
      <c r="D219" s="377"/>
    </row>
    <row r="220" customFormat="false" ht="12.75" hidden="false" customHeight="false" outlineLevel="0" collapsed="false">
      <c r="A220" s="283"/>
      <c r="D220" s="377"/>
    </row>
    <row r="221" customFormat="false" ht="12.75" hidden="false" customHeight="false" outlineLevel="0" collapsed="false">
      <c r="A221" s="283"/>
      <c r="D221" s="377"/>
    </row>
    <row r="222" customFormat="false" ht="12.75" hidden="false" customHeight="false" outlineLevel="0" collapsed="false">
      <c r="A222" s="283"/>
      <c r="D222" s="377"/>
    </row>
    <row r="223" customFormat="false" ht="12.75" hidden="false" customHeight="false" outlineLevel="0" collapsed="false">
      <c r="A223" s="283"/>
      <c r="D223" s="377"/>
    </row>
    <row r="224" customFormat="false" ht="12.75" hidden="false" customHeight="false" outlineLevel="0" collapsed="false">
      <c r="A224" s="283"/>
      <c r="D224" s="377"/>
    </row>
    <row r="225" customFormat="false" ht="12.75" hidden="false" customHeight="false" outlineLevel="0" collapsed="false">
      <c r="A225" s="283"/>
      <c r="D225" s="377"/>
    </row>
    <row r="226" customFormat="false" ht="12.75" hidden="false" customHeight="false" outlineLevel="0" collapsed="false">
      <c r="A226" s="283"/>
      <c r="D226" s="377"/>
    </row>
    <row r="227" customFormat="false" ht="12.75" hidden="false" customHeight="false" outlineLevel="0" collapsed="false">
      <c r="A227" s="283"/>
      <c r="D227" s="377"/>
    </row>
    <row r="228" customFormat="false" ht="12.75" hidden="false" customHeight="false" outlineLevel="0" collapsed="false">
      <c r="A228" s="283"/>
      <c r="D228" s="377"/>
    </row>
    <row r="229" customFormat="false" ht="12.75" hidden="false" customHeight="false" outlineLevel="0" collapsed="false">
      <c r="A229" s="283"/>
      <c r="D229" s="377"/>
    </row>
    <row r="230" customFormat="false" ht="12.75" hidden="false" customHeight="false" outlineLevel="0" collapsed="false">
      <c r="A230" s="283"/>
      <c r="D230" s="377"/>
    </row>
    <row r="231" customFormat="false" ht="12.75" hidden="false" customHeight="false" outlineLevel="0" collapsed="false">
      <c r="A231" s="283"/>
      <c r="D231" s="377"/>
    </row>
    <row r="232" customFormat="false" ht="12.75" hidden="false" customHeight="false" outlineLevel="0" collapsed="false">
      <c r="A232" s="283"/>
      <c r="D232" s="377"/>
    </row>
    <row r="233" customFormat="false" ht="12.75" hidden="false" customHeight="false" outlineLevel="0" collapsed="false">
      <c r="A233" s="283"/>
      <c r="D233" s="377"/>
    </row>
    <row r="234" customFormat="false" ht="12.75" hidden="false" customHeight="false" outlineLevel="0" collapsed="false">
      <c r="A234" s="283"/>
      <c r="D234" s="377"/>
    </row>
    <row r="235" customFormat="false" ht="12.75" hidden="false" customHeight="false" outlineLevel="0" collapsed="false">
      <c r="A235" s="283"/>
      <c r="D235" s="377"/>
    </row>
    <row r="236" customFormat="false" ht="12.75" hidden="false" customHeight="false" outlineLevel="0" collapsed="false">
      <c r="A236" s="283"/>
      <c r="D236" s="377"/>
    </row>
    <row r="237" customFormat="false" ht="12.75" hidden="false" customHeight="false" outlineLevel="0" collapsed="false">
      <c r="A237" s="283"/>
      <c r="D237" s="377"/>
    </row>
    <row r="238" customFormat="false" ht="12.75" hidden="false" customHeight="false" outlineLevel="0" collapsed="false">
      <c r="A238" s="283"/>
      <c r="D238" s="377"/>
    </row>
    <row r="239" customFormat="false" ht="12.75" hidden="false" customHeight="false" outlineLevel="0" collapsed="false">
      <c r="A239" s="283"/>
      <c r="D239" s="377"/>
    </row>
    <row r="240" customFormat="false" ht="12.75" hidden="false" customHeight="false" outlineLevel="0" collapsed="false">
      <c r="A240" s="283"/>
      <c r="D240" s="377"/>
    </row>
    <row r="241" customFormat="false" ht="12.75" hidden="false" customHeight="false" outlineLevel="0" collapsed="false">
      <c r="A241" s="283"/>
      <c r="D241" s="377"/>
    </row>
    <row r="242" customFormat="false" ht="12.75" hidden="false" customHeight="false" outlineLevel="0" collapsed="false">
      <c r="A242" s="283"/>
      <c r="D242" s="377"/>
    </row>
    <row r="243" customFormat="false" ht="12.75" hidden="false" customHeight="false" outlineLevel="0" collapsed="false">
      <c r="A243" s="283"/>
      <c r="D243" s="377"/>
    </row>
    <row r="244" customFormat="false" ht="12.75" hidden="false" customHeight="false" outlineLevel="0" collapsed="false">
      <c r="A244" s="283"/>
      <c r="D244" s="377"/>
    </row>
    <row r="245" customFormat="false" ht="12.75" hidden="false" customHeight="false" outlineLevel="0" collapsed="false">
      <c r="A245" s="283"/>
      <c r="D245" s="377"/>
    </row>
    <row r="246" customFormat="false" ht="12.75" hidden="false" customHeight="false" outlineLevel="0" collapsed="false">
      <c r="A246" s="283"/>
      <c r="D246" s="377"/>
    </row>
    <row r="247" customFormat="false" ht="12.75" hidden="false" customHeight="false" outlineLevel="0" collapsed="false">
      <c r="A247" s="283"/>
      <c r="D247" s="377"/>
    </row>
    <row r="248" customFormat="false" ht="12.75" hidden="false" customHeight="false" outlineLevel="0" collapsed="false">
      <c r="A248" s="283"/>
      <c r="D248" s="377"/>
    </row>
    <row r="249" customFormat="false" ht="12.75" hidden="false" customHeight="false" outlineLevel="0" collapsed="false">
      <c r="A249" s="283"/>
      <c r="D249" s="377"/>
    </row>
    <row r="250" customFormat="false" ht="12.75" hidden="false" customHeight="false" outlineLevel="0" collapsed="false">
      <c r="A250" s="283"/>
      <c r="D250" s="377"/>
    </row>
    <row r="251" customFormat="false" ht="12.75" hidden="false" customHeight="false" outlineLevel="0" collapsed="false">
      <c r="A251" s="283"/>
      <c r="D251" s="377"/>
    </row>
    <row r="252" customFormat="false" ht="12.75" hidden="false" customHeight="false" outlineLevel="0" collapsed="false">
      <c r="A252" s="283"/>
      <c r="D252" s="377"/>
    </row>
    <row r="253" customFormat="false" ht="12.75" hidden="false" customHeight="false" outlineLevel="0" collapsed="false">
      <c r="A253" s="283"/>
      <c r="D253" s="377"/>
    </row>
    <row r="254" customFormat="false" ht="12.75" hidden="false" customHeight="false" outlineLevel="0" collapsed="false">
      <c r="A254" s="283"/>
      <c r="D254" s="377"/>
    </row>
    <row r="255" customFormat="false" ht="12.75" hidden="false" customHeight="false" outlineLevel="0" collapsed="false">
      <c r="A255" s="283"/>
      <c r="D255" s="377"/>
    </row>
    <row r="256" customFormat="false" ht="12.75" hidden="false" customHeight="false" outlineLevel="0" collapsed="false">
      <c r="A256" s="283"/>
      <c r="D256" s="377"/>
    </row>
    <row r="257" customFormat="false" ht="12.75" hidden="false" customHeight="false" outlineLevel="0" collapsed="false">
      <c r="A257" s="283"/>
      <c r="D257" s="377"/>
    </row>
    <row r="258" customFormat="false" ht="12.75" hidden="false" customHeight="false" outlineLevel="0" collapsed="false">
      <c r="A258" s="283"/>
      <c r="D258" s="377"/>
    </row>
    <row r="259" customFormat="false" ht="12.75" hidden="false" customHeight="false" outlineLevel="0" collapsed="false">
      <c r="A259" s="283"/>
      <c r="D259" s="377"/>
    </row>
    <row r="260" customFormat="false" ht="12.75" hidden="false" customHeight="false" outlineLevel="0" collapsed="false">
      <c r="A260" s="283"/>
      <c r="D260" s="377"/>
    </row>
    <row r="261" customFormat="false" ht="12.75" hidden="false" customHeight="false" outlineLevel="0" collapsed="false">
      <c r="A261" s="283"/>
      <c r="D261" s="377"/>
    </row>
    <row r="262" customFormat="false" ht="12.75" hidden="false" customHeight="false" outlineLevel="0" collapsed="false">
      <c r="A262" s="283"/>
      <c r="D262" s="377"/>
    </row>
    <row r="263" customFormat="false" ht="12.75" hidden="false" customHeight="false" outlineLevel="0" collapsed="false">
      <c r="A263" s="283"/>
      <c r="D263" s="377"/>
    </row>
    <row r="264" customFormat="false" ht="12.75" hidden="false" customHeight="false" outlineLevel="0" collapsed="false">
      <c r="A264" s="283"/>
      <c r="D264" s="377"/>
    </row>
    <row r="265" customFormat="false" ht="12.75" hidden="false" customHeight="false" outlineLevel="0" collapsed="false">
      <c r="A265" s="283"/>
      <c r="D265" s="377"/>
    </row>
    <row r="266" customFormat="false" ht="12.75" hidden="false" customHeight="false" outlineLevel="0" collapsed="false">
      <c r="A266" s="283"/>
      <c r="D266" s="377"/>
    </row>
    <row r="267" customFormat="false" ht="12.75" hidden="false" customHeight="false" outlineLevel="0" collapsed="false">
      <c r="A267" s="283"/>
      <c r="D267" s="377"/>
    </row>
    <row r="268" customFormat="false" ht="12.75" hidden="false" customHeight="false" outlineLevel="0" collapsed="false">
      <c r="A268" s="283"/>
      <c r="D268" s="377"/>
    </row>
    <row r="269" customFormat="false" ht="12.75" hidden="false" customHeight="false" outlineLevel="0" collapsed="false">
      <c r="A269" s="283"/>
      <c r="D269" s="377"/>
    </row>
    <row r="270" customFormat="false" ht="12.75" hidden="false" customHeight="false" outlineLevel="0" collapsed="false">
      <c r="A270" s="283"/>
      <c r="D270" s="377"/>
    </row>
    <row r="271" customFormat="false" ht="12.75" hidden="false" customHeight="false" outlineLevel="0" collapsed="false">
      <c r="A271" s="283"/>
      <c r="D271" s="377"/>
    </row>
    <row r="272" customFormat="false" ht="12.75" hidden="false" customHeight="false" outlineLevel="0" collapsed="false">
      <c r="A272" s="283"/>
      <c r="D272" s="377"/>
    </row>
    <row r="273" customFormat="false" ht="12.75" hidden="false" customHeight="false" outlineLevel="0" collapsed="false">
      <c r="A273" s="283"/>
      <c r="D273" s="377"/>
    </row>
    <row r="274" customFormat="false" ht="12.75" hidden="false" customHeight="false" outlineLevel="0" collapsed="false">
      <c r="A274" s="283"/>
      <c r="D274" s="377"/>
    </row>
    <row r="275" customFormat="false" ht="12.75" hidden="false" customHeight="false" outlineLevel="0" collapsed="false">
      <c r="A275" s="283"/>
      <c r="D275" s="377"/>
    </row>
    <row r="276" customFormat="false" ht="12.75" hidden="false" customHeight="false" outlineLevel="0" collapsed="false">
      <c r="A276" s="283"/>
      <c r="D276" s="377"/>
    </row>
    <row r="277" customFormat="false" ht="12.75" hidden="false" customHeight="false" outlineLevel="0" collapsed="false">
      <c r="A277" s="283"/>
      <c r="D277" s="377"/>
    </row>
    <row r="278" customFormat="false" ht="12.75" hidden="false" customHeight="false" outlineLevel="0" collapsed="false">
      <c r="A278" s="283"/>
      <c r="D278" s="377"/>
    </row>
    <row r="279" customFormat="false" ht="12.75" hidden="false" customHeight="false" outlineLevel="0" collapsed="false">
      <c r="A279" s="283"/>
      <c r="D279" s="377"/>
    </row>
    <row r="280" customFormat="false" ht="12.75" hidden="false" customHeight="false" outlineLevel="0" collapsed="false">
      <c r="A280" s="283"/>
      <c r="D280" s="377"/>
    </row>
    <row r="281" customFormat="false" ht="12.75" hidden="false" customHeight="false" outlineLevel="0" collapsed="false">
      <c r="A281" s="283"/>
      <c r="D281" s="377"/>
    </row>
    <row r="282" customFormat="false" ht="12.75" hidden="false" customHeight="false" outlineLevel="0" collapsed="false">
      <c r="A282" s="283"/>
      <c r="D282" s="377"/>
    </row>
    <row r="283" customFormat="false" ht="12.75" hidden="false" customHeight="false" outlineLevel="0" collapsed="false">
      <c r="A283" s="283"/>
      <c r="D283" s="377"/>
    </row>
    <row r="284" customFormat="false" ht="12.75" hidden="false" customHeight="false" outlineLevel="0" collapsed="false">
      <c r="A284" s="283"/>
      <c r="D284" s="377"/>
    </row>
    <row r="285" customFormat="false" ht="12.75" hidden="false" customHeight="false" outlineLevel="0" collapsed="false">
      <c r="A285" s="283"/>
      <c r="D285" s="377"/>
    </row>
    <row r="286" customFormat="false" ht="12.75" hidden="false" customHeight="false" outlineLevel="0" collapsed="false">
      <c r="A286" s="283"/>
      <c r="D286" s="377"/>
    </row>
    <row r="287" customFormat="false" ht="12.75" hidden="false" customHeight="false" outlineLevel="0" collapsed="false">
      <c r="A287" s="283"/>
      <c r="D287" s="377"/>
    </row>
    <row r="288" customFormat="false" ht="12.75" hidden="false" customHeight="false" outlineLevel="0" collapsed="false">
      <c r="A288" s="283"/>
      <c r="D288" s="377"/>
    </row>
    <row r="289" customFormat="false" ht="12.75" hidden="false" customHeight="false" outlineLevel="0" collapsed="false">
      <c r="A289" s="283"/>
      <c r="D289" s="377"/>
    </row>
    <row r="290" customFormat="false" ht="12.75" hidden="false" customHeight="false" outlineLevel="0" collapsed="false">
      <c r="A290" s="283"/>
      <c r="D290" s="377"/>
    </row>
    <row r="291" customFormat="false" ht="12.75" hidden="false" customHeight="false" outlineLevel="0" collapsed="false">
      <c r="A291" s="283"/>
      <c r="D291" s="377"/>
    </row>
    <row r="292" customFormat="false" ht="12.75" hidden="false" customHeight="false" outlineLevel="0" collapsed="false">
      <c r="A292" s="283"/>
      <c r="D292" s="377"/>
    </row>
    <row r="293" customFormat="false" ht="12.75" hidden="false" customHeight="false" outlineLevel="0" collapsed="false">
      <c r="A293" s="283"/>
      <c r="D293" s="377"/>
    </row>
    <row r="294" customFormat="false" ht="12.75" hidden="false" customHeight="false" outlineLevel="0" collapsed="false">
      <c r="A294" s="283"/>
      <c r="D294" s="377"/>
    </row>
    <row r="295" customFormat="false" ht="12.75" hidden="false" customHeight="false" outlineLevel="0" collapsed="false">
      <c r="A295" s="283"/>
      <c r="D295" s="377"/>
    </row>
    <row r="296" customFormat="false" ht="12.75" hidden="false" customHeight="false" outlineLevel="0" collapsed="false">
      <c r="A296" s="283"/>
      <c r="D296" s="377"/>
    </row>
    <row r="297" customFormat="false" ht="12.75" hidden="false" customHeight="false" outlineLevel="0" collapsed="false">
      <c r="A297" s="283"/>
      <c r="D297" s="377"/>
    </row>
    <row r="298" customFormat="false" ht="12.75" hidden="false" customHeight="false" outlineLevel="0" collapsed="false">
      <c r="A298" s="283"/>
      <c r="D298" s="377"/>
    </row>
    <row r="299" customFormat="false" ht="12.75" hidden="false" customHeight="false" outlineLevel="0" collapsed="false">
      <c r="A299" s="283"/>
      <c r="D299" s="377"/>
    </row>
    <row r="300" customFormat="false" ht="12.75" hidden="false" customHeight="false" outlineLevel="0" collapsed="false">
      <c r="A300" s="283"/>
      <c r="D300" s="377"/>
    </row>
    <row r="301" customFormat="false" ht="12.75" hidden="false" customHeight="false" outlineLevel="0" collapsed="false">
      <c r="A301" s="283"/>
      <c r="D301" s="377"/>
    </row>
    <row r="302" customFormat="false" ht="12.75" hidden="false" customHeight="false" outlineLevel="0" collapsed="false">
      <c r="A302" s="283"/>
      <c r="D302" s="377"/>
    </row>
    <row r="303" customFormat="false" ht="12.75" hidden="false" customHeight="false" outlineLevel="0" collapsed="false">
      <c r="A303" s="283"/>
      <c r="D303" s="377"/>
    </row>
    <row r="304" customFormat="false" ht="12.75" hidden="false" customHeight="false" outlineLevel="0" collapsed="false">
      <c r="A304" s="283"/>
      <c r="D304" s="377"/>
    </row>
    <row r="305" customFormat="false" ht="12.75" hidden="false" customHeight="false" outlineLevel="0" collapsed="false">
      <c r="A305" s="283"/>
      <c r="D305" s="377"/>
    </row>
    <row r="306" customFormat="false" ht="12.75" hidden="false" customHeight="false" outlineLevel="0" collapsed="false">
      <c r="A306" s="283"/>
      <c r="D306" s="377"/>
    </row>
    <row r="307" customFormat="false" ht="12.75" hidden="false" customHeight="false" outlineLevel="0" collapsed="false">
      <c r="A307" s="283"/>
      <c r="D307" s="377"/>
    </row>
    <row r="308" customFormat="false" ht="12.75" hidden="false" customHeight="false" outlineLevel="0" collapsed="false">
      <c r="A308" s="283"/>
      <c r="D308" s="377"/>
    </row>
    <row r="309" customFormat="false" ht="12.75" hidden="false" customHeight="false" outlineLevel="0" collapsed="false">
      <c r="A309" s="283"/>
      <c r="D309" s="377"/>
    </row>
    <row r="310" customFormat="false" ht="12.75" hidden="false" customHeight="false" outlineLevel="0" collapsed="false">
      <c r="A310" s="283"/>
      <c r="D310" s="377"/>
    </row>
    <row r="311" customFormat="false" ht="12.75" hidden="false" customHeight="false" outlineLevel="0" collapsed="false">
      <c r="A311" s="283"/>
      <c r="D311" s="377"/>
    </row>
    <row r="312" customFormat="false" ht="12.75" hidden="false" customHeight="false" outlineLevel="0" collapsed="false">
      <c r="A312" s="283"/>
      <c r="D312" s="377"/>
    </row>
    <row r="313" customFormat="false" ht="12.75" hidden="false" customHeight="false" outlineLevel="0" collapsed="false">
      <c r="A313" s="283"/>
      <c r="D313" s="377"/>
    </row>
    <row r="314" customFormat="false" ht="12.75" hidden="false" customHeight="false" outlineLevel="0" collapsed="false">
      <c r="A314" s="283"/>
      <c r="D314" s="377"/>
    </row>
    <row r="315" customFormat="false" ht="12.75" hidden="false" customHeight="false" outlineLevel="0" collapsed="false">
      <c r="A315" s="283"/>
      <c r="D315" s="377"/>
    </row>
    <row r="316" customFormat="false" ht="12.75" hidden="false" customHeight="false" outlineLevel="0" collapsed="false">
      <c r="A316" s="283"/>
      <c r="D316" s="377"/>
    </row>
    <row r="317" customFormat="false" ht="12.75" hidden="false" customHeight="false" outlineLevel="0" collapsed="false">
      <c r="A317" s="283"/>
      <c r="D317" s="377"/>
    </row>
    <row r="318" customFormat="false" ht="12.75" hidden="false" customHeight="false" outlineLevel="0" collapsed="false">
      <c r="A318" s="283"/>
      <c r="D318" s="377"/>
    </row>
  </sheetData>
  <printOptions headings="false" gridLines="false" gridLinesSet="true" horizontalCentered="false" verticalCentered="false"/>
  <pageMargins left="0.25" right="0.25" top="0.779861111111111" bottom="0.4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&amp;C&amp;"Arial,Bold"&amp;14VNG Demand Rates</oddHeader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5" min="5" style="0" width="16.99"/>
  </cols>
  <sheetData>
    <row r="2" customFormat="false" ht="33.75" hidden="false" customHeight="true" outlineLevel="0" collapsed="false">
      <c r="A2" s="487" t="s">
        <v>199</v>
      </c>
      <c r="B2" s="488"/>
      <c r="C2" s="489" t="s">
        <v>200</v>
      </c>
      <c r="D2" s="488"/>
      <c r="E2" s="490" t="s">
        <v>201</v>
      </c>
    </row>
    <row r="3" customFormat="false" ht="12.75" hidden="false" customHeight="false" outlineLevel="0" collapsed="false">
      <c r="C3" s="491" t="n">
        <v>37165</v>
      </c>
      <c r="E3" s="491" t="n">
        <v>37165</v>
      </c>
    </row>
    <row r="4" customFormat="false" ht="12.75" hidden="false" customHeight="false" outlineLevel="0" collapsed="false">
      <c r="A4" s="266" t="s">
        <v>202</v>
      </c>
      <c r="C4" s="275" t="n">
        <v>1071.40153987277</v>
      </c>
      <c r="E4" s="276" t="n">
        <v>999.957085127233</v>
      </c>
    </row>
    <row r="5" customFormat="false" ht="12.75" hidden="false" customHeight="false" outlineLevel="0" collapsed="false">
      <c r="A5" s="266" t="s">
        <v>203</v>
      </c>
      <c r="C5" s="275" t="n">
        <v>1309.88291792445</v>
      </c>
      <c r="E5" s="276" t="n">
        <v>1222.53576807555</v>
      </c>
    </row>
    <row r="6" customFormat="false" ht="12.75" hidden="false" customHeight="false" outlineLevel="0" collapsed="false">
      <c r="A6" s="266" t="s">
        <v>204</v>
      </c>
      <c r="C6" s="275" t="n">
        <v>19813.4520237259</v>
      </c>
      <c r="E6" s="276" t="n">
        <v>18492.2281652741</v>
      </c>
    </row>
    <row r="7" customFormat="false" ht="12.75" hidden="false" customHeight="false" outlineLevel="0" collapsed="false">
      <c r="A7" s="266" t="s">
        <v>205</v>
      </c>
      <c r="C7" s="275" t="n">
        <v>669.603363940486</v>
      </c>
      <c r="E7" s="276" t="n">
        <v>622.159136059515</v>
      </c>
    </row>
    <row r="8" customFormat="false" ht="12.75" hidden="false" customHeight="false" outlineLevel="0" collapsed="false">
      <c r="A8" s="266" t="s">
        <v>206</v>
      </c>
      <c r="C8" s="275" t="n">
        <v>273.774605247488</v>
      </c>
      <c r="E8" s="276" t="n">
        <v>255.518445752512</v>
      </c>
    </row>
    <row r="9" customFormat="false" ht="12.75" hidden="false" customHeight="false" outlineLevel="0" collapsed="false">
      <c r="A9" s="266" t="s">
        <v>207</v>
      </c>
      <c r="C9" s="275" t="n">
        <v>6.55445647922163</v>
      </c>
      <c r="E9" s="276" t="n">
        <v>6.11738452077837</v>
      </c>
    </row>
    <row r="10" customFormat="false" ht="12.75" hidden="false" customHeight="false" outlineLevel="0" collapsed="false">
      <c r="A10" s="266" t="s">
        <v>208</v>
      </c>
      <c r="C10" s="275" t="n">
        <v>0</v>
      </c>
      <c r="E10" s="492" t="n">
        <v>0</v>
      </c>
    </row>
    <row r="11" customFormat="false" ht="12.75" hidden="false" customHeight="false" outlineLevel="0" collapsed="false">
      <c r="A11" s="266" t="s">
        <v>209</v>
      </c>
      <c r="C11" s="275" t="n">
        <v>0</v>
      </c>
      <c r="E11" s="492" t="n">
        <v>0</v>
      </c>
    </row>
    <row r="12" customFormat="false" ht="12.75" hidden="false" customHeight="false" outlineLevel="0" collapsed="false">
      <c r="A12" s="266" t="s">
        <v>210</v>
      </c>
      <c r="C12" s="275" t="n">
        <v>0</v>
      </c>
      <c r="E12" s="492" t="n">
        <v>0</v>
      </c>
    </row>
    <row r="13" customFormat="false" ht="12.75" hidden="false" customHeight="false" outlineLevel="0" collapsed="false">
      <c r="A13" s="266" t="s">
        <v>211</v>
      </c>
      <c r="C13" s="275" t="n">
        <v>31370.607479626</v>
      </c>
      <c r="E13" s="276" t="n">
        <v>11268.392520374</v>
      </c>
    </row>
    <row r="14" customFormat="false" ht="12.75" hidden="false" customHeight="false" outlineLevel="0" collapsed="false">
      <c r="A14" s="266" t="s">
        <v>212</v>
      </c>
      <c r="C14" s="275" t="n">
        <v>5614.32270168218</v>
      </c>
      <c r="E14" s="276" t="n">
        <v>2016.67729831782</v>
      </c>
    </row>
    <row r="15" customFormat="false" ht="12.75" hidden="false" customHeight="false" outlineLevel="0" collapsed="false">
      <c r="A15" s="266" t="s">
        <v>213</v>
      </c>
      <c r="C15" s="275" t="n">
        <v>3366</v>
      </c>
      <c r="E15" s="492"/>
    </row>
    <row r="16" customFormat="false" ht="12.75" hidden="false" customHeight="false" outlineLevel="0" collapsed="false">
      <c r="A16" s="266" t="s">
        <v>214</v>
      </c>
      <c r="C16" s="275" t="n">
        <v>4950</v>
      </c>
      <c r="E16" s="492"/>
    </row>
    <row r="17" customFormat="false" ht="12.75" hidden="false" customHeight="false" outlineLevel="0" collapsed="false">
      <c r="A17" s="266" t="s">
        <v>215</v>
      </c>
      <c r="C17" s="275" t="n">
        <v>11172.1727158949</v>
      </c>
      <c r="E17" s="276" t="n">
        <v>311.827284105131</v>
      </c>
    </row>
    <row r="18" customFormat="false" ht="12.75" hidden="false" customHeight="false" outlineLevel="0" collapsed="false">
      <c r="A18" s="266"/>
      <c r="C18" s="493"/>
    </row>
    <row r="19" customFormat="false" ht="12.75" hidden="false" customHeight="false" outlineLevel="0" collapsed="false">
      <c r="A19" s="487" t="s">
        <v>216</v>
      </c>
      <c r="B19" s="488"/>
      <c r="C19" s="494" t="n">
        <f aca="false">SUM(C4:C17)</f>
        <v>79617.7718043934</v>
      </c>
      <c r="D19" s="495"/>
      <c r="E19" s="496" t="n">
        <f aca="false">SUM(E4:E18)</f>
        <v>35195.4130876066</v>
      </c>
      <c r="F19" s="497" t="n">
        <f aca="false">SUM(C19:E19)</f>
        <v>114813.184892</v>
      </c>
    </row>
    <row r="21" customFormat="false" ht="12.75" hidden="false" customHeight="false" outlineLevel="0" collapsed="false">
      <c r="A21" s="498" t="s">
        <v>92</v>
      </c>
      <c r="C21" s="22" t="n">
        <f aca="false">'VNG Sheet'!AQ3</f>
        <v>2257</v>
      </c>
    </row>
    <row r="22" customFormat="false" ht="12.75" hidden="false" customHeight="false" outlineLevel="0" collapsed="false">
      <c r="C22" s="22"/>
    </row>
    <row r="23" customFormat="false" ht="12.75" hidden="false" customHeight="false" outlineLevel="0" collapsed="false">
      <c r="A23" s="498" t="s">
        <v>94</v>
      </c>
      <c r="C23" s="22" t="n">
        <f aca="false">'VNG Sheet'!AQ4</f>
        <v>110554</v>
      </c>
    </row>
    <row r="28" customFormat="false" ht="12.75" hidden="false" customHeight="false" outlineLevel="0" collapsed="false">
      <c r="A28" s="499" t="s">
        <v>217</v>
      </c>
      <c r="B28" s="10"/>
      <c r="C28" s="10"/>
      <c r="D28" s="10"/>
      <c r="E28" s="62"/>
    </row>
    <row r="29" customFormat="false" ht="12.75" hidden="false" customHeight="false" outlineLevel="0" collapsed="false">
      <c r="A29" s="12"/>
      <c r="B29" s="500" t="s">
        <v>218</v>
      </c>
      <c r="C29" s="50"/>
      <c r="D29" s="50"/>
      <c r="E29" s="68"/>
    </row>
    <row r="31" customFormat="false" ht="12.75" hidden="false" customHeight="false" outlineLevel="0" collapsed="false">
      <c r="A31" s="499" t="s">
        <v>219</v>
      </c>
      <c r="B31" s="10"/>
      <c r="C31" s="10"/>
      <c r="D31" s="10"/>
      <c r="E31" s="62"/>
    </row>
    <row r="32" customFormat="false" ht="12.75" hidden="false" customHeight="false" outlineLevel="0" collapsed="false">
      <c r="A32" s="12"/>
      <c r="B32" s="500" t="s">
        <v>220</v>
      </c>
      <c r="C32" s="50"/>
      <c r="D32" s="50"/>
      <c r="E3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53"/>
  <sheetViews>
    <sheetView showFormulas="false" showGridLines="false" showRowColHeaders="true" showZeros="true" rightToLeft="false" tabSelected="false" showOutlineSymbols="true" defaultGridColor="true" view="normal" topLeftCell="A4" colorId="64" zoomScale="74" zoomScaleNormal="74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1.41"/>
    <col collapsed="false" customWidth="true" hidden="false" outlineLevel="0" max="6" min="6" style="0" width="9.99"/>
    <col collapsed="false" customWidth="true" hidden="false" outlineLevel="0" max="7" min="7" style="0" width="11.28"/>
    <col collapsed="false" customWidth="true" hidden="false" outlineLevel="0" max="8" min="8" style="0" width="15.56"/>
    <col collapsed="false" customWidth="true" hidden="false" outlineLevel="0" max="10" min="9" style="0" width="9.28"/>
    <col collapsed="false" customWidth="true" hidden="false" outlineLevel="0" max="11" min="11" style="0" width="1.13"/>
    <col collapsed="false" customWidth="true" hidden="false" outlineLevel="0" max="12" min="12" style="0" width="10.99"/>
    <col collapsed="false" customWidth="true" hidden="false" outlineLevel="0" max="13" min="13" style="0" width="1.13"/>
    <col collapsed="false" customWidth="true" hidden="false" outlineLevel="0" max="14" min="14" style="0" width="15.85"/>
    <col collapsed="false" customWidth="true" hidden="false" outlineLevel="0" max="15" min="15" style="0" width="1.28"/>
    <col collapsed="false" customWidth="true" hidden="false" outlineLevel="0" max="16" min="16" style="0" width="9.99"/>
  </cols>
  <sheetData>
    <row r="2" customFormat="false" ht="12.75" hidden="false" customHeight="false" outlineLevel="0" collapsed="false">
      <c r="B2" s="316" t="n">
        <v>37165</v>
      </c>
      <c r="H2" s="501" t="s">
        <v>221</v>
      </c>
    </row>
    <row r="3" customFormat="false" ht="12.75" hidden="false" customHeight="false" outlineLevel="0" collapsed="false">
      <c r="B3" s="7" t="s">
        <v>222</v>
      </c>
      <c r="F3" s="502" t="s">
        <v>120</v>
      </c>
      <c r="G3" s="502" t="s">
        <v>223</v>
      </c>
      <c r="H3" s="502" t="s">
        <v>45</v>
      </c>
      <c r="I3" s="502" t="s">
        <v>224</v>
      </c>
      <c r="J3" s="502" t="s">
        <v>225</v>
      </c>
      <c r="K3" s="501"/>
      <c r="L3" s="502" t="s">
        <v>226</v>
      </c>
      <c r="M3" s="503"/>
      <c r="N3" s="502" t="s">
        <v>227</v>
      </c>
      <c r="O3" s="503"/>
      <c r="P3" s="501" t="s">
        <v>228</v>
      </c>
    </row>
    <row r="4" customFormat="false" ht="12.75" hidden="false" customHeight="false" outlineLevel="0" collapsed="false">
      <c r="F4" s="504"/>
      <c r="G4" s="504"/>
      <c r="H4" s="504"/>
      <c r="I4" s="504"/>
      <c r="J4" s="504"/>
      <c r="L4" s="504"/>
      <c r="N4" s="504"/>
    </row>
    <row r="5" customFormat="false" ht="12.75" hidden="false" customHeight="false" outlineLevel="0" collapsed="false">
      <c r="D5" s="505" t="s">
        <v>229</v>
      </c>
      <c r="E5" s="505"/>
      <c r="F5" s="506" t="n">
        <f aca="false">'Input Gas Prices'!B8</f>
        <v>1.76</v>
      </c>
      <c r="G5" s="507" t="n">
        <v>2708</v>
      </c>
      <c r="H5" s="508" t="n">
        <v>0.0458</v>
      </c>
      <c r="I5" s="505" t="n">
        <v>0.0299</v>
      </c>
      <c r="J5" s="505" t="n">
        <v>0.025</v>
      </c>
      <c r="K5" s="429"/>
      <c r="L5" s="506" t="n">
        <f aca="false">(F5/(1-H5))+I5+J5</f>
        <v>1.89937704883672</v>
      </c>
      <c r="M5" s="429"/>
      <c r="N5" s="509" t="n">
        <f aca="false">G5*L5</f>
        <v>5143.51304824984</v>
      </c>
    </row>
    <row r="6" customFormat="false" ht="12.75" hidden="false" customHeight="false" outlineLevel="0" collapsed="false">
      <c r="D6" s="504"/>
      <c r="E6" s="504"/>
      <c r="F6" s="510"/>
      <c r="G6" s="511"/>
      <c r="H6" s="504"/>
      <c r="I6" s="504"/>
      <c r="J6" s="504"/>
      <c r="L6" s="510"/>
      <c r="N6" s="504"/>
    </row>
    <row r="7" customFormat="false" ht="12.75" hidden="false" customHeight="false" outlineLevel="0" collapsed="false">
      <c r="D7" s="505" t="s">
        <v>230</v>
      </c>
      <c r="E7" s="505"/>
      <c r="F7" s="506" t="n">
        <f aca="false">'Input Gas Prices'!B9</f>
        <v>1.78</v>
      </c>
      <c r="G7" s="507" t="n">
        <v>3983</v>
      </c>
      <c r="H7" s="508" t="n">
        <v>0.0423</v>
      </c>
      <c r="I7" s="505" t="n">
        <v>0.0277</v>
      </c>
      <c r="J7" s="505" t="n">
        <v>0.025</v>
      </c>
      <c r="K7" s="429"/>
      <c r="L7" s="506" t="n">
        <f aca="false">(F7/(1-H7))+I7+J7</f>
        <v>1.91131960948105</v>
      </c>
      <c r="M7" s="429"/>
      <c r="N7" s="509" t="n">
        <f aca="false">G7*L7</f>
        <v>7612.78600456302</v>
      </c>
    </row>
    <row r="8" customFormat="false" ht="12.75" hidden="false" customHeight="false" outlineLevel="0" collapsed="false">
      <c r="D8" s="504"/>
      <c r="E8" s="504"/>
      <c r="F8" s="510"/>
      <c r="G8" s="511"/>
      <c r="H8" s="504"/>
      <c r="I8" s="504"/>
      <c r="J8" s="504"/>
      <c r="L8" s="510"/>
      <c r="N8" s="504"/>
    </row>
    <row r="9" customFormat="false" ht="12.75" hidden="false" customHeight="false" outlineLevel="0" collapsed="false">
      <c r="D9" s="505" t="s">
        <v>231</v>
      </c>
      <c r="E9" s="505"/>
      <c r="F9" s="506" t="n">
        <f aca="false">'Input Gas Prices'!B10</f>
        <v>1.86</v>
      </c>
      <c r="G9" s="507" t="n">
        <v>9239</v>
      </c>
      <c r="H9" s="508" t="n">
        <v>0.0381</v>
      </c>
      <c r="I9" s="505" t="n">
        <v>0.0251</v>
      </c>
      <c r="J9" s="505" t="n">
        <v>0.025</v>
      </c>
      <c r="K9" s="429"/>
      <c r="L9" s="506" t="n">
        <f aca="false">(F9/(1-H9))+I9+J9</f>
        <v>1.98377293897495</v>
      </c>
      <c r="M9" s="429"/>
      <c r="N9" s="509" t="n">
        <f aca="false">G9*L9</f>
        <v>18328.0781831895</v>
      </c>
    </row>
    <row r="10" customFormat="false" ht="13.5" hidden="false" customHeight="false" outlineLevel="0" collapsed="false">
      <c r="G10" s="512"/>
    </row>
    <row r="11" customFormat="false" ht="16.5" hidden="false" customHeight="false" outlineLevel="0" collapsed="false">
      <c r="G11" s="513" t="n">
        <f aca="false">SUM(G5:G10)</f>
        <v>15930</v>
      </c>
      <c r="J11" s="514"/>
      <c r="N11" s="515" t="n">
        <f aca="false">SUM(N5:N10)</f>
        <v>31084.3772360024</v>
      </c>
      <c r="P11" s="516" t="n">
        <f aca="false">N11/G11</f>
        <v>1.95131056095432</v>
      </c>
      <c r="Q11" s="517" t="s">
        <v>232</v>
      </c>
    </row>
    <row r="12" customFormat="false" ht="14.25" hidden="false" customHeight="false" outlineLevel="0" collapsed="false"/>
    <row r="13" customFormat="false" ht="14.25" hidden="false" customHeight="false" outlineLevel="0" collapsed="false">
      <c r="F13" s="7" t="s">
        <v>233</v>
      </c>
      <c r="J13" s="518" t="s">
        <v>234</v>
      </c>
      <c r="K13" s="519"/>
      <c r="L13" s="520" t="s">
        <v>235</v>
      </c>
      <c r="M13" s="519"/>
      <c r="N13" s="521" t="s">
        <v>236</v>
      </c>
    </row>
    <row r="14" customFormat="false" ht="12.75" hidden="false" customHeight="false" outlineLevel="0" collapsed="false">
      <c r="D14" s="522" t="n">
        <f aca="false">B2</f>
        <v>37165</v>
      </c>
      <c r="F14" s="523" t="n">
        <f aca="false">P11</f>
        <v>1.95131056095432</v>
      </c>
      <c r="G14" s="348" t="n">
        <v>15771</v>
      </c>
      <c r="H14" s="524" t="n">
        <f aca="false">F14*G14</f>
        <v>30774.1188568106</v>
      </c>
      <c r="J14" s="525" t="n">
        <f aca="false">IF('VNG Sheet'!AQ15&lt;='VNG Sheet'!$AQ$2,'VNG Sheet'!$AQ$2-'VNG Sheet'!AQ15,0)</f>
        <v>0</v>
      </c>
      <c r="K14" s="17"/>
      <c r="L14" s="526" t="n">
        <f aca="false">'Input Gas Prices'!B$26</f>
        <v>2.025</v>
      </c>
      <c r="M14" s="17"/>
      <c r="N14" s="527" t="n">
        <f aca="false">J14*L14</f>
        <v>0</v>
      </c>
    </row>
    <row r="15" customFormat="false" ht="12.75" hidden="false" customHeight="false" outlineLevel="0" collapsed="false">
      <c r="D15" s="522" t="n">
        <f aca="false">D14+1</f>
        <v>37166</v>
      </c>
      <c r="F15" s="523" t="n">
        <f aca="false">F14</f>
        <v>1.95131056095432</v>
      </c>
      <c r="G15" s="348" t="n">
        <v>15771</v>
      </c>
      <c r="H15" s="524" t="n">
        <f aca="false">F15*G15</f>
        <v>30774.1188568106</v>
      </c>
      <c r="J15" s="528" t="n">
        <f aca="false">IF('VNG Sheet'!AQ16&lt;='VNG Sheet'!$AQ$2,'VNG Sheet'!$AQ$2-'VNG Sheet'!AQ16,0)</f>
        <v>0</v>
      </c>
      <c r="K15" s="17"/>
      <c r="L15" s="526" t="n">
        <f aca="false">'Input Gas Prices'!C$26</f>
        <v>1.93</v>
      </c>
      <c r="M15" s="17"/>
      <c r="N15" s="527" t="n">
        <f aca="false">J15*L15</f>
        <v>0</v>
      </c>
    </row>
    <row r="16" customFormat="false" ht="12.75" hidden="false" customHeight="false" outlineLevel="0" collapsed="false">
      <c r="D16" s="522" t="n">
        <f aca="false">D15+1</f>
        <v>37167</v>
      </c>
      <c r="F16" s="523" t="n">
        <f aca="false">F15</f>
        <v>1.95131056095432</v>
      </c>
      <c r="G16" s="348" t="n">
        <v>15771</v>
      </c>
      <c r="H16" s="524" t="n">
        <f aca="false">F16*G16</f>
        <v>30774.1188568106</v>
      </c>
      <c r="J16" s="528" t="n">
        <f aca="false">IF('VNG Sheet'!AQ17&lt;='VNG Sheet'!$AQ$2,'VNG Sheet'!$AQ$2-'VNG Sheet'!AQ17,0)</f>
        <v>0</v>
      </c>
      <c r="K16" s="17"/>
      <c r="L16" s="526" t="n">
        <f aca="false">'Input Gas Prices'!D$26</f>
        <v>1.93</v>
      </c>
      <c r="M16" s="17"/>
      <c r="N16" s="527" t="n">
        <f aca="false">J16*L16</f>
        <v>0</v>
      </c>
    </row>
    <row r="17" customFormat="false" ht="12.75" hidden="false" customHeight="false" outlineLevel="0" collapsed="false">
      <c r="D17" s="522" t="n">
        <f aca="false">D16+1</f>
        <v>37168</v>
      </c>
      <c r="F17" s="523" t="n">
        <f aca="false">F16</f>
        <v>1.95131056095432</v>
      </c>
      <c r="G17" s="348" t="n">
        <v>15771</v>
      </c>
      <c r="H17" s="524" t="n">
        <f aca="false">F17*G17</f>
        <v>30774.1188568106</v>
      </c>
      <c r="J17" s="528" t="n">
        <f aca="false">IF('VNG Sheet'!AQ18&lt;='VNG Sheet'!$AQ$2,'VNG Sheet'!$AQ$2-'VNG Sheet'!AQ18,0)</f>
        <v>0</v>
      </c>
      <c r="K17" s="17"/>
      <c r="L17" s="526" t="n">
        <f aca="false">'Input Gas Prices'!E$26</f>
        <v>2.105</v>
      </c>
      <c r="M17" s="17"/>
      <c r="N17" s="527" t="n">
        <f aca="false">J17*L17</f>
        <v>0</v>
      </c>
    </row>
    <row r="18" customFormat="false" ht="12.75" hidden="false" customHeight="false" outlineLevel="0" collapsed="false">
      <c r="D18" s="522" t="n">
        <f aca="false">D17+1</f>
        <v>37169</v>
      </c>
      <c r="F18" s="523" t="n">
        <f aca="false">F17</f>
        <v>1.95131056095432</v>
      </c>
      <c r="G18" s="348" t="n">
        <v>15771</v>
      </c>
      <c r="H18" s="524" t="n">
        <f aca="false">F18*G18</f>
        <v>30774.1188568106</v>
      </c>
      <c r="J18" s="528" t="n">
        <f aca="false">IF('VNG Sheet'!AQ19&lt;='VNG Sheet'!$AQ$2,'VNG Sheet'!$AQ$2-'VNG Sheet'!AQ19,0)</f>
        <v>0</v>
      </c>
      <c r="K18" s="17"/>
      <c r="L18" s="526" t="n">
        <f aca="false">'Input Gas Prices'!F$26</f>
        <v>2.275</v>
      </c>
      <c r="M18" s="17"/>
      <c r="N18" s="527" t="n">
        <f aca="false">J18*L18</f>
        <v>0</v>
      </c>
    </row>
    <row r="19" customFormat="false" ht="12.75" hidden="false" customHeight="false" outlineLevel="0" collapsed="false">
      <c r="D19" s="522" t="n">
        <f aca="false">D18+1</f>
        <v>37170</v>
      </c>
      <c r="F19" s="523" t="n">
        <f aca="false">F18</f>
        <v>1.95131056095432</v>
      </c>
      <c r="G19" s="348" t="n">
        <v>15771</v>
      </c>
      <c r="H19" s="524" t="n">
        <f aca="false">F19*G19</f>
        <v>30774.1188568106</v>
      </c>
      <c r="J19" s="528" t="n">
        <f aca="false">IF('VNG Sheet'!AQ20&lt;='VNG Sheet'!$AQ$2,'VNG Sheet'!$AQ$2-'VNG Sheet'!AQ20,0)</f>
        <v>0</v>
      </c>
      <c r="K19" s="17"/>
      <c r="L19" s="526" t="n">
        <f aca="false">'Input Gas Prices'!G$26</f>
        <v>2.305</v>
      </c>
      <c r="M19" s="17"/>
      <c r="N19" s="527" t="n">
        <f aca="false">J19*L19</f>
        <v>0</v>
      </c>
    </row>
    <row r="20" customFormat="false" ht="12.75" hidden="false" customHeight="false" outlineLevel="0" collapsed="false">
      <c r="D20" s="522" t="n">
        <f aca="false">D19+1</f>
        <v>37171</v>
      </c>
      <c r="F20" s="523" t="n">
        <f aca="false">F19</f>
        <v>1.95131056095432</v>
      </c>
      <c r="G20" s="348" t="n">
        <v>15771</v>
      </c>
      <c r="H20" s="524" t="n">
        <f aca="false">F20*G20</f>
        <v>30774.1188568106</v>
      </c>
      <c r="J20" s="528" t="n">
        <f aca="false">IF('VNG Sheet'!AQ21&lt;='VNG Sheet'!$AQ$2,'VNG Sheet'!$AQ$2-'VNG Sheet'!AQ21,0)</f>
        <v>0</v>
      </c>
      <c r="K20" s="17"/>
      <c r="L20" s="526" t="n">
        <f aca="false">'Input Gas Prices'!H$26</f>
        <v>2.305</v>
      </c>
      <c r="M20" s="17"/>
      <c r="N20" s="527" t="n">
        <f aca="false">J20*L20</f>
        <v>0</v>
      </c>
    </row>
    <row r="21" customFormat="false" ht="12.75" hidden="false" customHeight="false" outlineLevel="0" collapsed="false">
      <c r="D21" s="522" t="n">
        <f aca="false">D20+1</f>
        <v>37172</v>
      </c>
      <c r="F21" s="523" t="n">
        <f aca="false">F20</f>
        <v>1.95131056095432</v>
      </c>
      <c r="G21" s="348" t="n">
        <v>15771</v>
      </c>
      <c r="H21" s="524" t="n">
        <f aca="false">F21*G21</f>
        <v>30774.1188568106</v>
      </c>
      <c r="J21" s="528" t="n">
        <f aca="false">IF('VNG Sheet'!AQ22&lt;='VNG Sheet'!$AQ$2,'VNG Sheet'!$AQ$2-'VNG Sheet'!AQ22,0)</f>
        <v>0</v>
      </c>
      <c r="K21" s="17"/>
      <c r="L21" s="526" t="n">
        <f aca="false">'Input Gas Prices'!I$26</f>
        <v>2.305</v>
      </c>
      <c r="M21" s="17"/>
      <c r="N21" s="527" t="n">
        <f aca="false">J21*L21</f>
        <v>0</v>
      </c>
    </row>
    <row r="22" customFormat="false" ht="12.75" hidden="false" customHeight="false" outlineLevel="0" collapsed="false">
      <c r="D22" s="522" t="n">
        <f aca="false">D21+1</f>
        <v>37173</v>
      </c>
      <c r="F22" s="523" t="n">
        <f aca="false">F21</f>
        <v>1.95131056095432</v>
      </c>
      <c r="G22" s="348" t="n">
        <v>15771</v>
      </c>
      <c r="H22" s="524" t="n">
        <f aca="false">F22*G22</f>
        <v>30774.1188568106</v>
      </c>
      <c r="J22" s="528" t="n">
        <f aca="false">IF('VNG Sheet'!AQ23&lt;='VNG Sheet'!$AQ$2,'VNG Sheet'!$AQ$2-'VNG Sheet'!AQ23,0)</f>
        <v>0</v>
      </c>
      <c r="K22" s="17"/>
      <c r="L22" s="526" t="n">
        <f aca="false">'Input Gas Prices'!J$26</f>
        <v>2.245</v>
      </c>
      <c r="M22" s="17"/>
      <c r="N22" s="527" t="n">
        <f aca="false">J22*L22</f>
        <v>0</v>
      </c>
    </row>
    <row r="23" customFormat="false" ht="12.75" hidden="false" customHeight="false" outlineLevel="0" collapsed="false">
      <c r="D23" s="522" t="n">
        <f aca="false">D22+1</f>
        <v>37174</v>
      </c>
      <c r="F23" s="523" t="n">
        <f aca="false">F22</f>
        <v>1.95131056095432</v>
      </c>
      <c r="G23" s="348" t="n">
        <v>15771</v>
      </c>
      <c r="H23" s="524" t="n">
        <f aca="false">F23*G23</f>
        <v>30774.1188568106</v>
      </c>
      <c r="J23" s="528" t="n">
        <f aca="false">IF('VNG Sheet'!AQ24&lt;='VNG Sheet'!$AQ$2,'VNG Sheet'!$AQ$2-'VNG Sheet'!AQ24,0)</f>
        <v>0</v>
      </c>
      <c r="K23" s="17"/>
      <c r="L23" s="526" t="n">
        <f aca="false">'Input Gas Prices'!K$26</f>
        <v>2.29</v>
      </c>
      <c r="M23" s="17"/>
      <c r="N23" s="527" t="n">
        <f aca="false">J23*L23</f>
        <v>0</v>
      </c>
    </row>
    <row r="24" customFormat="false" ht="12.75" hidden="false" customHeight="false" outlineLevel="0" collapsed="false">
      <c r="D24" s="522" t="n">
        <f aca="false">D23+1</f>
        <v>37175</v>
      </c>
      <c r="F24" s="523" t="n">
        <f aca="false">F23</f>
        <v>1.95131056095432</v>
      </c>
      <c r="G24" s="348" t="n">
        <v>15771</v>
      </c>
      <c r="H24" s="524" t="n">
        <f aca="false">F24*G24</f>
        <v>30774.1188568106</v>
      </c>
      <c r="J24" s="528" t="n">
        <f aca="false">IF('VNG Sheet'!AQ25&lt;='VNG Sheet'!$AQ$2,'VNG Sheet'!$AQ$2-'VNG Sheet'!AQ25,0)</f>
        <v>0</v>
      </c>
      <c r="K24" s="17"/>
      <c r="L24" s="526" t="n">
        <f aca="false">'Input Gas Prices'!L$26</f>
        <v>2.35</v>
      </c>
      <c r="M24" s="17"/>
      <c r="N24" s="527" t="n">
        <f aca="false">J24*L24</f>
        <v>0</v>
      </c>
    </row>
    <row r="25" customFormat="false" ht="12.75" hidden="false" customHeight="false" outlineLevel="0" collapsed="false">
      <c r="D25" s="522" t="n">
        <f aca="false">D24+1</f>
        <v>37176</v>
      </c>
      <c r="F25" s="523" t="n">
        <f aca="false">F24</f>
        <v>1.95131056095432</v>
      </c>
      <c r="G25" s="348" t="n">
        <v>15771</v>
      </c>
      <c r="H25" s="524" t="n">
        <f aca="false">F25*G25</f>
        <v>30774.1188568106</v>
      </c>
      <c r="J25" s="528" t="n">
        <f aca="false">IF('VNG Sheet'!AQ26&lt;='VNG Sheet'!$AQ$2,'VNG Sheet'!$AQ$2-'VNG Sheet'!AQ26,0)</f>
        <v>0</v>
      </c>
      <c r="K25" s="17"/>
      <c r="L25" s="526" t="n">
        <f aca="false">'Input Gas Prices'!M$26</f>
        <v>2.48</v>
      </c>
      <c r="M25" s="17"/>
      <c r="N25" s="527" t="n">
        <f aca="false">J25*L25</f>
        <v>0</v>
      </c>
    </row>
    <row r="26" customFormat="false" ht="12.75" hidden="false" customHeight="false" outlineLevel="0" collapsed="false">
      <c r="D26" s="522" t="n">
        <f aca="false">D25+1</f>
        <v>37177</v>
      </c>
      <c r="F26" s="523" t="n">
        <f aca="false">F25</f>
        <v>1.95131056095432</v>
      </c>
      <c r="G26" s="348" t="n">
        <v>15771</v>
      </c>
      <c r="H26" s="524" t="n">
        <f aca="false">F26*G26</f>
        <v>30774.1188568106</v>
      </c>
      <c r="J26" s="528" t="n">
        <f aca="false">IF('VNG Sheet'!AQ27&lt;='VNG Sheet'!$AQ$2,'VNG Sheet'!$AQ$2-'VNG Sheet'!AQ27,0)</f>
        <v>0</v>
      </c>
      <c r="K26" s="17"/>
      <c r="L26" s="526" t="n">
        <f aca="false">'Input Gas Prices'!N$26</f>
        <v>2.415</v>
      </c>
      <c r="M26" s="17"/>
      <c r="N26" s="527" t="n">
        <f aca="false">J26*L26</f>
        <v>0</v>
      </c>
    </row>
    <row r="27" customFormat="false" ht="12.75" hidden="false" customHeight="false" outlineLevel="0" collapsed="false">
      <c r="D27" s="522" t="n">
        <f aca="false">D26+1</f>
        <v>37178</v>
      </c>
      <c r="F27" s="523" t="n">
        <f aca="false">F26</f>
        <v>1.95131056095432</v>
      </c>
      <c r="G27" s="348" t="n">
        <v>15771</v>
      </c>
      <c r="H27" s="524" t="n">
        <f aca="false">F27*G27</f>
        <v>30774.1188568106</v>
      </c>
      <c r="J27" s="528" t="n">
        <f aca="false">IF('VNG Sheet'!AQ28&lt;='VNG Sheet'!$AQ$2,'VNG Sheet'!$AQ$2-'VNG Sheet'!AQ28,0)</f>
        <v>0</v>
      </c>
      <c r="K27" s="17"/>
      <c r="L27" s="526" t="n">
        <f aca="false">'Input Gas Prices'!O$26</f>
        <v>2.415</v>
      </c>
      <c r="M27" s="17"/>
      <c r="N27" s="527" t="n">
        <f aca="false">J27*L27</f>
        <v>0</v>
      </c>
    </row>
    <row r="28" customFormat="false" ht="12.75" hidden="false" customHeight="false" outlineLevel="0" collapsed="false">
      <c r="D28" s="522" t="n">
        <f aca="false">D27+1</f>
        <v>37179</v>
      </c>
      <c r="F28" s="523" t="n">
        <f aca="false">F27</f>
        <v>1.95131056095432</v>
      </c>
      <c r="G28" s="348" t="n">
        <v>15771</v>
      </c>
      <c r="H28" s="524" t="n">
        <f aca="false">F28*G28</f>
        <v>30774.1188568106</v>
      </c>
      <c r="J28" s="528" t="n">
        <f aca="false">IF('VNG Sheet'!AQ29&lt;='VNG Sheet'!$AQ$2,'VNG Sheet'!$AQ$2-'VNG Sheet'!AQ29,0)</f>
        <v>0</v>
      </c>
      <c r="K28" s="17"/>
      <c r="L28" s="526" t="n">
        <f aca="false">'Input Gas Prices'!P$26</f>
        <v>2.415</v>
      </c>
      <c r="M28" s="17"/>
      <c r="N28" s="527" t="n">
        <f aca="false">J28*L28</f>
        <v>0</v>
      </c>
    </row>
    <row r="29" customFormat="false" ht="12.75" hidden="false" customHeight="false" outlineLevel="0" collapsed="false">
      <c r="D29" s="522" t="n">
        <f aca="false">D28+1</f>
        <v>37180</v>
      </c>
      <c r="F29" s="523" t="n">
        <f aca="false">F28</f>
        <v>1.95131056095432</v>
      </c>
      <c r="G29" s="348" t="n">
        <v>15771</v>
      </c>
      <c r="H29" s="524" t="n">
        <f aca="false">F29*G29</f>
        <v>30774.1188568106</v>
      </c>
      <c r="J29" s="528" t="n">
        <f aca="false">IF('VNG Sheet'!AQ30&lt;='VNG Sheet'!$AQ$2,'VNG Sheet'!$AQ$2-'VNG Sheet'!AQ30,0)</f>
        <v>0</v>
      </c>
      <c r="K29" s="17"/>
      <c r="L29" s="526" t="n">
        <f aca="false">'Input Gas Prices'!Q$26</f>
        <v>2.38</v>
      </c>
      <c r="M29" s="17"/>
      <c r="N29" s="527" t="n">
        <f aca="false">J29*L29</f>
        <v>0</v>
      </c>
    </row>
    <row r="30" customFormat="false" ht="12.75" hidden="false" customHeight="false" outlineLevel="0" collapsed="false">
      <c r="D30" s="522" t="n">
        <f aca="false">D29+1</f>
        <v>37181</v>
      </c>
      <c r="F30" s="523" t="n">
        <f aca="false">F29</f>
        <v>1.95131056095432</v>
      </c>
      <c r="G30" s="348" t="n">
        <v>15771</v>
      </c>
      <c r="H30" s="524" t="n">
        <f aca="false">F30*G30</f>
        <v>30774.1188568106</v>
      </c>
      <c r="J30" s="528" t="n">
        <f aca="false">IF('VNG Sheet'!AQ31&lt;='VNG Sheet'!$AQ$2,'VNG Sheet'!$AQ$2-'VNG Sheet'!AQ31,0)</f>
        <v>0</v>
      </c>
      <c r="K30" s="17"/>
      <c r="L30" s="526" t="n">
        <f aca="false">'Input Gas Prices'!R$26</f>
        <v>2.65</v>
      </c>
      <c r="M30" s="17"/>
      <c r="N30" s="527" t="n">
        <f aca="false">J30*L30</f>
        <v>0</v>
      </c>
    </row>
    <row r="31" customFormat="false" ht="12.75" hidden="false" customHeight="false" outlineLevel="0" collapsed="false">
      <c r="D31" s="522" t="n">
        <f aca="false">D30+1</f>
        <v>37182</v>
      </c>
      <c r="F31" s="523" t="n">
        <f aca="false">F30</f>
        <v>1.95131056095432</v>
      </c>
      <c r="G31" s="348" t="n">
        <v>15771</v>
      </c>
      <c r="H31" s="524" t="n">
        <f aca="false">F31*G31</f>
        <v>30774.1188568106</v>
      </c>
      <c r="J31" s="528" t="n">
        <f aca="false">IF('VNG Sheet'!AQ32&lt;='VNG Sheet'!$AQ$2,'VNG Sheet'!$AQ$2-'VNG Sheet'!AQ32,0)</f>
        <v>0</v>
      </c>
      <c r="K31" s="17"/>
      <c r="L31" s="526" t="n">
        <f aca="false">'Input Gas Prices'!S$26</f>
        <v>2.81</v>
      </c>
      <c r="M31" s="17"/>
      <c r="N31" s="527" t="n">
        <f aca="false">J31*L31</f>
        <v>0</v>
      </c>
    </row>
    <row r="32" customFormat="false" ht="12.75" hidden="false" customHeight="false" outlineLevel="0" collapsed="false">
      <c r="D32" s="522" t="n">
        <f aca="false">D31+1</f>
        <v>37183</v>
      </c>
      <c r="F32" s="523" t="n">
        <f aca="false">F31</f>
        <v>1.95131056095432</v>
      </c>
      <c r="G32" s="348" t="n">
        <v>15771</v>
      </c>
      <c r="H32" s="524" t="n">
        <f aca="false">F32*G32</f>
        <v>30774.1188568106</v>
      </c>
      <c r="J32" s="528" t="n">
        <f aca="false">IF('VNG Sheet'!AQ33&lt;='VNG Sheet'!$AQ$2,'VNG Sheet'!$AQ$2-'VNG Sheet'!AQ33,0)</f>
        <v>0</v>
      </c>
      <c r="K32" s="17"/>
      <c r="L32" s="526" t="n">
        <f aca="false">'Input Gas Prices'!T$26</f>
        <v>2.55</v>
      </c>
      <c r="M32" s="17"/>
      <c r="N32" s="527" t="n">
        <f aca="false">J32*L32</f>
        <v>0</v>
      </c>
    </row>
    <row r="33" customFormat="false" ht="12.75" hidden="false" customHeight="false" outlineLevel="0" collapsed="false">
      <c r="D33" s="522" t="n">
        <f aca="false">D32+1</f>
        <v>37184</v>
      </c>
      <c r="F33" s="523" t="n">
        <f aca="false">F32</f>
        <v>1.95131056095432</v>
      </c>
      <c r="G33" s="348" t="n">
        <v>15771</v>
      </c>
      <c r="H33" s="524" t="n">
        <f aca="false">F33*G33</f>
        <v>30774.1188568106</v>
      </c>
      <c r="J33" s="528" t="n">
        <f aca="false">IF('VNG Sheet'!AQ34&lt;='VNG Sheet'!$AQ$2,'VNG Sheet'!$AQ$2-'VNG Sheet'!AQ34,0)</f>
        <v>0</v>
      </c>
      <c r="K33" s="17"/>
      <c r="L33" s="526" t="n">
        <f aca="false">'Input Gas Prices'!U$26</f>
        <v>2.445</v>
      </c>
      <c r="M33" s="17"/>
      <c r="N33" s="527" t="n">
        <f aca="false">J33*L33</f>
        <v>0</v>
      </c>
    </row>
    <row r="34" customFormat="false" ht="12.75" hidden="false" customHeight="false" outlineLevel="0" collapsed="false">
      <c r="D34" s="522" t="n">
        <f aca="false">D33+1</f>
        <v>37185</v>
      </c>
      <c r="F34" s="523" t="n">
        <f aca="false">F33</f>
        <v>1.95131056095432</v>
      </c>
      <c r="G34" s="348" t="n">
        <v>15771</v>
      </c>
      <c r="H34" s="524" t="n">
        <f aca="false">F34*G34</f>
        <v>30774.1188568106</v>
      </c>
      <c r="J34" s="528" t="n">
        <f aca="false">IF('VNG Sheet'!AQ35&lt;='VNG Sheet'!$AQ$2,'VNG Sheet'!$AQ$2-'VNG Sheet'!AQ35,0)</f>
        <v>0</v>
      </c>
      <c r="K34" s="17"/>
      <c r="L34" s="526" t="n">
        <f aca="false">'Input Gas Prices'!V$26</f>
        <v>2.445</v>
      </c>
      <c r="M34" s="17"/>
      <c r="N34" s="527" t="n">
        <f aca="false">J34*L34</f>
        <v>0</v>
      </c>
    </row>
    <row r="35" customFormat="false" ht="12.75" hidden="false" customHeight="false" outlineLevel="0" collapsed="false">
      <c r="D35" s="522" t="n">
        <f aca="false">D34+1</f>
        <v>37186</v>
      </c>
      <c r="F35" s="523" t="n">
        <f aca="false">F34</f>
        <v>1.95131056095432</v>
      </c>
      <c r="G35" s="348" t="n">
        <v>15771</v>
      </c>
      <c r="H35" s="524" t="n">
        <f aca="false">F35*G35</f>
        <v>30774.1188568106</v>
      </c>
      <c r="J35" s="528" t="n">
        <f aca="false">IF('VNG Sheet'!AQ36&lt;='VNG Sheet'!$AQ$2,'VNG Sheet'!$AQ$2-'VNG Sheet'!AQ36,0)</f>
        <v>0</v>
      </c>
      <c r="K35" s="17"/>
      <c r="L35" s="526" t="n">
        <f aca="false">'Input Gas Prices'!W$26</f>
        <v>2.445</v>
      </c>
      <c r="M35" s="17"/>
      <c r="N35" s="527" t="n">
        <f aca="false">J35*L35</f>
        <v>0</v>
      </c>
    </row>
    <row r="36" customFormat="false" ht="12.75" hidden="false" customHeight="false" outlineLevel="0" collapsed="false">
      <c r="D36" s="522" t="n">
        <f aca="false">D35+1</f>
        <v>37187</v>
      </c>
      <c r="F36" s="523" t="n">
        <f aca="false">F35</f>
        <v>1.95131056095432</v>
      </c>
      <c r="G36" s="348" t="n">
        <v>15771</v>
      </c>
      <c r="H36" s="524" t="n">
        <f aca="false">F36*G36</f>
        <v>30774.1188568106</v>
      </c>
      <c r="J36" s="528" t="n">
        <f aca="false">IF('VNG Sheet'!AQ37&lt;='VNG Sheet'!$AQ$2,'VNG Sheet'!$AQ$2-'VNG Sheet'!AQ37,0)</f>
        <v>0</v>
      </c>
      <c r="K36" s="17"/>
      <c r="L36" s="526" t="n">
        <f aca="false">'Input Gas Prices'!X$26</f>
        <v>2.745</v>
      </c>
      <c r="M36" s="17"/>
      <c r="N36" s="527" t="n">
        <f aca="false">J36*L36</f>
        <v>0</v>
      </c>
    </row>
    <row r="37" customFormat="false" ht="12.75" hidden="false" customHeight="false" outlineLevel="0" collapsed="false">
      <c r="D37" s="522" t="n">
        <f aca="false">D36+1</f>
        <v>37188</v>
      </c>
      <c r="F37" s="523" t="n">
        <f aca="false">F36</f>
        <v>1.95131056095432</v>
      </c>
      <c r="G37" s="348" t="n">
        <v>15771</v>
      </c>
      <c r="H37" s="524" t="n">
        <f aca="false">F37*G37</f>
        <v>30774.1188568106</v>
      </c>
      <c r="J37" s="528" t="n">
        <f aca="false">IF('VNG Sheet'!AQ38&lt;='VNG Sheet'!$AQ$2,'VNG Sheet'!$AQ$2-'VNG Sheet'!AQ38,0)</f>
        <v>0</v>
      </c>
      <c r="K37" s="17"/>
      <c r="L37" s="526" t="n">
        <f aca="false">'Input Gas Prices'!Y$26</f>
        <v>2.945</v>
      </c>
      <c r="M37" s="17"/>
      <c r="N37" s="527" t="n">
        <f aca="false">J37*L37</f>
        <v>0</v>
      </c>
    </row>
    <row r="38" customFormat="false" ht="12.75" hidden="false" customHeight="false" outlineLevel="0" collapsed="false">
      <c r="D38" s="522" t="n">
        <f aca="false">D37+1</f>
        <v>37189</v>
      </c>
      <c r="F38" s="523" t="n">
        <f aca="false">F37</f>
        <v>1.95131056095432</v>
      </c>
      <c r="G38" s="348" t="n">
        <v>15771</v>
      </c>
      <c r="H38" s="524" t="n">
        <f aca="false">F38*G38</f>
        <v>30774.1188568106</v>
      </c>
      <c r="J38" s="528" t="n">
        <f aca="false">IF('VNG Sheet'!AQ39&lt;='VNG Sheet'!$AQ$2,'VNG Sheet'!$AQ$2-'VNG Sheet'!AQ39,0)</f>
        <v>0</v>
      </c>
      <c r="K38" s="17"/>
      <c r="L38" s="526" t="n">
        <f aca="false">'Input Gas Prices'!Z$26</f>
        <v>2.88</v>
      </c>
      <c r="M38" s="17"/>
      <c r="N38" s="527" t="n">
        <f aca="false">J38*L38</f>
        <v>0</v>
      </c>
    </row>
    <row r="39" customFormat="false" ht="12.75" hidden="false" customHeight="false" outlineLevel="0" collapsed="false">
      <c r="D39" s="522" t="n">
        <f aca="false">D38+1</f>
        <v>37190</v>
      </c>
      <c r="F39" s="523" t="n">
        <f aca="false">F38</f>
        <v>1.95131056095432</v>
      </c>
      <c r="G39" s="348" t="n">
        <v>15771</v>
      </c>
      <c r="H39" s="524" t="n">
        <f aca="false">F39*G39</f>
        <v>30774.1188568106</v>
      </c>
      <c r="J39" s="528" t="n">
        <f aca="false">IF('VNG Sheet'!AQ40&lt;='VNG Sheet'!$AQ$2,'VNG Sheet'!$AQ$2-'VNG Sheet'!AQ40,0)</f>
        <v>0</v>
      </c>
      <c r="K39" s="17"/>
      <c r="L39" s="526" t="n">
        <f aca="false">'Input Gas Prices'!AA$26</f>
        <v>3.465</v>
      </c>
      <c r="M39" s="17"/>
      <c r="N39" s="527" t="n">
        <f aca="false">J39*L39</f>
        <v>0</v>
      </c>
    </row>
    <row r="40" customFormat="false" ht="12.75" hidden="false" customHeight="false" outlineLevel="0" collapsed="false">
      <c r="D40" s="522" t="n">
        <f aca="false">D39+1</f>
        <v>37191</v>
      </c>
      <c r="F40" s="523" t="n">
        <f aca="false">F39</f>
        <v>1.95131056095432</v>
      </c>
      <c r="G40" s="348" t="n">
        <v>15771</v>
      </c>
      <c r="H40" s="524" t="n">
        <f aca="false">F40*G40</f>
        <v>30774.1188568106</v>
      </c>
      <c r="J40" s="528" t="n">
        <f aca="false">IF('VNG Sheet'!AQ41&lt;='VNG Sheet'!$AQ$2,'VNG Sheet'!$AQ$2-'VNG Sheet'!AQ41,0)</f>
        <v>0</v>
      </c>
      <c r="K40" s="17"/>
      <c r="L40" s="526" t="n">
        <f aca="false">'Input Gas Prices'!AB$26</f>
        <v>3.415</v>
      </c>
      <c r="M40" s="17"/>
      <c r="N40" s="527" t="n">
        <f aca="false">J40*L40</f>
        <v>0</v>
      </c>
    </row>
    <row r="41" customFormat="false" ht="12.75" hidden="false" customHeight="false" outlineLevel="0" collapsed="false">
      <c r="D41" s="522" t="n">
        <f aca="false">D40+1</f>
        <v>37192</v>
      </c>
      <c r="F41" s="523" t="n">
        <f aca="false">F40</f>
        <v>1.95131056095432</v>
      </c>
      <c r="G41" s="348" t="n">
        <v>15771</v>
      </c>
      <c r="H41" s="524" t="n">
        <f aca="false">F41*G41</f>
        <v>30774.1188568106</v>
      </c>
      <c r="J41" s="528" t="n">
        <f aca="false">IF('VNG Sheet'!AQ42&lt;='VNG Sheet'!$AQ$2,'VNG Sheet'!$AQ$2-'VNG Sheet'!AQ42,0)</f>
        <v>0</v>
      </c>
      <c r="K41" s="17"/>
      <c r="L41" s="526" t="n">
        <f aca="false">'Input Gas Prices'!AC$26</f>
        <v>3.415</v>
      </c>
      <c r="M41" s="17"/>
      <c r="N41" s="527" t="n">
        <f aca="false">J41*L41</f>
        <v>0</v>
      </c>
    </row>
    <row r="42" customFormat="false" ht="12.75" hidden="false" customHeight="false" outlineLevel="0" collapsed="false">
      <c r="D42" s="522" t="n">
        <f aca="false">D41+1</f>
        <v>37193</v>
      </c>
      <c r="F42" s="523" t="n">
        <f aca="false">F41</f>
        <v>1.95131056095432</v>
      </c>
      <c r="G42" s="348" t="n">
        <v>15771</v>
      </c>
      <c r="H42" s="524" t="n">
        <f aca="false">F42*G42</f>
        <v>30774.1188568106</v>
      </c>
      <c r="J42" s="528" t="n">
        <f aca="false">IF('VNG Sheet'!AQ43&lt;='VNG Sheet'!$AQ$2,'VNG Sheet'!$AQ$2-'VNG Sheet'!AQ43,0)</f>
        <v>0</v>
      </c>
      <c r="K42" s="17"/>
      <c r="L42" s="526" t="n">
        <f aca="false">'Input Gas Prices'!AD$26</f>
        <v>3.415</v>
      </c>
      <c r="M42" s="17"/>
      <c r="N42" s="527" t="n">
        <f aca="false">J42*L42</f>
        <v>0</v>
      </c>
    </row>
    <row r="43" customFormat="false" ht="12.75" hidden="false" customHeight="false" outlineLevel="0" collapsed="false">
      <c r="D43" s="522" t="n">
        <f aca="false">D42+1</f>
        <v>37194</v>
      </c>
      <c r="F43" s="523" t="n">
        <f aca="false">F42</f>
        <v>1.95131056095432</v>
      </c>
      <c r="G43" s="348" t="n">
        <v>15771</v>
      </c>
      <c r="H43" s="524" t="n">
        <f aca="false">F43*G43</f>
        <v>30774.1188568106</v>
      </c>
      <c r="J43" s="529" t="n">
        <f aca="false">IF('VNG Sheet'!AQ44&lt;='VNG Sheet'!$AQ$2,'VNG Sheet'!$AQ$2-'VNG Sheet'!AQ44,0)</f>
        <v>0</v>
      </c>
      <c r="K43" s="17"/>
      <c r="L43" s="526" t="n">
        <f aca="false">'Input Gas Prices'!AE$26</f>
        <v>3.585</v>
      </c>
      <c r="M43" s="17"/>
      <c r="N43" s="527" t="n">
        <f aca="false">J43*L43</f>
        <v>0</v>
      </c>
    </row>
    <row r="44" customFormat="false" ht="12.75" hidden="false" customHeight="false" outlineLevel="0" collapsed="false">
      <c r="D44" s="522" t="n">
        <f aca="false">D43+1</f>
        <v>37195</v>
      </c>
      <c r="F44" s="523" t="n">
        <f aca="false">F43</f>
        <v>1.95131056095432</v>
      </c>
      <c r="G44" s="348" t="n">
        <v>15771</v>
      </c>
      <c r="H44" s="524" t="n">
        <f aca="false">F44*G44</f>
        <v>30774.1188568106</v>
      </c>
      <c r="J44" s="529" t="n">
        <f aca="false">IF('VNG Sheet'!AQ45&lt;='VNG Sheet'!$AQ$2,'VNG Sheet'!$AQ$2-'VNG Sheet'!AQ45,0)</f>
        <v>0</v>
      </c>
      <c r="K44" s="17"/>
      <c r="L44" s="526" t="n">
        <f aca="false">'Input Gas Prices'!AE$26</f>
        <v>3.585</v>
      </c>
      <c r="M44" s="17"/>
      <c r="N44" s="527" t="n">
        <f aca="false">J44*L44</f>
        <v>0</v>
      </c>
    </row>
    <row r="45" customFormat="false" ht="12.75" hidden="false" customHeight="false" outlineLevel="0" collapsed="false">
      <c r="D45" s="522"/>
      <c r="J45" s="530"/>
      <c r="K45" s="17"/>
      <c r="L45" s="17"/>
      <c r="M45" s="17"/>
      <c r="N45" s="531"/>
    </row>
    <row r="46" customFormat="false" ht="13.5" hidden="false" customHeight="false" outlineLevel="0" collapsed="false">
      <c r="D46" s="522"/>
      <c r="F46" s="532" t="n">
        <f aca="false">P11</f>
        <v>1.95131056095432</v>
      </c>
      <c r="G46" s="513" t="n">
        <f aca="false">SUM(G14:G45)</f>
        <v>488901</v>
      </c>
      <c r="H46" s="515" t="n">
        <f aca="false">SUM(H14:H45)</f>
        <v>953997.68456113</v>
      </c>
      <c r="J46" s="533" t="n">
        <f aca="false">SUM(J14:J45)</f>
        <v>0</v>
      </c>
      <c r="K46" s="534"/>
      <c r="L46" s="535"/>
      <c r="M46" s="534"/>
      <c r="N46" s="536" t="n">
        <f aca="false">SUM(N14:N45)</f>
        <v>0</v>
      </c>
    </row>
    <row r="47" customFormat="false" ht="13.5" hidden="false" customHeight="false" outlineLevel="0" collapsed="false">
      <c r="D47" s="522"/>
    </row>
    <row r="48" customFormat="false" ht="12.75" hidden="false" customHeight="false" outlineLevel="0" collapsed="false">
      <c r="D48" s="522"/>
    </row>
    <row r="49" customFormat="false" ht="12.75" hidden="false" customHeight="false" outlineLevel="0" collapsed="false">
      <c r="D49" s="522"/>
    </row>
    <row r="50" customFormat="false" ht="12.75" hidden="false" customHeight="false" outlineLevel="0" collapsed="false">
      <c r="D50" s="522"/>
    </row>
    <row r="51" customFormat="false" ht="12.75" hidden="false" customHeight="false" outlineLevel="0" collapsed="false">
      <c r="D51" s="522"/>
    </row>
    <row r="52" customFormat="false" ht="12.75" hidden="false" customHeight="false" outlineLevel="0" collapsed="false">
      <c r="D52" s="522"/>
    </row>
    <row r="53" customFormat="false" ht="12.75" hidden="false" customHeight="false" outlineLevel="0" collapsed="false">
      <c r="D53" s="5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20" activeCellId="0" sqref="D20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266" width="23.41"/>
    <col collapsed="false" customWidth="true" hidden="false" outlineLevel="0" max="2" min="2" style="317" width="20.85"/>
    <col collapsed="false" customWidth="true" hidden="false" outlineLevel="0" max="3" min="3" style="317" width="12.42"/>
    <col collapsed="false" customWidth="true" hidden="false" outlineLevel="0" max="4" min="4" style="266" width="12.85"/>
    <col collapsed="false" customWidth="true" hidden="false" outlineLevel="0" max="5" min="5" style="266" width="24.7"/>
    <col collapsed="false" customWidth="true" hidden="false" outlineLevel="0" max="6" min="6" style="266" width="15.41"/>
    <col collapsed="false" customWidth="true" hidden="false" outlineLevel="0" max="7" min="7" style="266" width="12.85"/>
    <col collapsed="false" customWidth="false" hidden="false" outlineLevel="0" max="8" min="8" style="266" width="16.13"/>
    <col collapsed="false" customWidth="true" hidden="false" outlineLevel="0" max="9" min="9" style="266" width="20.13"/>
    <col collapsed="false" customWidth="true" hidden="false" outlineLevel="0" max="10" min="10" style="266" width="14.85"/>
    <col collapsed="false" customWidth="true" hidden="false" outlineLevel="0" max="11" min="11" style="266" width="10.41"/>
    <col collapsed="false" customWidth="false" hidden="false" outlineLevel="0" max="12" min="12" style="266" width="16.13"/>
    <col collapsed="false" customWidth="true" hidden="false" outlineLevel="0" max="13" min="13" style="266" width="19.14"/>
    <col collapsed="false" customWidth="true" hidden="false" outlineLevel="0" max="14" min="14" style="266" width="15.13"/>
    <col collapsed="false" customWidth="true" hidden="false" outlineLevel="0" max="15" min="15" style="266" width="11.42"/>
    <col collapsed="false" customWidth="true" hidden="false" outlineLevel="0" max="16" min="16" style="266" width="18.85"/>
    <col collapsed="false" customWidth="false" hidden="false" outlineLevel="0" max="257" min="17" style="266" width="16.13"/>
  </cols>
  <sheetData>
    <row r="2" customFormat="false" ht="12.75" hidden="false" customHeight="false" outlineLevel="0" collapsed="false">
      <c r="A2" s="267"/>
      <c r="C2" s="537"/>
    </row>
    <row r="3" customFormat="false" ht="15.75" hidden="false" customHeight="false" outlineLevel="0" collapsed="false">
      <c r="A3" s="538" t="s">
        <v>237</v>
      </c>
      <c r="B3" s="539"/>
      <c r="C3" s="540"/>
      <c r="F3" s="505" t="s">
        <v>238</v>
      </c>
      <c r="G3" s="541"/>
    </row>
    <row r="4" customFormat="false" ht="12.75" hidden="false" customHeight="false" outlineLevel="0" collapsed="false">
      <c r="Q4" s="266" t="s">
        <v>239</v>
      </c>
    </row>
    <row r="5" customFormat="false" ht="15.75" hidden="false" customHeight="false" outlineLevel="0" collapsed="false">
      <c r="A5" s="267" t="s">
        <v>240</v>
      </c>
      <c r="B5" s="542" t="n">
        <v>37135</v>
      </c>
      <c r="C5" s="543" t="n">
        <f aca="false">R25</f>
        <v>2.05151701455319</v>
      </c>
    </row>
    <row r="6" customFormat="false" ht="12.75" hidden="false" customHeight="false" outlineLevel="0" collapsed="false">
      <c r="A6" s="267"/>
      <c r="B6" s="544"/>
      <c r="C6" s="544"/>
      <c r="E6" s="269" t="s">
        <v>241</v>
      </c>
      <c r="I6" s="269" t="s">
        <v>242</v>
      </c>
      <c r="M6" s="269" t="s">
        <v>243</v>
      </c>
    </row>
    <row r="8" customFormat="false" ht="54" hidden="false" customHeight="true" outlineLevel="0" collapsed="false">
      <c r="A8" s="267" t="s">
        <v>244</v>
      </c>
      <c r="B8" s="315" t="s">
        <v>120</v>
      </c>
      <c r="C8" s="545" t="s">
        <v>245</v>
      </c>
      <c r="D8" s="545" t="s">
        <v>246</v>
      </c>
      <c r="E8" s="546" t="s">
        <v>247</v>
      </c>
      <c r="F8" s="547" t="s">
        <v>248</v>
      </c>
      <c r="G8" s="547" t="s">
        <v>249</v>
      </c>
      <c r="H8" s="547" t="s">
        <v>250</v>
      </c>
      <c r="I8" s="546" t="s">
        <v>247</v>
      </c>
      <c r="J8" s="547" t="s">
        <v>248</v>
      </c>
      <c r="K8" s="547" t="s">
        <v>249</v>
      </c>
      <c r="L8" s="547" t="s">
        <v>250</v>
      </c>
      <c r="M8" s="546" t="s">
        <v>247</v>
      </c>
      <c r="N8" s="547" t="s">
        <v>248</v>
      </c>
      <c r="O8" s="547" t="s">
        <v>249</v>
      </c>
      <c r="P8" s="547" t="s">
        <v>250</v>
      </c>
      <c r="Q8" s="547" t="s">
        <v>251</v>
      </c>
      <c r="R8" s="547" t="s">
        <v>252</v>
      </c>
      <c r="S8" s="547"/>
      <c r="T8" s="547"/>
    </row>
    <row r="9" customFormat="false" ht="12.75" hidden="false" customHeight="false" outlineLevel="0" collapsed="false">
      <c r="A9" s="266" t="s">
        <v>253</v>
      </c>
      <c r="B9" s="317" t="s">
        <v>121</v>
      </c>
      <c r="C9" s="548" t="n">
        <v>0</v>
      </c>
      <c r="D9" s="549" t="n">
        <f aca="false">'Input Gas Prices'!B4+C9</f>
        <v>1.75</v>
      </c>
      <c r="E9" s="550" t="s">
        <v>254</v>
      </c>
      <c r="F9" s="551" t="n">
        <v>0.0522</v>
      </c>
      <c r="G9" s="552" t="n">
        <v>0.0506</v>
      </c>
      <c r="H9" s="553" t="n">
        <f aca="false">+D9/(1-G9)+F9</f>
        <v>1.89546943332631</v>
      </c>
      <c r="I9" s="550" t="s">
        <v>255</v>
      </c>
      <c r="J9" s="551" t="n">
        <f aca="false">F11</f>
        <v>0.1043</v>
      </c>
      <c r="K9" s="554" t="n">
        <v>0.0228</v>
      </c>
      <c r="L9" s="553" t="n">
        <f aca="false">+H9/(1-K9)+J9</f>
        <v>2.04399446717797</v>
      </c>
      <c r="M9" s="550" t="s">
        <v>256</v>
      </c>
      <c r="N9" s="555" t="n">
        <v>0</v>
      </c>
      <c r="O9" s="556" t="n">
        <v>0.0025</v>
      </c>
      <c r="P9" s="553" t="n">
        <f aca="false">+L9/(1-O9)+N9</f>
        <v>2.04911726032879</v>
      </c>
      <c r="Q9" s="557" t="n">
        <f aca="false">Weightings!C4</f>
        <v>1071.40153987277</v>
      </c>
      <c r="R9" s="553" t="n">
        <f aca="false">+Q9/SUM($Q$9:$Q$22)*P9</f>
        <v>0.0275745896718876</v>
      </c>
      <c r="S9" s="553"/>
      <c r="T9" s="558"/>
    </row>
    <row r="10" customFormat="false" ht="12.75" hidden="false" customHeight="false" outlineLevel="0" collapsed="false">
      <c r="A10" s="266" t="s">
        <v>257</v>
      </c>
      <c r="B10" s="317" t="s">
        <v>122</v>
      </c>
      <c r="C10" s="548" t="n">
        <v>0</v>
      </c>
      <c r="D10" s="549" t="n">
        <f aca="false">'Input Gas Prices'!B5+C10</f>
        <v>1.73</v>
      </c>
      <c r="E10" s="550" t="s">
        <v>258</v>
      </c>
      <c r="F10" s="551" t="n">
        <v>0.0522</v>
      </c>
      <c r="G10" s="552" t="n">
        <v>0.058</v>
      </c>
      <c r="H10" s="553" t="n">
        <f aca="false">+D10/(1-G10)+F10</f>
        <v>1.88871804670913</v>
      </c>
      <c r="I10" s="550" t="s">
        <v>255</v>
      </c>
      <c r="J10" s="551" t="n">
        <f aca="false">F11</f>
        <v>0.1043</v>
      </c>
      <c r="K10" s="554" t="n">
        <v>0.0228</v>
      </c>
      <c r="L10" s="553" t="n">
        <f aca="false">+H10/(1-K10)+J10</f>
        <v>2.03708555741827</v>
      </c>
      <c r="M10" s="550" t="s">
        <v>256</v>
      </c>
      <c r="N10" s="555" t="n">
        <v>0</v>
      </c>
      <c r="O10" s="556" t="n">
        <v>0.0025</v>
      </c>
      <c r="P10" s="553" t="n">
        <f aca="false">+L10/(1-O10)+N10</f>
        <v>2.04219103500578</v>
      </c>
      <c r="Q10" s="557" t="n">
        <f aca="false">Weightings!C5</f>
        <v>1309.88291792445</v>
      </c>
      <c r="R10" s="553" t="n">
        <f aca="false">+Q10/SUM($Q$9:$Q$22)*P10</f>
        <v>0.0335984176807232</v>
      </c>
      <c r="S10" s="553"/>
      <c r="T10" s="273"/>
    </row>
    <row r="11" customFormat="false" ht="12.75" hidden="false" customHeight="false" outlineLevel="0" collapsed="false">
      <c r="A11" s="266" t="s">
        <v>259</v>
      </c>
      <c r="B11" s="317" t="s">
        <v>123</v>
      </c>
      <c r="C11" s="548" t="n">
        <v>0</v>
      </c>
      <c r="D11" s="549" t="n">
        <f aca="false">'Input Gas Prices'!B6+C11</f>
        <v>2.02</v>
      </c>
      <c r="E11" s="550" t="s">
        <v>260</v>
      </c>
      <c r="F11" s="551" t="n">
        <f aca="false">0.0951+0.0022+0.007</f>
        <v>0.1043</v>
      </c>
      <c r="G11" s="552" t="n">
        <v>0.0228</v>
      </c>
      <c r="H11" s="553" t="n">
        <f aca="false">+D11/(1-G11)+F11</f>
        <v>2.17143057715923</v>
      </c>
      <c r="I11" s="550" t="s">
        <v>256</v>
      </c>
      <c r="J11" s="551" t="n">
        <v>0</v>
      </c>
      <c r="K11" s="554" t="n">
        <v>0.0025</v>
      </c>
      <c r="L11" s="553" t="n">
        <f aca="false">+H11/(1-K11)+J11</f>
        <v>2.17687275905687</v>
      </c>
      <c r="M11" s="550"/>
      <c r="N11" s="555" t="n">
        <v>0</v>
      </c>
      <c r="O11" s="556" t="n">
        <v>0</v>
      </c>
      <c r="P11" s="553" t="n">
        <f aca="false">+L11/(1-O11)+N11</f>
        <v>2.17687275905687</v>
      </c>
      <c r="Q11" s="557" t="n">
        <f aca="false">Weightings!C6</f>
        <v>19813.4520237259</v>
      </c>
      <c r="R11" s="553" t="n">
        <f aca="false">+Q11/SUM($Q$9:$Q$22)*P11</f>
        <v>0.541730357379195</v>
      </c>
      <c r="S11" s="553"/>
      <c r="T11" s="273"/>
    </row>
    <row r="12" customFormat="false" ht="12.75" hidden="false" customHeight="false" outlineLevel="0" collapsed="false">
      <c r="A12" s="266" t="s">
        <v>261</v>
      </c>
      <c r="B12" s="317" t="s">
        <v>124</v>
      </c>
      <c r="C12" s="548" t="n">
        <v>0</v>
      </c>
      <c r="D12" s="549" t="n">
        <f aca="false">'Input Gas Prices'!B7+C12</f>
        <v>2.02</v>
      </c>
      <c r="E12" s="550" t="s">
        <v>262</v>
      </c>
      <c r="F12" s="551" t="n">
        <f aca="false">0.0951+0.0022+0.007</f>
        <v>0.1043</v>
      </c>
      <c r="G12" s="552" t="n">
        <v>0.0228</v>
      </c>
      <c r="H12" s="553" t="n">
        <f aca="false">+D12/(1-G12)+F12</f>
        <v>2.17143057715923</v>
      </c>
      <c r="I12" s="550" t="s">
        <v>256</v>
      </c>
      <c r="J12" s="551" t="n">
        <v>0</v>
      </c>
      <c r="K12" s="554" t="n">
        <v>0.0025</v>
      </c>
      <c r="L12" s="553" t="n">
        <f aca="false">+H12/(1-K12)+J12</f>
        <v>2.17687275905687</v>
      </c>
      <c r="M12" s="550"/>
      <c r="N12" s="555" t="n">
        <v>0</v>
      </c>
      <c r="O12" s="556" t="n">
        <v>0</v>
      </c>
      <c r="P12" s="553" t="n">
        <f aca="false">+L12/(1-O12)+N12</f>
        <v>2.17687275905687</v>
      </c>
      <c r="Q12" s="557" t="n">
        <f aca="false">Weightings!C7</f>
        <v>669.603363940486</v>
      </c>
      <c r="R12" s="553" t="n">
        <f aca="false">+Q12/SUM($Q$9:$Q$22)*P12</f>
        <v>0.0183079894011107</v>
      </c>
      <c r="S12" s="553"/>
      <c r="T12" s="558"/>
    </row>
    <row r="13" customFormat="false" ht="12.75" hidden="false" customHeight="false" outlineLevel="0" collapsed="false">
      <c r="A13" s="266" t="s">
        <v>206</v>
      </c>
      <c r="B13" s="317" t="s">
        <v>126</v>
      </c>
      <c r="C13" s="548" t="n">
        <v>0</v>
      </c>
      <c r="D13" s="549" t="n">
        <f aca="false">'Input Gas Prices'!B9+'Baseload - Tier 1'!C13</f>
        <v>1.78</v>
      </c>
      <c r="E13" s="550" t="s">
        <v>263</v>
      </c>
      <c r="F13" s="559" t="n">
        <f aca="false">0.0331+0.0022+0.0097</f>
        <v>0.045</v>
      </c>
      <c r="G13" s="560" t="n">
        <v>0.0504</v>
      </c>
      <c r="H13" s="553" t="n">
        <f aca="false">+D13/(1-G13)+F13</f>
        <v>1.91947346251053</v>
      </c>
      <c r="I13" s="550" t="s">
        <v>255</v>
      </c>
      <c r="J13" s="551" t="n">
        <f aca="false">F11</f>
        <v>0.1043</v>
      </c>
      <c r="K13" s="554" t="n">
        <v>0.0228</v>
      </c>
      <c r="L13" s="553" t="n">
        <f aca="false">+H13/(1-K13)+J13</f>
        <v>2.06855855762437</v>
      </c>
      <c r="M13" s="550" t="s">
        <v>256</v>
      </c>
      <c r="N13" s="555" t="n">
        <v>0</v>
      </c>
      <c r="O13" s="556" t="n">
        <v>0.0025</v>
      </c>
      <c r="P13" s="553" t="n">
        <f aca="false">+L13/(1-O13)+N13</f>
        <v>2.07374291491165</v>
      </c>
      <c r="Q13" s="557" t="n">
        <f aca="false">Weightings!C8</f>
        <v>273.774605247488</v>
      </c>
      <c r="R13" s="553" t="n">
        <f aca="false">+Q13/SUM($Q$9:$Q$22)*P13</f>
        <v>0.00713079674359064</v>
      </c>
      <c r="S13" s="553"/>
      <c r="T13" s="273"/>
    </row>
    <row r="14" customFormat="false" ht="12.75" hidden="false" customHeight="false" outlineLevel="0" collapsed="false">
      <c r="A14" s="266" t="s">
        <v>207</v>
      </c>
      <c r="B14" s="317" t="s">
        <v>127</v>
      </c>
      <c r="C14" s="548" t="n">
        <v>0</v>
      </c>
      <c r="D14" s="549" t="n">
        <f aca="false">'Input Gas Prices'!B10+'Baseload - Tier 1'!C14</f>
        <v>1.86</v>
      </c>
      <c r="E14" s="550" t="s">
        <v>264</v>
      </c>
      <c r="F14" s="559" t="n">
        <f aca="false">0.0305+0.0022+0.0097</f>
        <v>0.0424</v>
      </c>
      <c r="G14" s="560" t="n">
        <v>0.0462</v>
      </c>
      <c r="H14" s="553" t="n">
        <f aca="false">+D14/(1-G14)+F14</f>
        <v>1.99249435940449</v>
      </c>
      <c r="I14" s="550" t="s">
        <v>255</v>
      </c>
      <c r="J14" s="551" t="n">
        <f aca="false">F11</f>
        <v>0.1043</v>
      </c>
      <c r="K14" s="554" t="n">
        <v>0.0228</v>
      </c>
      <c r="L14" s="553" t="n">
        <f aca="false">+H14/(1-K14)+J14</f>
        <v>2.14328317581302</v>
      </c>
      <c r="M14" s="550" t="s">
        <v>256</v>
      </c>
      <c r="N14" s="555" t="n">
        <v>0</v>
      </c>
      <c r="O14" s="556" t="n">
        <v>0.0025</v>
      </c>
      <c r="P14" s="553" t="n">
        <f aca="false">+L14/(1-O14)+N14</f>
        <v>2.14865481284514</v>
      </c>
      <c r="Q14" s="557" t="n">
        <f aca="false">Weightings!C9</f>
        <v>6.55445647922163</v>
      </c>
      <c r="R14" s="553" t="n">
        <f aca="false">+Q14/SUM($Q$9:$Q$22)*P14</f>
        <v>0.000176885940669925</v>
      </c>
      <c r="S14" s="553"/>
      <c r="T14" s="273"/>
    </row>
    <row r="15" customFormat="false" ht="12.75" hidden="false" customHeight="false" outlineLevel="0" collapsed="false">
      <c r="A15" s="266" t="s">
        <v>265</v>
      </c>
      <c r="B15" s="317" t="s">
        <v>266</v>
      </c>
      <c r="C15" s="548"/>
      <c r="D15" s="549"/>
      <c r="E15" s="550"/>
      <c r="F15" s="551"/>
      <c r="G15" s="552"/>
      <c r="H15" s="553" t="n">
        <f aca="false">+D15/(1-G15)+F15</f>
        <v>0</v>
      </c>
      <c r="I15" s="550"/>
      <c r="J15" s="551" t="n">
        <v>0</v>
      </c>
      <c r="K15" s="554" t="n">
        <v>0</v>
      </c>
      <c r="L15" s="553" t="n">
        <f aca="false">+H15/(1-K15)+J15</f>
        <v>0</v>
      </c>
      <c r="M15" s="550"/>
      <c r="N15" s="555" t="n">
        <v>0</v>
      </c>
      <c r="O15" s="556" t="n">
        <v>0</v>
      </c>
      <c r="P15" s="553" t="n">
        <f aca="false">+L15/(1-O15)+N15</f>
        <v>0</v>
      </c>
      <c r="Q15" s="557" t="n">
        <f aca="false">Weightings!C10</f>
        <v>0</v>
      </c>
      <c r="R15" s="553" t="n">
        <f aca="false">+Q15/SUM($Q$9:$Q$22)*P15</f>
        <v>0</v>
      </c>
      <c r="S15" s="553"/>
      <c r="T15" s="273"/>
    </row>
    <row r="16" customFormat="false" ht="12.75" hidden="false" customHeight="false" outlineLevel="0" collapsed="false">
      <c r="A16" s="266" t="s">
        <v>267</v>
      </c>
      <c r="B16" s="317" t="s">
        <v>266</v>
      </c>
      <c r="C16" s="548"/>
      <c r="D16" s="549"/>
      <c r="E16" s="550"/>
      <c r="F16" s="551"/>
      <c r="G16" s="552"/>
      <c r="H16" s="553" t="n">
        <f aca="false">+D16/(1-G16)+F16</f>
        <v>0</v>
      </c>
      <c r="I16" s="550"/>
      <c r="J16" s="551" t="n">
        <v>0</v>
      </c>
      <c r="K16" s="554" t="n">
        <v>0</v>
      </c>
      <c r="L16" s="553" t="n">
        <f aca="false">+H16/(1-K16)+J16</f>
        <v>0</v>
      </c>
      <c r="M16" s="550"/>
      <c r="N16" s="555" t="n">
        <v>0</v>
      </c>
      <c r="O16" s="556" t="n">
        <v>0</v>
      </c>
      <c r="P16" s="553" t="n">
        <f aca="false">+L16/(1-O16)+N16</f>
        <v>0</v>
      </c>
      <c r="Q16" s="557" t="n">
        <f aca="false">Weightings!C11</f>
        <v>0</v>
      </c>
      <c r="R16" s="553" t="n">
        <f aca="false">+Q16/SUM($Q$9:$Q$22)*P16</f>
        <v>0</v>
      </c>
      <c r="S16" s="553"/>
      <c r="T16" s="273"/>
    </row>
    <row r="17" customFormat="false" ht="12.75" hidden="false" customHeight="false" outlineLevel="0" collapsed="false">
      <c r="A17" s="266" t="s">
        <v>268</v>
      </c>
      <c r="B17" s="317" t="s">
        <v>266</v>
      </c>
      <c r="C17" s="548"/>
      <c r="D17" s="549"/>
      <c r="E17" s="550"/>
      <c r="F17" s="551"/>
      <c r="G17" s="552"/>
      <c r="H17" s="553" t="n">
        <f aca="false">+D17/(1-G17)+F17</f>
        <v>0</v>
      </c>
      <c r="I17" s="550"/>
      <c r="J17" s="551" t="n">
        <v>0</v>
      </c>
      <c r="K17" s="554" t="n">
        <v>0</v>
      </c>
      <c r="L17" s="553" t="n">
        <f aca="false">+H17/(1-K17)+J17</f>
        <v>0</v>
      </c>
      <c r="M17" s="561"/>
      <c r="N17" s="555" t="n">
        <v>0</v>
      </c>
      <c r="O17" s="556" t="n">
        <v>0</v>
      </c>
      <c r="P17" s="553" t="n">
        <f aca="false">+L17/(1-O17)+N17</f>
        <v>0</v>
      </c>
      <c r="Q17" s="557" t="n">
        <f aca="false">Weightings!C12</f>
        <v>0</v>
      </c>
      <c r="R17" s="553" t="n">
        <f aca="false">+Q17/SUM($Q$9:$Q$22)*P17</f>
        <v>0</v>
      </c>
      <c r="S17" s="553"/>
      <c r="T17" s="273"/>
    </row>
    <row r="18" customFormat="false" ht="12.75" hidden="false" customHeight="false" outlineLevel="0" collapsed="false">
      <c r="A18" s="266" t="s">
        <v>211</v>
      </c>
      <c r="B18" s="317" t="s">
        <v>128</v>
      </c>
      <c r="C18" s="548" t="n">
        <v>0</v>
      </c>
      <c r="D18" s="549" t="n">
        <f aca="false">'Input Gas Prices'!B11+'Baseload - Tier 1'!C18</f>
        <v>1.81</v>
      </c>
      <c r="E18" s="550" t="s">
        <v>269</v>
      </c>
      <c r="F18" s="551" t="n">
        <f aca="false">0.0366+0.0022</f>
        <v>0.0388</v>
      </c>
      <c r="G18" s="552" t="n">
        <v>0.00697</v>
      </c>
      <c r="H18" s="553" t="n">
        <f aca="false">+D18/(1-G18)+F18</f>
        <v>1.86150424861283</v>
      </c>
      <c r="I18" s="550" t="s">
        <v>270</v>
      </c>
      <c r="J18" s="551" t="n">
        <f aca="false">0.017+0.0022</f>
        <v>0.0192</v>
      </c>
      <c r="K18" s="552" t="n">
        <v>0.02902</v>
      </c>
      <c r="L18" s="553" t="n">
        <f aca="false">+H18/(1-K18)+J18</f>
        <v>1.93633964099449</v>
      </c>
      <c r="M18" s="561" t="s">
        <v>271</v>
      </c>
      <c r="N18" s="555" t="n">
        <f aca="false">0.0134+0.0022+0.007</f>
        <v>0.0226</v>
      </c>
      <c r="O18" s="562" t="n">
        <v>0.02776</v>
      </c>
      <c r="P18" s="563" t="n">
        <f aca="false">+L18/(1-O18)+N18</f>
        <v>2.01422721241102</v>
      </c>
      <c r="Q18" s="557" t="n">
        <f aca="false">Weightings!C13</f>
        <v>31370.607479626</v>
      </c>
      <c r="R18" s="553" t="n">
        <f aca="false">+Q18/SUM($Q$9:$Q$22)*P18</f>
        <v>0.793636016473407</v>
      </c>
      <c r="S18" s="563"/>
      <c r="T18" s="273"/>
    </row>
    <row r="19" customFormat="false" ht="12.75" hidden="false" customHeight="false" outlineLevel="0" collapsed="false">
      <c r="A19" s="266" t="s">
        <v>212</v>
      </c>
      <c r="B19" s="317" t="s">
        <v>129</v>
      </c>
      <c r="C19" s="548" t="n">
        <v>0</v>
      </c>
      <c r="D19" s="549" t="n">
        <f aca="false">'Input Gas Prices'!B12+'Baseload - Tier 1'!C19</f>
        <v>2.05</v>
      </c>
      <c r="E19" s="550" t="s">
        <v>272</v>
      </c>
      <c r="F19" s="551" t="n">
        <f aca="false">0.0134+0.0022+0.007</f>
        <v>0.0226</v>
      </c>
      <c r="G19" s="552" t="n">
        <v>0.02776</v>
      </c>
      <c r="H19" s="553" t="n">
        <f aca="false">+D19/(1-G19)+F19</f>
        <v>2.13113287254176</v>
      </c>
      <c r="I19" s="550"/>
      <c r="J19" s="551" t="n">
        <v>0</v>
      </c>
      <c r="K19" s="554" t="n">
        <v>0</v>
      </c>
      <c r="L19" s="553" t="n">
        <f aca="false">+H19/(1-K19)+J19</f>
        <v>2.13113287254176</v>
      </c>
      <c r="M19" s="561"/>
      <c r="N19" s="555" t="n">
        <v>0</v>
      </c>
      <c r="O19" s="556" t="n">
        <v>0</v>
      </c>
      <c r="P19" s="553" t="n">
        <f aca="false">+L19/(1-O19)+N19</f>
        <v>2.13113287254176</v>
      </c>
      <c r="Q19" s="557" t="n">
        <f aca="false">Weightings!C14</f>
        <v>5614.32270168218</v>
      </c>
      <c r="R19" s="553" t="n">
        <f aca="false">+Q19/SUM($Q$9:$Q$22)*P19</f>
        <v>0.150278856032393</v>
      </c>
      <c r="S19" s="553"/>
      <c r="T19" s="564"/>
    </row>
    <row r="20" customFormat="false" ht="12.75" hidden="false" customHeight="false" outlineLevel="0" collapsed="false">
      <c r="A20" s="266" t="s">
        <v>213</v>
      </c>
      <c r="B20" s="317" t="s">
        <v>125</v>
      </c>
      <c r="C20" s="548" t="n">
        <v>0</v>
      </c>
      <c r="D20" s="549" t="n">
        <f aca="false">'Input Gas Prices'!B8+'Baseload - Tier 1'!C20</f>
        <v>1.76</v>
      </c>
      <c r="E20" s="550" t="s">
        <v>273</v>
      </c>
      <c r="F20" s="559" t="n">
        <f aca="false">0.0299+0.0022+0.0097</f>
        <v>0.0418</v>
      </c>
      <c r="G20" s="560" t="n">
        <v>0.0458</v>
      </c>
      <c r="H20" s="553" t="n">
        <f aca="false">+D20/(1-G20)+F20</f>
        <v>1.88627704883672</v>
      </c>
      <c r="I20" s="550" t="s">
        <v>274</v>
      </c>
      <c r="J20" s="551" t="n">
        <v>0</v>
      </c>
      <c r="K20" s="554" t="n">
        <v>0.01</v>
      </c>
      <c r="L20" s="553" t="n">
        <f aca="false">+H20/(1-K20)+J20</f>
        <v>1.90533035236033</v>
      </c>
      <c r="M20" s="561"/>
      <c r="N20" s="555" t="n">
        <v>0</v>
      </c>
      <c r="O20" s="556" t="n">
        <v>0</v>
      </c>
      <c r="P20" s="553" t="n">
        <f aca="false">+L20/(1-O20)+N20</f>
        <v>1.90533035236033</v>
      </c>
      <c r="Q20" s="557" t="n">
        <f aca="false">Weightings!C15</f>
        <v>3366</v>
      </c>
      <c r="R20" s="553" t="n">
        <f aca="false">+Q20/SUM($Q$9:$Q$22)*P20</f>
        <v>0.0805516384181322</v>
      </c>
      <c r="S20" s="553"/>
      <c r="T20" s="273"/>
    </row>
    <row r="21" customFormat="false" ht="12.75" hidden="false" customHeight="false" outlineLevel="0" collapsed="false">
      <c r="A21" s="266" t="s">
        <v>214</v>
      </c>
      <c r="B21" s="317" t="s">
        <v>126</v>
      </c>
      <c r="C21" s="548" t="n">
        <v>0</v>
      </c>
      <c r="D21" s="549" t="n">
        <f aca="false">'Input Gas Prices'!B9+'Baseload - Tier 1'!C21</f>
        <v>1.78</v>
      </c>
      <c r="E21" s="550" t="s">
        <v>275</v>
      </c>
      <c r="F21" s="559" t="n">
        <f aca="false">0.0277+0.0022+0.0097</f>
        <v>0.0396</v>
      </c>
      <c r="G21" s="560" t="n">
        <v>0.0423</v>
      </c>
      <c r="H21" s="553" t="n">
        <f aca="false">+D21/(1-G21)+F21</f>
        <v>1.89821960948105</v>
      </c>
      <c r="I21" s="550" t="s">
        <v>274</v>
      </c>
      <c r="J21" s="551" t="n">
        <v>0</v>
      </c>
      <c r="K21" s="554" t="n">
        <v>0.01</v>
      </c>
      <c r="L21" s="553" t="n">
        <f aca="false">+H21/(1-K21)+J21</f>
        <v>1.91739354493035</v>
      </c>
      <c r="N21" s="555" t="n">
        <v>0</v>
      </c>
      <c r="O21" s="556" t="n">
        <v>0</v>
      </c>
      <c r="P21" s="553" t="n">
        <f aca="false">+L21/(1-O21)+N21</f>
        <v>1.91739354493035</v>
      </c>
      <c r="Q21" s="557" t="n">
        <f aca="false">Weightings!C16</f>
        <v>4950</v>
      </c>
      <c r="R21" s="553" t="n">
        <f aca="false">+Q21/SUM($Q$9:$Q$22)*P21</f>
        <v>0.119208285189432</v>
      </c>
      <c r="S21" s="553"/>
      <c r="T21" s="273"/>
    </row>
    <row r="22" customFormat="false" ht="12.75" hidden="false" customHeight="false" outlineLevel="0" collapsed="false">
      <c r="A22" s="266" t="s">
        <v>215</v>
      </c>
      <c r="B22" s="317" t="s">
        <v>127</v>
      </c>
      <c r="C22" s="548" t="n">
        <v>0</v>
      </c>
      <c r="D22" s="549" t="n">
        <f aca="false">'Input Gas Prices'!B10+'Baseload - Tier 1'!C22</f>
        <v>1.86</v>
      </c>
      <c r="E22" s="550" t="s">
        <v>276</v>
      </c>
      <c r="F22" s="559" t="n">
        <f aca="false">0.0251+0.0022+0.0097</f>
        <v>0.037</v>
      </c>
      <c r="G22" s="560" t="n">
        <v>0.0381</v>
      </c>
      <c r="H22" s="553" t="n">
        <f aca="false">+D22/(1-G22)+F22</f>
        <v>1.97067293897495</v>
      </c>
      <c r="I22" s="550" t="s">
        <v>274</v>
      </c>
      <c r="J22" s="551" t="n">
        <v>0</v>
      </c>
      <c r="K22" s="554" t="n">
        <v>0.01</v>
      </c>
      <c r="L22" s="553" t="n">
        <f aca="false">+H22/(1-K22)+J22</f>
        <v>1.99057872623732</v>
      </c>
      <c r="N22" s="555" t="n">
        <v>0</v>
      </c>
      <c r="O22" s="556" t="n">
        <v>0</v>
      </c>
      <c r="P22" s="553" t="n">
        <f aca="false">+L22/(1-O22)+N22</f>
        <v>1.99057872623732</v>
      </c>
      <c r="Q22" s="557" t="n">
        <f aca="false">Weightings!C17</f>
        <v>11172.1727158949</v>
      </c>
      <c r="R22" s="553" t="n">
        <f aca="false">+Q22/SUM($Q$9:$Q$22)*P22</f>
        <v>0.279323181622651</v>
      </c>
      <c r="S22" s="553"/>
      <c r="T22" s="273"/>
    </row>
    <row r="23" customFormat="false" ht="12.75" hidden="false" customHeight="false" outlineLevel="0" collapsed="false">
      <c r="P23" s="403"/>
      <c r="Q23" s="385"/>
      <c r="R23" s="403"/>
      <c r="S23" s="403"/>
      <c r="T23" s="565"/>
    </row>
    <row r="24" customFormat="false" ht="13.5" hidden="false" customHeight="false" outlineLevel="0" collapsed="false">
      <c r="P24" s="566"/>
      <c r="Q24" s="567"/>
      <c r="R24" s="566"/>
      <c r="S24" s="566"/>
    </row>
    <row r="25" customFormat="false" ht="13.5" hidden="false" customHeight="false" outlineLevel="0" collapsed="false">
      <c r="P25" s="568" t="s">
        <v>277</v>
      </c>
      <c r="Q25" s="569"/>
      <c r="R25" s="570" t="n">
        <f aca="false">SUM(R9:R22)</f>
        <v>2.05151701455319</v>
      </c>
      <c r="S25" s="403"/>
    </row>
    <row r="26" customFormat="false" ht="12.75" hidden="false" customHeight="false" outlineLevel="0" collapsed="false">
      <c r="P26" s="403"/>
      <c r="Q26" s="403"/>
      <c r="R26" s="403"/>
      <c r="S26" s="403"/>
      <c r="T26" s="403"/>
    </row>
    <row r="27" customFormat="false" ht="12.75" hidden="false" customHeight="false" outlineLevel="0" collapsed="false">
      <c r="E27" s="550"/>
      <c r="I27" s="553"/>
      <c r="P27" s="566" t="s">
        <v>278</v>
      </c>
      <c r="Q27" s="571" t="n">
        <f aca="false">Weightings!C21</f>
        <v>2257</v>
      </c>
      <c r="R27" s="403" t="s">
        <v>279</v>
      </c>
      <c r="S27" s="572" t="s">
        <v>280</v>
      </c>
      <c r="T27" s="403"/>
    </row>
    <row r="28" customFormat="false" ht="12.75" hidden="false" customHeight="false" outlineLevel="0" collapsed="false">
      <c r="E28" s="550"/>
      <c r="I28" s="553"/>
      <c r="Q28" s="573" t="n">
        <f aca="false">Q27*R29</f>
        <v>67710</v>
      </c>
      <c r="R28" s="266" t="s">
        <v>281</v>
      </c>
    </row>
    <row r="29" customFormat="false" ht="12.75" hidden="false" customHeight="false" outlineLevel="0" collapsed="false">
      <c r="E29" s="550"/>
      <c r="I29" s="553"/>
      <c r="P29" s="266" t="s">
        <v>282</v>
      </c>
      <c r="Q29" s="574" t="n">
        <f aca="false">B5</f>
        <v>37135</v>
      </c>
      <c r="R29" s="575" t="n">
        <v>30</v>
      </c>
    </row>
    <row r="30" customFormat="false" ht="12.75" hidden="false" customHeight="false" outlineLevel="0" collapsed="false">
      <c r="E30" s="550"/>
      <c r="I30" s="553"/>
    </row>
    <row r="31" customFormat="false" ht="12.75" hidden="false" customHeight="false" outlineLevel="0" collapsed="false">
      <c r="E31" s="550"/>
      <c r="I31" s="553"/>
    </row>
    <row r="32" customFormat="false" ht="12.75" hidden="false" customHeight="false" outlineLevel="0" collapsed="false">
      <c r="E32" s="550"/>
      <c r="I32" s="553"/>
    </row>
    <row r="33" customFormat="false" ht="12.75" hidden="false" customHeight="false" outlineLevel="0" collapsed="false">
      <c r="E33" s="550"/>
      <c r="I33" s="553"/>
      <c r="L33" s="403"/>
      <c r="M33" s="403"/>
      <c r="N33" s="403"/>
      <c r="O33" s="403"/>
      <c r="P33" s="403"/>
      <c r="Q33" s="403"/>
    </row>
    <row r="34" customFormat="false" ht="12.75" hidden="false" customHeight="false" outlineLevel="0" collapsed="false">
      <c r="E34" s="550"/>
      <c r="I34" s="553"/>
      <c r="L34" s="403"/>
      <c r="M34" s="403"/>
      <c r="N34" s="403"/>
      <c r="O34" s="403"/>
      <c r="P34" s="403"/>
      <c r="Q34" s="403"/>
      <c r="R34" s="493"/>
    </row>
    <row r="35" customFormat="false" ht="12.75" hidden="false" customHeight="false" outlineLevel="0" collapsed="false">
      <c r="E35" s="550"/>
      <c r="I35" s="553"/>
      <c r="L35" s="403"/>
      <c r="M35" s="403"/>
      <c r="N35" s="403"/>
      <c r="O35" s="403"/>
      <c r="P35" s="576"/>
      <c r="Q35" s="403"/>
      <c r="R35" s="493"/>
    </row>
    <row r="36" customFormat="false" ht="12.75" hidden="false" customHeight="false" outlineLevel="0" collapsed="false">
      <c r="E36" s="550"/>
      <c r="I36" s="553"/>
      <c r="L36" s="403"/>
      <c r="M36" s="577"/>
      <c r="N36" s="577"/>
      <c r="O36" s="577"/>
      <c r="P36" s="578"/>
      <c r="Q36" s="403"/>
      <c r="R36" s="493"/>
    </row>
    <row r="37" customFormat="false" ht="12.75" hidden="false" customHeight="false" outlineLevel="0" collapsed="false">
      <c r="I37" s="553"/>
      <c r="L37" s="403"/>
      <c r="M37" s="579"/>
      <c r="N37" s="579"/>
      <c r="O37" s="579"/>
      <c r="P37" s="580"/>
      <c r="Q37" s="403"/>
      <c r="R37" s="493"/>
    </row>
    <row r="38" customFormat="false" ht="12.75" hidden="false" customHeight="false" outlineLevel="0" collapsed="false">
      <c r="I38" s="563"/>
      <c r="L38" s="403"/>
      <c r="M38" s="403"/>
      <c r="N38" s="403"/>
      <c r="O38" s="403"/>
      <c r="P38" s="403"/>
      <c r="Q38" s="403"/>
      <c r="R38" s="493"/>
    </row>
    <row r="39" customFormat="false" ht="12.75" hidden="false" customHeight="false" outlineLevel="0" collapsed="false">
      <c r="I39" s="553"/>
      <c r="L39" s="403"/>
      <c r="M39" s="403"/>
      <c r="N39" s="403"/>
      <c r="O39" s="403"/>
      <c r="P39" s="403"/>
      <c r="Q39" s="403"/>
      <c r="R39" s="493"/>
    </row>
    <row r="40" customFormat="false" ht="12.75" hidden="false" customHeight="false" outlineLevel="0" collapsed="false">
      <c r="I40" s="553"/>
      <c r="L40" s="403"/>
      <c r="M40" s="403"/>
      <c r="N40" s="403"/>
      <c r="O40" s="403"/>
      <c r="P40" s="403"/>
      <c r="Q40" s="403"/>
      <c r="R40" s="493"/>
    </row>
    <row r="41" customFormat="false" ht="12.75" hidden="false" customHeight="false" outlineLevel="0" collapsed="false">
      <c r="L41" s="403"/>
      <c r="M41" s="403"/>
      <c r="N41" s="403"/>
      <c r="O41" s="403"/>
      <c r="P41" s="403"/>
      <c r="Q41" s="403"/>
      <c r="R41" s="493"/>
    </row>
    <row r="45" customFormat="false" ht="12.75" hidden="false" customHeight="false" outlineLevel="0" collapsed="false">
      <c r="O45" s="403"/>
      <c r="P45" s="403"/>
      <c r="Q45" s="403"/>
      <c r="R45" s="403"/>
      <c r="S45" s="403"/>
      <c r="T45" s="403"/>
    </row>
    <row r="46" customFormat="false" ht="12.75" hidden="false" customHeight="false" outlineLevel="0" collapsed="false">
      <c r="O46" s="403"/>
      <c r="P46" s="403"/>
      <c r="Q46" s="403"/>
      <c r="R46" s="403"/>
      <c r="S46" s="403"/>
      <c r="T46" s="403"/>
    </row>
    <row r="47" customFormat="false" ht="12.75" hidden="false" customHeight="false" outlineLevel="0" collapsed="false">
      <c r="O47" s="403"/>
      <c r="P47" s="403"/>
      <c r="Q47" s="403"/>
      <c r="R47" s="403"/>
      <c r="S47" s="403"/>
      <c r="T47" s="403"/>
    </row>
    <row r="48" customFormat="false" ht="12.75" hidden="false" customHeight="false" outlineLevel="0" collapsed="false">
      <c r="O48" s="403"/>
      <c r="P48" s="403"/>
      <c r="Q48" s="403"/>
      <c r="R48" s="403"/>
      <c r="S48" s="403"/>
      <c r="T48" s="403"/>
    </row>
    <row r="49" customFormat="false" ht="12.75" hidden="false" customHeight="false" outlineLevel="0" collapsed="false">
      <c r="O49" s="403"/>
      <c r="P49" s="403"/>
      <c r="Q49" s="403"/>
      <c r="R49" s="403"/>
      <c r="S49" s="403"/>
      <c r="T49" s="403"/>
    </row>
    <row r="50" customFormat="false" ht="12.75" hidden="false" customHeight="false" outlineLevel="0" collapsed="false">
      <c r="O50" s="403"/>
      <c r="P50" s="566"/>
      <c r="Q50" s="566"/>
      <c r="R50" s="566"/>
      <c r="S50" s="566"/>
      <c r="T50" s="403"/>
    </row>
    <row r="51" customFormat="false" ht="12.75" hidden="false" customHeight="false" outlineLevel="0" collapsed="false">
      <c r="O51" s="403"/>
      <c r="P51" s="403"/>
      <c r="Q51" s="403"/>
      <c r="R51" s="403"/>
      <c r="S51" s="403"/>
      <c r="T51" s="403"/>
    </row>
    <row r="52" customFormat="false" ht="12.75" hidden="false" customHeight="false" outlineLevel="0" collapsed="false">
      <c r="O52" s="403"/>
      <c r="P52" s="403"/>
      <c r="Q52" s="403"/>
      <c r="R52" s="403"/>
      <c r="S52" s="403"/>
      <c r="T52" s="403"/>
    </row>
    <row r="53" customFormat="false" ht="12.75" hidden="false" customHeight="false" outlineLevel="0" collapsed="false">
      <c r="O53" s="403"/>
      <c r="P53" s="566"/>
      <c r="Q53" s="566"/>
      <c r="R53" s="566"/>
      <c r="S53" s="566"/>
      <c r="T53" s="403"/>
    </row>
    <row r="54" customFormat="false" ht="12.75" hidden="false" customHeight="false" outlineLevel="0" collapsed="false">
      <c r="O54" s="403"/>
      <c r="P54" s="403"/>
      <c r="Q54" s="403"/>
      <c r="R54" s="403"/>
      <c r="S54" s="403"/>
      <c r="T54" s="403"/>
    </row>
    <row r="55" customFormat="false" ht="12.75" hidden="false" customHeight="false" outlineLevel="0" collapsed="false">
      <c r="O55" s="403"/>
      <c r="P55" s="403"/>
      <c r="Q55" s="403"/>
      <c r="R55" s="403"/>
      <c r="S55" s="403"/>
      <c r="T55" s="403"/>
    </row>
    <row r="56" customFormat="false" ht="12.75" hidden="false" customHeight="false" outlineLevel="0" collapsed="false">
      <c r="O56" s="403"/>
      <c r="P56" s="403"/>
      <c r="Q56" s="403"/>
      <c r="R56" s="403"/>
      <c r="S56" s="403"/>
      <c r="T56" s="403"/>
    </row>
    <row r="57" customFormat="false" ht="12.75" hidden="false" customHeight="false" outlineLevel="0" collapsed="false">
      <c r="O57" s="403"/>
      <c r="P57" s="403"/>
      <c r="Q57" s="403"/>
      <c r="R57" s="403"/>
      <c r="S57" s="403"/>
      <c r="T57" s="403"/>
    </row>
  </sheetData>
  <printOptions headings="false" gridLines="false" gridLinesSet="true" horizontalCentered="false" verticalCentered="false"/>
  <pageMargins left="0.440277777777778" right="0.50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2000-09-18T18:20:58Z</dcterms:created>
  <dc:creator>rsupert</dc:creator>
  <dc:description>- Oracle 8i ODBC QueryFix Applied</dc:description>
  <dc:language>en-US</dc:language>
  <cp:lastModifiedBy>Steve Gillespie</cp:lastModifiedBy>
  <cp:lastPrinted>2001-10-26T14:59:51Z</cp:lastPrinted>
  <dcterms:modified xsi:type="dcterms:W3CDTF">2001-11-02T17:18:30Z</dcterms:modified>
  <cp:revision>0</cp:revision>
  <dc:subject/>
  <dc:title/>
</cp:coreProperties>
</file>