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 Assumption" sheetId="4" state="visible" r:id="rId6"/>
    <sheet name="IS" sheetId="5" state="visible" r:id="rId7"/>
    <sheet name="CF" sheetId="6" state="visible" r:id="rId8"/>
    <sheet name="BS" sheetId="7" state="hidden" r:id="rId9"/>
    <sheet name="Returns" sheetId="8" state="visible" r:id="rId10"/>
    <sheet name="Debt" sheetId="9" state="visible" r:id="rId11"/>
    <sheet name="Depreciation" sheetId="10" state="visible" r:id="rId12"/>
    <sheet name="Taxes" sheetId="11" state="visible" r:id="rId13"/>
    <sheet name="IDC" sheetId="12" state="visible" r:id="rId14"/>
    <sheet name="Operational Characteristics" sheetId="13" state="visible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function="false" hidden="false" localSheetId="2" name="_xlnm.Print_Area" vbProcedure="false">Assumptions!$A$3:$P$76</definedName>
    <definedName function="false" hidden="false" localSheetId="6" name="_xlnm.Print_Area" vbProcedure="false">BS!$A$2:$AH$9</definedName>
    <definedName function="false" hidden="false" localSheetId="6" name="_xlnm.Print_Titles" vbProcedure="false">BS!$A:$A</definedName>
    <definedName function="false" hidden="false" localSheetId="5" name="_xlnm.Print_Area" vbProcedure="false">CF!$A$2:$AG$27</definedName>
    <definedName function="false" hidden="false" localSheetId="5" name="_xlnm.Print_Titles" vbProcedure="false">CF!$A:$A</definedName>
    <definedName function="false" hidden="false" localSheetId="8" name="_xlnm.Print_Area" vbProcedure="false">Debt!$A$14:$AF$68</definedName>
    <definedName function="false" hidden="false" localSheetId="8" name="_xlnm.Print_Titles" vbProcedure="false">Debt!$A:$A</definedName>
    <definedName function="false" hidden="false" localSheetId="9" name="_xlnm.Print_Area" vbProcedure="false">Depreciation!$A$2:$AH$50</definedName>
    <definedName function="false" hidden="false" localSheetId="9" name="_xlnm.Print_Titles" vbProcedure="false">Depreciation!$A:$A</definedName>
    <definedName function="false" hidden="false" localSheetId="11" name="_xlnm.Print_Area" vbProcedure="false">IDC!$A$2:$I$35</definedName>
    <definedName function="false" hidden="false" localSheetId="4" name="_xlnm.Print_Area" vbProcedure="false">IS!$A$2:$AG$46</definedName>
    <definedName function="false" hidden="false" localSheetId="4" name="_xlnm.Print_Titles" vbProcedure="false">IS!$A:$A</definedName>
    <definedName function="false" hidden="false" localSheetId="3" name="_xlnm.Print_Titles" vbProcedure="false">'Price Assumption'!$A:$B</definedName>
    <definedName function="false" hidden="false" localSheetId="10" name="_xlnm.Print_Area" vbProcedure="false">Taxes!$A$2:$AF$44</definedName>
    <definedName function="false" hidden="false" localSheetId="10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11</xdr:rowOff>
              </xdr:from>
              <xdr:to>
                <xdr:col>4</xdr:col>
                <xdr:colOff>18</xdr:colOff>
                <xdr:row>22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20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58</xdr:row>
                <xdr:rowOff>11</xdr:rowOff>
              </xdr:from>
              <xdr:to>
                <xdr:col>10</xdr:col>
                <xdr:colOff>13</xdr:colOff>
                <xdr:row>61</xdr:row>
                <xdr:rowOff>18</xdr:rowOff>
              </xdr:to>
            </anchor>
          </commentPr>
        </mc:Choice>
        <mc:Fallback/>
      </mc:AlternateContent>
    </comment>
    <comment ref="L47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45</xdr:row>
                <xdr:rowOff>10</xdr:rowOff>
              </xdr:from>
              <xdr:to>
                <xdr:col>13</xdr:col>
                <xdr:colOff>-2</xdr:colOff>
                <xdr:row>48</xdr:row>
                <xdr:rowOff>16</xdr:rowOff>
              </xdr:to>
            </anchor>
          </commentPr>
        </mc:Choice>
        <mc:Fallback/>
      </mc:AlternateContent>
    </comment>
    <comment ref="L5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50</xdr:row>
                <xdr:rowOff>13</xdr:rowOff>
              </xdr:from>
              <xdr:to>
                <xdr:col>13</xdr:col>
                <xdr:colOff>-2</xdr:colOff>
                <xdr:row>54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<sst xmlns="http://schemas.openxmlformats.org/spreadsheetml/2006/main" count="572" uniqueCount="455">
  <si>
    <t xml:space="preserve">NOTES</t>
  </si>
  <si>
    <t xml:space="preserve">Please double check the model/pages before sending out to clients as certain information/comment cells/notes etc. may be too detailed to be disclosed</t>
  </si>
  <si>
    <t xml:space="preserve">The model shows only an example of the economics for a LM6000 project. Please update Capital Cost and O&amp;M estimates given by Engineers for</t>
  </si>
  <si>
    <t xml:space="preserve">your specific project, and make necessary changes to modify the model for the transaction structure you are trying to model</t>
  </si>
  <si>
    <t xml:space="preserve">All yellow shaded cells are required input cells</t>
  </si>
  <si>
    <t xml:space="preserve">Please note that the following are very project specific: state taxe, property tax, gross receipt tax, income stream etc.</t>
  </si>
  <si>
    <t xml:space="preserve">When quoting heat rate and capacity to Asset Management, please use average numbers</t>
  </si>
  <si>
    <t xml:space="preserve">Turbine carrying cost are based on assumptions on the WestLB Structure, the numbers may change after 03/15/00</t>
  </si>
  <si>
    <t xml:space="preserve">Heat rate and capacity vary depending on gas compression, altitude, etc.. Please double check with Engineers for specific project heat rate and capacity</t>
  </si>
  <si>
    <t xml:space="preserve">SOURCES</t>
  </si>
  <si>
    <t xml:space="preserve">Source</t>
  </si>
  <si>
    <t xml:space="preserve">Date</t>
  </si>
  <si>
    <t xml:space="preserve">Federal Tax, State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</si>
  <si>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</si>
  <si>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</si>
  <si>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</si>
  <si>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</si>
  <si>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</si>
  <si>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</si>
  <si>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</si>
  <si>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</si>
  <si>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</si>
  <si>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</si>
  <si>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</si>
  <si>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</si>
  <si>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</si>
  <si>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</si>
  <si>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</si>
  <si>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Model/Process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</si>
  <si>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</si>
  <si>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</si>
  <si>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</si>
  <si>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</si>
  <si>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 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</si>
  <si>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</si>
  <si>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</si>
  <si>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</si>
  <si>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</si>
  <si>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</si>
  <si>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</si>
  <si>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</si>
  <si>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</si>
  <si>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</si>
  <si>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</si>
  <si>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</si>
  <si>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im Simpson</t>
  </si>
  <si>
    <t xml:space="preserve">x 3-7202</t>
  </si>
  <si>
    <t xml:space="preserve">Accounting</t>
  </si>
  <si>
    <t xml:space="preserve">Jody Pierce</t>
  </si>
  <si>
    <t xml:space="preserve">x 5-7405</t>
  </si>
  <si>
    <t xml:space="preserve">Tax</t>
  </si>
  <si>
    <t xml:space="preserve">x 3-6174</t>
  </si>
  <si>
    <t xml:space="preserve">TRACKING SHEET</t>
  </si>
  <si>
    <t xml:space="preserve">EQUITY</t>
  </si>
  <si>
    <t xml:space="preserve">DSCR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</si>
  <si>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</si>
  <si>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</si>
  <si>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</si>
  <si>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</si>
  <si>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MIN</t>
  </si>
  <si>
    <t xml:space="preserve">AVGE</t>
  </si>
  <si>
    <t xml:space="preserve">Current </t>
  </si>
  <si>
    <t xml:space="preserve">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</si>
  <si>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</si>
  <si>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</si>
  <si>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</si>
  <si>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</si>
  <si>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</si>
  <si>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TECHNICAL ASSUMPTIONS:</t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</si>
  <si>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</si>
  <si>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</si>
  <si>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</si>
  <si>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</si>
  <si>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</si>
  <si>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</si>
  <si>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</si>
  <si>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</si>
  <si>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</si>
  <si>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</si>
  <si>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</si>
  <si>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</si>
  <si>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</si>
  <si>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</si>
  <si>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</si>
  <si>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</si>
  <si>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</si>
  <si>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</si>
  <si>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</si>
  <si>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</si>
  <si>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</si>
  <si>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Site Condition (MW)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</si>
  <si>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</si>
  <si>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</si>
  <si>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</si>
  <si>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</si>
  <si>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</si>
  <si>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</si>
  <si>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</si>
  <si>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</si>
  <si>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</si>
  <si>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Evaporative Cooler (MW)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</si>
  <si>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</si>
  <si>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</si>
  <si>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</si>
  <si>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</si>
  <si>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</si>
  <si>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Net Output (MW)</t>
  </si>
  <si>
    <t xml:space="preserve">None</t>
  </si>
  <si>
    <t xml:space="preserve">Net Turbine Rating (MW)</t>
  </si>
  <si>
    <t xml:space="preserve">Total Sources</t>
  </si>
  <si>
    <t xml:space="preserve">Heat Rate (HHV)</t>
  </si>
  <si>
    <t xml:space="preserve">Available PSIG</t>
  </si>
  <si>
    <t xml:space="preserve">No. of Construction Months</t>
  </si>
  <si>
    <t xml:space="preserve">No. of Run Hours per year</t>
  </si>
  <si>
    <t xml:space="preserve">Start of Commercial Operation</t>
  </si>
  <si>
    <t xml:space="preserve">With Chillers</t>
  </si>
  <si>
    <t xml:space="preserve">Without Chillers</t>
  </si>
  <si>
    <t xml:space="preserve">Uses of Funds</t>
  </si>
  <si>
    <t xml:space="preserve">No. of Months in the 1st Operating year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</si>
  <si>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</si>
  <si>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Project Life (Years)</t>
  </si>
  <si>
    <t xml:space="preserve">(1st year Annualized)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</si>
  <si>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</si>
  <si>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12"/>
        <color rgb="FFFF0000"/>
        <rFont val="Times New Roman"/>
        <family val="1"/>
      </rPr>
      <t xml:space="preserve">(From Engineers/Nepco):</t>
    </r>
  </si>
  <si>
    <t xml:space="preserve">Location (State)</t>
  </si>
  <si>
    <t xml:space="preserve">MO</t>
  </si>
  <si>
    <t xml:space="preserve">  Turbine (w Carrying Cost)</t>
  </si>
  <si>
    <t xml:space="preserve">CPI Escalator (%)</t>
  </si>
  <si>
    <t xml:space="preserve">  Fin Fan Cooler</t>
  </si>
  <si>
    <t xml:space="preserve">Residual Value (at year 30)</t>
  </si>
  <si>
    <t xml:space="preserve">  BOP &amp; Construction</t>
  </si>
  <si>
    <t xml:space="preserve">Escalated Costs:</t>
  </si>
  <si>
    <t xml:space="preserve">  Pipeline</t>
  </si>
  <si>
    <t xml:space="preserve">000$ -year</t>
  </si>
  <si>
    <t xml:space="preserve">$/kW-year</t>
  </si>
  <si>
    <t xml:space="preserve">$/mW-hour</t>
  </si>
  <si>
    <t xml:space="preserve">  Power Interconnection</t>
  </si>
  <si>
    <t xml:space="preserve">Variable Operating Cost</t>
  </si>
  <si>
    <t xml:space="preserve">  SCR</t>
  </si>
  <si>
    <t xml:space="preserve">Major Maintenance</t>
  </si>
  <si>
    <t xml:space="preserve">  Dual Fuel </t>
  </si>
  <si>
    <t xml:space="preserve">FINANCING ASSUMPTIONS:</t>
  </si>
  <si>
    <t xml:space="preserve">Total VOM</t>
  </si>
  <si>
    <t xml:space="preserve">  Black Start</t>
  </si>
  <si>
    <t xml:space="preserve">DEBT</t>
  </si>
  <si>
    <t xml:space="preserve">Construction Loan</t>
  </si>
  <si>
    <t xml:space="preserve">  Gas Compression</t>
  </si>
  <si>
    <t xml:space="preserve">Debt Issued </t>
  </si>
  <si>
    <t xml:space="preserve">Fixed Operating Expenses</t>
  </si>
  <si>
    <t xml:space="preserve">  Demineralized Water Facility</t>
  </si>
  <si>
    <t xml:space="preserve">Treasury Rate as of:</t>
  </si>
  <si>
    <t xml:space="preserve">Insurance</t>
  </si>
  <si>
    <t xml:space="preserve">  Overhead &amp; Fees - EE&amp;CC</t>
  </si>
  <si>
    <t xml:space="preserve">SG&amp;A </t>
  </si>
  <si>
    <t xml:space="preserve">  Overhead &amp; Fees - Nepco</t>
  </si>
  <si>
    <t xml:space="preserve">Amount ('000 $)</t>
  </si>
  <si>
    <t xml:space="preserve">Utilities, Start Power</t>
  </si>
  <si>
    <t xml:space="preserve">  Chillers</t>
  </si>
  <si>
    <t xml:space="preserve">Term (yrs)</t>
  </si>
  <si>
    <t xml:space="preserve">Marketing Fee</t>
  </si>
  <si>
    <t xml:space="preserve">  Spare Parts</t>
  </si>
  <si>
    <t xml:space="preserve">Final Maturity</t>
  </si>
  <si>
    <t xml:space="preserve">Admin Fees</t>
  </si>
  <si>
    <t xml:space="preserve">Sub Total</t>
  </si>
  <si>
    <t xml:space="preserve">Average Life (yrs)</t>
  </si>
  <si>
    <t xml:space="preserve">O&amp;M Fees</t>
  </si>
  <si>
    <t xml:space="preserve">Total Fixed Escalating Cost</t>
  </si>
  <si>
    <r>
      <rPr>
        <sz val="12"/>
        <rFont val="Times New Roman"/>
        <family val="1"/>
      </rPr>
      <t xml:space="preserve">Soft Cost: </t>
    </r>
    <r>
      <rPr>
        <sz val="12"/>
        <color rgb="FFFF0000"/>
        <rFont val="Times New Roman"/>
        <family val="1"/>
      </rPr>
      <t xml:space="preserve">(From Engineers/Asset Management)</t>
    </r>
  </si>
  <si>
    <t xml:space="preserve">Treasury Rate (%)</t>
  </si>
  <si>
    <t xml:space="preserve">  EE&amp;CC Project Management</t>
  </si>
  <si>
    <t xml:space="preserve">Spread (%)</t>
  </si>
  <si>
    <t xml:space="preserve">Non-Escalated Costs:</t>
  </si>
  <si>
    <t xml:space="preserve">  Mobilization Expenses</t>
  </si>
  <si>
    <t xml:space="preserve">All-In Rate (%)</t>
  </si>
  <si>
    <t xml:space="preserve">  Environmental Permitting</t>
  </si>
  <si>
    <t xml:space="preserve">Property Tax</t>
  </si>
  <si>
    <t xml:space="preserve">  Insurance During Construction</t>
  </si>
  <si>
    <t xml:space="preserve">Maximum DSR Amount (000 $)</t>
  </si>
  <si>
    <t xml:space="preserve">(months/year)</t>
  </si>
  <si>
    <t xml:space="preserve">Franchise Tax</t>
  </si>
  <si>
    <t xml:space="preserve">  Capitalized Salaries</t>
  </si>
  <si>
    <t xml:space="preserve">Debt Service Reserve LOC Fee</t>
  </si>
  <si>
    <t xml:space="preserve">Gross Receipts Tax</t>
  </si>
  <si>
    <t xml:space="preserve">  Owner's Engineer</t>
  </si>
  <si>
    <t xml:space="preserve">Interest Income Rate</t>
  </si>
  <si>
    <t xml:space="preserve">Debt Service Reserve Fee (average 000$)</t>
  </si>
  <si>
    <t xml:space="preserve">  Development Expenses</t>
  </si>
  <si>
    <t xml:space="preserve">  Legal Expense</t>
  </si>
  <si>
    <t xml:space="preserve">DEPRECIATION ASSUMPTIONS:</t>
  </si>
  <si>
    <t xml:space="preserve">  Interconnect Study</t>
  </si>
  <si>
    <t xml:space="preserve">Equity Closed</t>
  </si>
  <si>
    <t xml:space="preserve">  IDC</t>
  </si>
  <si>
    <t xml:space="preserve">Equity Partner's Share</t>
  </si>
  <si>
    <t xml:space="preserve">Year</t>
  </si>
  <si>
    <t xml:space="preserve">Method</t>
  </si>
  <si>
    <t xml:space="preserve">Residual (%)</t>
  </si>
  <si>
    <t xml:space="preserve">  Land</t>
  </si>
  <si>
    <t xml:space="preserve">Enron's Share</t>
  </si>
  <si>
    <t xml:space="preserve">Federal &amp; State Tax Depreciation</t>
  </si>
  <si>
    <t xml:space="preserve">  Sales &amp; Used Tax</t>
  </si>
  <si>
    <t xml:space="preserve">EPC Costs </t>
  </si>
  <si>
    <t xml:space="preserve">MACRS</t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</si>
  <si>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</si>
  <si>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</si>
  <si>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Start-Up Cost</t>
  </si>
  <si>
    <t xml:space="preserve">SL</t>
  </si>
  <si>
    <t xml:space="preserve">Transaction Costs </t>
  </si>
  <si>
    <t xml:space="preserve">Fixed Price PPA</t>
  </si>
  <si>
    <t xml:space="preserve">Financing Costs:</t>
  </si>
  <si>
    <t xml:space="preserve">No. of years</t>
  </si>
  <si>
    <t xml:space="preserve">  Lender's Engineer</t>
  </si>
  <si>
    <t xml:space="preserve">Capacity Charge ($/kW-mo)</t>
  </si>
  <si>
    <t xml:space="preserve">  Lender's Counsel</t>
  </si>
  <si>
    <t xml:space="preserve">  Financing Fee</t>
  </si>
  <si>
    <t xml:space="preserve">Merchant Price Period 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</si>
  <si>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12"/>
        <color rgb="FFFF0000"/>
        <rFont val="Times New Roman"/>
        <family val="1"/>
      </rPr>
      <t xml:space="preserve">(PROJECT MAY INCLUDE SPECIFIC TAXES):</t>
    </r>
  </si>
  <si>
    <t xml:space="preserve">Total Uses</t>
  </si>
  <si>
    <t xml:space="preserve">Variable Payment ($/mW-hour)</t>
  </si>
  <si>
    <t xml:space="preserve">Federal Income Tax Rate (%)</t>
  </si>
  <si>
    <t xml:space="preserve">SUMMARY OUTPUT:</t>
  </si>
  <si>
    <t xml:space="preserve">State Income Tax Rate (average %)</t>
  </si>
  <si>
    <t xml:space="preserve">(Project Specific)</t>
  </si>
  <si>
    <t xml:space="preserve">Net Generation (MW)</t>
  </si>
  <si>
    <t xml:space="preserve">Franchise Tax (% on Net Asset)</t>
  </si>
  <si>
    <t xml:space="preserve">All-in Capital Cost ($/kW)</t>
  </si>
  <si>
    <t xml:space="preserve">Gross Receipts Tax (%)</t>
  </si>
  <si>
    <t xml:space="preserve">Breakeven Capacity Price (first year $/kW-month)</t>
  </si>
  <si>
    <t xml:space="preserve">Sales &amp; Used Tax Rate on Fuel (%)</t>
  </si>
  <si>
    <t xml:space="preserve">Sales &amp; Used Tax Rate on Hard Cost (%)</t>
  </si>
  <si>
    <t xml:space="preserve">Avg.</t>
  </si>
  <si>
    <t xml:space="preserve">Min</t>
  </si>
  <si>
    <t xml:space="preserve">Enron Equity Returns</t>
  </si>
  <si>
    <t xml:space="preserve">30 Yrs After-Tax Cashflow &amp; w/o Residual Value</t>
  </si>
  <si>
    <t xml:space="preserve">30 Yrs After-Tax Cashflow &amp; w Residual Value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</si>
  <si>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</si>
  <si>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</si>
  <si>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</si>
  <si>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</si>
  <si>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After-Tax Cashflow (000 $)</t>
  </si>
  <si>
    <t xml:space="preserve">PRICE ASSUMPTIONS</t>
  </si>
  <si>
    <t xml:space="preserve">Capacity Price $/kW-month</t>
  </si>
  <si>
    <t xml:space="preserve">Fixed Price</t>
  </si>
  <si>
    <t xml:space="preserve">Merchant Price</t>
  </si>
  <si>
    <t xml:space="preserve">Base ($/kW-month)</t>
  </si>
  <si>
    <t xml:space="preserve">Low ($/kW-month)</t>
  </si>
  <si>
    <t xml:space="preserve">Market Price Scenario</t>
  </si>
  <si>
    <t xml:space="preserve">Blended Capacity Price</t>
  </si>
  <si>
    <t xml:space="preserve">Gas Price $/MMBtu</t>
  </si>
  <si>
    <t xml:space="preserve">Index - Average Mid ($/MMBtu)</t>
  </si>
  <si>
    <t xml:space="preserve">Fixed ($/MMBtu)</t>
  </si>
  <si>
    <t xml:space="preserve">Custom ($/MMBtu)</t>
  </si>
  <si>
    <t xml:space="preserve">Sales Tax Rate</t>
  </si>
  <si>
    <t xml:space="preserve">Gas Price Assumption</t>
  </si>
  <si>
    <t xml:space="preserve">Energy Price $/kW-hour</t>
  </si>
  <si>
    <t xml:space="preserve">Fuel $/mW-hour</t>
  </si>
  <si>
    <t xml:space="preserve">Variable O&amp;M ($/mW-hour)</t>
  </si>
  <si>
    <t xml:space="preserve">Marginal cost of Generation $/MWh</t>
  </si>
  <si>
    <t xml:space="preserve">Energy Price Assumption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</si>
  <si>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</si>
  <si>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</si>
  <si>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</si>
  <si>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</si>
  <si>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</si>
  <si>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</si>
  <si>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</si>
  <si>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</si>
  <si>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</si>
  <si>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</si>
  <si>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Utility Start Power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</si>
  <si>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</si>
  <si>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</si>
  <si>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</si>
  <si>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</si>
  <si>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</si>
  <si>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</si>
  <si>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</si>
  <si>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</si>
  <si>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</si>
  <si>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</si>
  <si>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</si>
  <si>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Breakeven Capacity Prices</t>
  </si>
  <si>
    <t xml:space="preserve">ANNUAL CASH FLOW AND IRR</t>
  </si>
  <si>
    <t xml:space="preserve">Close</t>
  </si>
  <si>
    <t xml:space="preserve">PROJECT CASH FLOW</t>
  </si>
  <si>
    <t xml:space="preserve">Less Principal Payments</t>
  </si>
  <si>
    <t xml:space="preserve">Less Interest Payments</t>
  </si>
  <si>
    <t xml:space="preserve">Pre Tax Cash Flow</t>
  </si>
  <si>
    <t xml:space="preserve">  State Tax Benefit / (Expense)</t>
  </si>
  <si>
    <t xml:space="preserve">  Federal Tax Benefit / (Expense)</t>
  </si>
  <si>
    <t xml:space="preserve">After Tax Cash Flow</t>
  </si>
  <si>
    <t xml:space="preserve">Cashflow Available to Equity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</si>
  <si>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</si>
  <si>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</si>
  <si>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</si>
  <si>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</si>
  <si>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</si>
  <si>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</si>
  <si>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</si>
  <si>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</si>
  <si>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</si>
  <si>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</si>
  <si>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</si>
  <si>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</si>
  <si>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</si>
  <si>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</si>
  <si>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</si>
  <si>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</si>
  <si>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</si>
  <si>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</si>
  <si>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</si>
  <si>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</si>
  <si>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</si>
  <si>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</si>
  <si>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</si>
  <si>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</si>
  <si>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</si>
  <si>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</si>
  <si>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</si>
  <si>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</si>
  <si>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</t>
  </si>
  <si>
    <t xml:space="preserve">ENRON'S EQUITY CASHFLOW</t>
  </si>
  <si>
    <t xml:space="preserve"> Enron's State Taxes Benefit (Expense)</t>
  </si>
  <si>
    <t xml:space="preserve"> Enron's Federal Taxes Benefit (Expense)</t>
  </si>
  <si>
    <t xml:space="preserve">Equity Contributions from Enron</t>
  </si>
  <si>
    <t xml:space="preserve">Enron's Cashflow with No Residual</t>
  </si>
  <si>
    <t xml:space="preserve">Equity CF</t>
  </si>
  <si>
    <t xml:space="preserve">Other CF</t>
  </si>
  <si>
    <t xml:space="preserve">Total CF</t>
  </si>
  <si>
    <t xml:space="preserve">IRR</t>
  </si>
  <si>
    <t xml:space="preserve">Enron's Cashflow with Residual Value</t>
  </si>
  <si>
    <t xml:space="preserve">Other Cashflow</t>
  </si>
  <si>
    <t xml:space="preserve">Debt Summary</t>
  </si>
  <si>
    <t xml:space="preserve">Treasury</t>
  </si>
  <si>
    <t xml:space="preserve">Spread</t>
  </si>
  <si>
    <t xml:space="preserve">All In Coupon Rate</t>
  </si>
  <si>
    <t xml:space="preserve">Term </t>
  </si>
  <si>
    <t xml:space="preserve">Average Life </t>
  </si>
  <si>
    <t xml:space="preserve">Total amount ($ '000)</t>
  </si>
  <si>
    <t xml:space="preserve">DEBT ISSUANCE</t>
  </si>
  <si>
    <t xml:space="preserve">Target DS</t>
  </si>
  <si>
    <t xml:space="preserve">Principal</t>
  </si>
  <si>
    <t xml:space="preserve">(Construction)</t>
  </si>
  <si>
    <t xml:space="preserve">Beginning Balance</t>
  </si>
  <si>
    <t xml:space="preserve">Addition</t>
  </si>
  <si>
    <t xml:space="preserve">Principal Payment </t>
  </si>
  <si>
    <t xml:space="preserve">Interest Payment </t>
  </si>
  <si>
    <t xml:space="preserve">Ending Balance</t>
  </si>
  <si>
    <t xml:space="preserve">Pro-rata EBITDA</t>
  </si>
  <si>
    <t xml:space="preserve">(Debt Anniversay)</t>
  </si>
  <si>
    <t xml:space="preserve">Principal Payments</t>
  </si>
  <si>
    <t xml:space="preserve">Net Debt Service</t>
  </si>
  <si>
    <t xml:space="preserve">Average DSCR </t>
  </si>
  <si>
    <t xml:space="preserve">Minimum DSCR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</si>
  <si>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</si>
  <si>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</si>
  <si>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</si>
  <si>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</si>
  <si>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</si>
  <si>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</si>
  <si>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</si>
  <si>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</si>
  <si>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</si>
  <si>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</si>
  <si>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</si>
  <si>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</si>
  <si>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</si>
  <si>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</si>
  <si>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</si>
  <si>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</si>
  <si>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</si>
  <si>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</si>
  <si>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</si>
  <si>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</si>
  <si>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</si>
  <si>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</si>
  <si>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</si>
  <si>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</si>
  <si>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</si>
  <si>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</si>
  <si>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</si>
  <si>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</si>
  <si>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</si>
  <si>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</si>
  <si>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</si>
  <si>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</si>
  <si>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</si>
  <si>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</si>
  <si>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</si>
  <si>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</si>
  <si>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Hard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</si>
  <si>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</si>
  <si>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</si>
  <si>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</si>
  <si>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</si>
  <si>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</si>
  <si>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</si>
  <si>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</si>
  <si>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</si>
  <si>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</si>
  <si>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Balance</t>
  </si>
  <si>
    <t xml:space="preserve">Interest</t>
  </si>
  <si>
    <t xml:space="preserve">Cum. Interest</t>
  </si>
  <si>
    <t xml:space="preserve">Month</t>
  </si>
  <si>
    <t xml:space="preserve">% Drawn</t>
  </si>
  <si>
    <t xml:space="preserve">(000$)</t>
  </si>
  <si>
    <t xml:space="preserve">TURBINE DELIVERY SCHEDULE</t>
  </si>
  <si>
    <t xml:space="preserve">UNIT</t>
  </si>
  <si>
    <t xml:space="preserve">TURBINES</t>
  </si>
  <si>
    <t xml:space="preserve">DELIVERY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</si>
  <si>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</si>
  <si>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</si>
  <si>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</si>
  <si>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</si>
  <si>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</si>
  <si>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</si>
  <si>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</si>
  <si>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</si>
  <si>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</si>
  <si>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</si>
  <si>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</si>
  <si>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</si>
  <si>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</si>
  <si>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</si>
  <si>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</si>
  <si>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</si>
  <si>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</si>
  <si>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</si>
  <si>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WestLB Structuring, Restructuring &amp; Legal Fees</t>
  </si>
  <si>
    <t xml:space="preserve">TOTAL PRICE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</si>
  <si>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</si>
  <si>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</si>
  <si>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</si>
  <si>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</si>
  <si>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</si>
  <si>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</si>
  <si>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(MW)</t>
  </si>
  <si>
    <t xml:space="preserve">Unit Auxiliary Power (MW)</t>
  </si>
  <si>
    <t xml:space="preserve">Main Power Transformer (MW)</t>
  </si>
  <si>
    <t xml:space="preserve">Gas Compression (MW)</t>
  </si>
  <si>
    <t xml:space="preserve">Chiller Load</t>
  </si>
  <si>
    <t xml:space="preserve">Net Plant Capacity</t>
  </si>
  <si>
    <t xml:space="preserve">Heat Rate - Plant Net of GSU and Auxiliary (LHV)</t>
  </si>
  <si>
    <t xml:space="preserve">suction press.</t>
  </si>
  <si>
    <t xml:space="preserve">psig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</si>
  <si>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</si>
  <si>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</si>
  <si>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</si>
  <si>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</si>
  <si>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design gas flow</t>
  </si>
  <si>
    <t xml:space="preserve">MMscfd</t>
  </si>
  <si>
    <t xml:space="preserve">gas compressibility</t>
  </si>
  <si>
    <t xml:space="preserve"> </t>
  </si>
  <si>
    <t xml:space="preserve">compression ratio</t>
  </si>
  <si>
    <t xml:space="preserve">compression power</t>
  </si>
  <si>
    <t xml:space="preserve">kW</t>
  </si>
</sst>
</file>

<file path=xl/styles.xml><?xml version="1.0" encoding="utf-8"?>
<styleSheet xmlns="http://schemas.openxmlformats.org/spreadsheetml/2006/main">
  <numFmts count="91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_);_(* \(#,##0\);_(* \-??_);_(@_)"/>
    <numFmt numFmtId="246" formatCode="d\-mmm\-yy"/>
    <numFmt numFmtId="247" formatCode="0.00\x"/>
    <numFmt numFmtId="248" formatCode="0.000%"/>
    <numFmt numFmtId="249" formatCode="\$#,##0.00_);&quot;($&quot;#,##0.00\)"/>
    <numFmt numFmtId="250" formatCode="0.0"/>
    <numFmt numFmtId="251" formatCode="m/d/yy"/>
    <numFmt numFmtId="252" formatCode="_(* #,##0.0_);_(* \(#,##0.0\);_(* \-??_);_(@_)"/>
    <numFmt numFmtId="253" formatCode="0_)"/>
    <numFmt numFmtId="254" formatCode="_(\$* #,##0_);_(\$* \(#,##0\);_(\$* \-??_);_(@_)"/>
  </numFmts>
  <fonts count="10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color rgb="FFFF0000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u val="single"/>
      <sz val="12"/>
      <name val="Times New Roman"/>
      <family val="1"/>
    </font>
    <font>
      <b val="true"/>
      <sz val="16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u val="single"/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sz val="12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u val="single"/>
      <sz val="10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FF0000"/>
      <name val="Times New Roman"/>
      <family val="1"/>
    </font>
    <font>
      <b val="true"/>
      <i val="true"/>
      <u val="single"/>
      <sz val="14"/>
      <name val="Times New Roman"/>
      <family val="1"/>
    </font>
    <font>
      <b val="true"/>
      <sz val="12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b val="true"/>
      <u val="single"/>
      <sz val="1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FFFFFF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9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8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32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6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1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1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4" fillId="8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32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2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0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8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32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32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32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3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7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4" fontId="28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75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8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7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8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2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2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7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8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8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7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9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9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8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7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7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7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5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7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7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9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8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0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67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2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8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8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5" fillId="7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10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7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6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37</xdr:row>
          <xdr:rowOff>0</xdr:rowOff>
        </xdr:from>
        <xdr:to>
          <xdr:col>13</xdr:col>
          <xdr:colOff>30960</xdr:colOff>
          <xdr:row>38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199800</xdr:rowOff>
        </xdr:from>
        <xdr:to>
          <xdr:col>8</xdr:col>
          <xdr:colOff>-28800</xdr:colOff>
          <xdr:row>56</xdr:row>
          <xdr:rowOff>200160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9720</xdr:rowOff>
        </xdr:from>
        <xdr:to>
          <xdr:col>9</xdr:col>
          <xdr:colOff>1440</xdr:colOff>
          <xdr:row>59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-28800</xdr:colOff>
          <xdr:row>21</xdr:row>
          <xdr:rowOff>9360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9720</xdr:colOff>
          <xdr:row>9</xdr:row>
          <xdr:rowOff>9360</xdr:rowOff>
        </xdr:from>
        <xdr:to>
          <xdr:col>15</xdr:col>
          <xdr:colOff>-9000</xdr:colOff>
          <xdr:row>10</xdr:row>
          <xdr:rowOff>9360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181440</xdr:rowOff>
        </xdr:from>
        <xdr:to>
          <xdr:col>7</xdr:col>
          <xdr:colOff>-8640</xdr:colOff>
          <xdr:row>26</xdr:row>
          <xdr:rowOff>190440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27</xdr:row>
          <xdr:rowOff>28440</xdr:rowOff>
        </xdr:from>
        <xdr:to>
          <xdr:col>1</xdr:col>
          <xdr:colOff>-490680</xdr:colOff>
          <xdr:row>29</xdr:row>
          <xdr:rowOff>38160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rownsville_01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B2" s="3"/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4" t="n">
        <v>1</v>
      </c>
      <c r="B4" s="5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4" t="n">
        <v>2</v>
      </c>
      <c r="B5" s="5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4"/>
      <c r="B6" s="5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4" t="n">
        <v>3</v>
      </c>
      <c r="B7" s="6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4" t="n">
        <v>4</v>
      </c>
      <c r="B8" s="4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4" t="n">
        <v>5</v>
      </c>
      <c r="B9" s="4" t="s">
        <v>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A10" s="4" t="n">
        <v>6</v>
      </c>
      <c r="B10" s="4" t="s">
        <v>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 t="n">
        <v>7</v>
      </c>
      <c r="B11" s="4" t="s">
        <v>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5.7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8.75" hidden="false" customHeight="false" outlineLevel="0" collapsed="false">
      <c r="A15" s="2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8.75" hidden="false" customHeight="false" outlineLevel="0" collapsed="false">
      <c r="A16" s="7"/>
      <c r="B16" s="4"/>
      <c r="C16" s="4"/>
      <c r="D16" s="4"/>
      <c r="E16" s="4"/>
      <c r="F16" s="4"/>
      <c r="G16" s="4"/>
      <c r="H16" s="4"/>
      <c r="I16" s="8" t="s">
        <v>10</v>
      </c>
      <c r="J16" s="4"/>
      <c r="K16" s="4"/>
      <c r="L16" s="4"/>
      <c r="M16" s="4"/>
      <c r="N16" s="4"/>
      <c r="O16" s="8" t="s">
        <v>11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4" t="n">
        <v>1</v>
      </c>
      <c r="B17" s="4" t="s">
        <v>12</v>
      </c>
      <c r="C17" s="4"/>
      <c r="D17" s="4"/>
      <c r="E17" s="4"/>
      <c r="F17" s="4"/>
      <c r="G17" s="4"/>
      <c r="H17" s="4"/>
      <c r="I17" s="4" t="s">
        <v>13</v>
      </c>
      <c r="J17" s="4"/>
      <c r="K17" s="4"/>
      <c r="L17" s="4"/>
      <c r="M17" s="4"/>
      <c r="N17" s="4"/>
      <c r="O17" s="9" t="n">
        <v>36560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4"/>
      <c r="B18" s="4" t="s">
        <v>14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4" t="n">
        <v>2</v>
      </c>
      <c r="B19" s="4" t="s">
        <v>15</v>
      </c>
      <c r="C19" s="4"/>
      <c r="D19" s="4"/>
      <c r="E19" s="4"/>
      <c r="F19" s="4"/>
      <c r="G19" s="4"/>
      <c r="H19" s="4"/>
      <c r="I19" s="4" t="s">
        <v>13</v>
      </c>
      <c r="J19" s="4"/>
      <c r="K19" s="4"/>
      <c r="L19" s="4"/>
      <c r="M19" s="4"/>
      <c r="N19" s="4"/>
      <c r="O19" s="9" t="n">
        <v>36560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4" t="n">
        <v>3</v>
      </c>
      <c r="B20" s="4" t="s">
        <v>16</v>
      </c>
      <c r="C20" s="4"/>
      <c r="D20" s="4"/>
      <c r="E20" s="4"/>
      <c r="F20" s="4"/>
      <c r="G20" s="4"/>
      <c r="H20" s="4"/>
      <c r="I20" s="4" t="s">
        <v>17</v>
      </c>
      <c r="J20" s="4"/>
      <c r="K20" s="4"/>
      <c r="L20" s="4"/>
      <c r="M20" s="4"/>
      <c r="N20" s="4"/>
      <c r="O20" s="9" t="n">
        <v>36559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4" t="n">
        <v>4</v>
      </c>
      <c r="B21" s="4" t="s">
        <v>18</v>
      </c>
      <c r="C21" s="4"/>
      <c r="D21" s="4"/>
      <c r="E21" s="4"/>
      <c r="F21" s="4"/>
      <c r="G21" s="4"/>
      <c r="H21" s="4"/>
      <c r="I21" s="4" t="s">
        <v>19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4" t="n">
        <v>5</v>
      </c>
      <c r="B22" s="4" t="s">
        <v>20</v>
      </c>
      <c r="C22" s="4"/>
      <c r="D22" s="4"/>
      <c r="E22" s="4"/>
      <c r="F22" s="4"/>
      <c r="G22" s="4"/>
      <c r="H22" s="4"/>
      <c r="I22" s="4" t="s">
        <v>21</v>
      </c>
      <c r="J22" s="4"/>
      <c r="K22" s="4"/>
      <c r="L22" s="4"/>
      <c r="M22" s="4"/>
      <c r="N22" s="4"/>
      <c r="O22" s="9" t="n">
        <v>36564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4" t="n">
        <v>6</v>
      </c>
      <c r="B23" s="4" t="s">
        <v>22</v>
      </c>
      <c r="C23" s="4"/>
      <c r="D23" s="4"/>
      <c r="E23" s="4"/>
      <c r="F23" s="4"/>
      <c r="G23" s="4"/>
      <c r="H23" s="4"/>
      <c r="I23" s="4" t="s">
        <v>23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8.75" hidden="false" customHeight="false" outlineLevel="0" collapsed="false">
      <c r="A26" s="2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5.75" hidden="false" customHeight="false" outlineLevel="0" collapsed="false">
      <c r="A28" s="4"/>
      <c r="B28" s="10" t="s">
        <v>25</v>
      </c>
      <c r="C28" s="4"/>
      <c r="D28" s="4"/>
      <c r="E28" s="10" t="s">
        <v>26</v>
      </c>
      <c r="F28" s="10"/>
      <c r="G28" s="10"/>
      <c r="H28" s="10" t="s">
        <v>27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A29" s="4"/>
      <c r="B29" s="4" t="s">
        <v>28</v>
      </c>
      <c r="C29" s="4"/>
      <c r="D29" s="4"/>
      <c r="E29" s="4" t="s">
        <v>29</v>
      </c>
      <c r="F29" s="4"/>
      <c r="G29" s="4"/>
      <c r="H29" s="4" t="s">
        <v>30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A30" s="4"/>
      <c r="B30" s="4"/>
      <c r="C30" s="4"/>
      <c r="D30" s="4"/>
      <c r="E30" s="4" t="s">
        <v>31</v>
      </c>
      <c r="F30" s="4"/>
      <c r="G30" s="4"/>
      <c r="H30" s="4" t="s">
        <v>32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A31" s="4"/>
      <c r="B31" s="4" t="s">
        <v>33</v>
      </c>
      <c r="C31" s="4"/>
      <c r="D31" s="4"/>
      <c r="E31" s="4" t="s">
        <v>34</v>
      </c>
      <c r="F31" s="4"/>
      <c r="G31" s="4"/>
      <c r="H31" s="4" t="s">
        <v>35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A32" s="4"/>
      <c r="B32" s="4" t="s">
        <v>36</v>
      </c>
      <c r="C32" s="4"/>
      <c r="D32" s="4"/>
      <c r="E32" s="4" t="s">
        <v>37</v>
      </c>
      <c r="F32" s="4"/>
      <c r="G32" s="4"/>
      <c r="H32" s="4" t="s">
        <v>38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A33" s="4"/>
      <c r="B33" s="4"/>
      <c r="C33" s="4"/>
      <c r="D33" s="4"/>
      <c r="E33" s="4" t="s">
        <v>21</v>
      </c>
      <c r="F33" s="4"/>
      <c r="G33" s="4"/>
      <c r="H33" s="4" t="s">
        <v>39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A34" s="4"/>
      <c r="B34" s="4"/>
      <c r="C34" s="4"/>
      <c r="D34" s="4"/>
      <c r="E34" s="4" t="s">
        <v>40</v>
      </c>
      <c r="F34" s="4"/>
      <c r="G34" s="4"/>
      <c r="H34" s="4" t="s">
        <v>41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A35" s="4"/>
      <c r="B35" s="4" t="s">
        <v>42</v>
      </c>
      <c r="C35" s="4"/>
      <c r="D35" s="4"/>
      <c r="E35" s="4" t="s">
        <v>43</v>
      </c>
      <c r="F35" s="4"/>
      <c r="G35" s="4"/>
      <c r="H35" s="4" t="s">
        <v>44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A36" s="4"/>
      <c r="B36" s="4" t="s">
        <v>22</v>
      </c>
      <c r="C36" s="4"/>
      <c r="D36" s="4"/>
      <c r="E36" s="4" t="s">
        <v>45</v>
      </c>
      <c r="F36" s="4"/>
      <c r="G36" s="4"/>
      <c r="H36" s="4" t="s">
        <v>46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A37" s="4"/>
      <c r="B37" s="4" t="s">
        <v>47</v>
      </c>
      <c r="C37" s="4"/>
      <c r="D37" s="4"/>
      <c r="E37" s="4" t="s">
        <v>48</v>
      </c>
      <c r="F37" s="4"/>
      <c r="G37" s="4"/>
      <c r="H37" s="4" t="s">
        <v>49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A38" s="4"/>
      <c r="B38" s="4" t="s">
        <v>50</v>
      </c>
      <c r="C38" s="4"/>
      <c r="D38" s="4"/>
      <c r="E38" s="4" t="s">
        <v>13</v>
      </c>
      <c r="F38" s="4"/>
      <c r="G38" s="4"/>
      <c r="H38" s="4" t="s">
        <v>51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4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258" t="s">
        <v>355</v>
      </c>
    </row>
    <row r="5" customFormat="false" ht="12.75" hidden="false" customHeight="false" outlineLevel="0" collapsed="false">
      <c r="Z5" s="385"/>
    </row>
    <row r="6" customFormat="false" ht="12.75" hidden="false" customHeight="false" outlineLevel="0" collapsed="false">
      <c r="D6" s="231" t="n">
        <f aca="false">'Price Assumption'!D7</f>
        <v>0.666666666666667</v>
      </c>
      <c r="E6" s="231" t="n">
        <f aca="false">'Price Assumption'!E7</f>
        <v>1.66666666666667</v>
      </c>
      <c r="F6" s="231" t="n">
        <f aca="false">'Price Assumption'!F7</f>
        <v>2.66666666666667</v>
      </c>
      <c r="G6" s="231" t="n">
        <f aca="false">'Price Assumption'!G7</f>
        <v>3.66666666666667</v>
      </c>
      <c r="H6" s="231" t="n">
        <f aca="false">'Price Assumption'!H7</f>
        <v>4.66666666666667</v>
      </c>
      <c r="I6" s="231" t="n">
        <f aca="false">'Price Assumption'!I7</f>
        <v>5.66666666666667</v>
      </c>
      <c r="J6" s="231" t="n">
        <f aca="false">'Price Assumption'!J7</f>
        <v>6.66666666666667</v>
      </c>
      <c r="K6" s="231" t="n">
        <f aca="false">'Price Assumption'!K7</f>
        <v>7.66666666666667</v>
      </c>
      <c r="L6" s="231" t="n">
        <f aca="false">'Price Assumption'!L7</f>
        <v>8.66666666666667</v>
      </c>
      <c r="M6" s="231" t="n">
        <f aca="false">'Price Assumption'!M7</f>
        <v>9.66666666666667</v>
      </c>
      <c r="N6" s="231" t="n">
        <f aca="false">'Price Assumption'!N7</f>
        <v>10.6666666666667</v>
      </c>
      <c r="O6" s="231" t="n">
        <f aca="false">'Price Assumption'!O7</f>
        <v>11.6666666666667</v>
      </c>
      <c r="P6" s="231" t="n">
        <f aca="false">'Price Assumption'!P7</f>
        <v>12.6666666666667</v>
      </c>
      <c r="Q6" s="231" t="n">
        <f aca="false">'Price Assumption'!Q7</f>
        <v>13.6666666666667</v>
      </c>
      <c r="R6" s="231" t="n">
        <f aca="false">'Price Assumption'!R7</f>
        <v>14.6666666666667</v>
      </c>
      <c r="S6" s="231" t="n">
        <f aca="false">'Price Assumption'!S7</f>
        <v>15.6666666666667</v>
      </c>
      <c r="T6" s="231" t="n">
        <f aca="false">'Price Assumption'!T7</f>
        <v>16.6666666666667</v>
      </c>
      <c r="U6" s="231" t="n">
        <f aca="false">'Price Assumption'!U7</f>
        <v>17.6666666666667</v>
      </c>
      <c r="V6" s="231" t="n">
        <f aca="false">'Price Assumption'!V7</f>
        <v>18.6666666666667</v>
      </c>
      <c r="W6" s="231" t="n">
        <f aca="false">'Price Assumption'!W7</f>
        <v>19.6666666666667</v>
      </c>
      <c r="X6" s="231" t="n">
        <f aca="false">'Price Assumption'!X7</f>
        <v>20.6666666666667</v>
      </c>
      <c r="Y6" s="231" t="n">
        <f aca="false">'Price Assumption'!Y7</f>
        <v>21.6666666666667</v>
      </c>
      <c r="Z6" s="231" t="n">
        <f aca="false">'Price Assumption'!Z7</f>
        <v>22.6666666666667</v>
      </c>
      <c r="AA6" s="231" t="n">
        <f aca="false">'Price Assumption'!AA7</f>
        <v>23.6666666666667</v>
      </c>
      <c r="AB6" s="231" t="n">
        <f aca="false">'Price Assumption'!AB7</f>
        <v>24.6666666666667</v>
      </c>
      <c r="AC6" s="231" t="n">
        <f aca="false">'Price Assumption'!AC7</f>
        <v>25.6666666666667</v>
      </c>
      <c r="AD6" s="231" t="n">
        <f aca="false">'Price Assumption'!AD7</f>
        <v>26.6666666666667</v>
      </c>
      <c r="AE6" s="231" t="n">
        <f aca="false">'Price Assumption'!AE7</f>
        <v>27.6666666666667</v>
      </c>
      <c r="AF6" s="231" t="n">
        <f aca="false">'Price Assumption'!AF7</f>
        <v>28.6666666666667</v>
      </c>
      <c r="AG6" s="231" t="n">
        <f aca="false">'Price Assumption'!AG7</f>
        <v>29.6666666666667</v>
      </c>
      <c r="AH6" s="231" t="n">
        <f aca="false">'Price Assumption'!AH7</f>
        <v>30.6666666666667</v>
      </c>
    </row>
    <row r="7" customFormat="false" ht="13.5" hidden="false" customHeight="false" outlineLevel="0" collapsed="false">
      <c r="A7" s="259" t="s">
        <v>259</v>
      </c>
      <c r="B7" s="386"/>
      <c r="C7" s="386"/>
      <c r="D7" s="260" t="n">
        <f aca="false">'Price Assumption'!D8</f>
        <v>2001</v>
      </c>
      <c r="E7" s="260" t="n">
        <f aca="false">'Price Assumption'!E8</f>
        <v>2002</v>
      </c>
      <c r="F7" s="260" t="n">
        <f aca="false">'Price Assumption'!F8</f>
        <v>2003</v>
      </c>
      <c r="G7" s="260" t="n">
        <f aca="false">'Price Assumption'!G8</f>
        <v>2004</v>
      </c>
      <c r="H7" s="260" t="n">
        <f aca="false">'Price Assumption'!H8</f>
        <v>2005</v>
      </c>
      <c r="I7" s="260" t="n">
        <f aca="false">'Price Assumption'!I8</f>
        <v>2006</v>
      </c>
      <c r="J7" s="260" t="n">
        <f aca="false">'Price Assumption'!J8</f>
        <v>2007</v>
      </c>
      <c r="K7" s="260" t="n">
        <f aca="false">'Price Assumption'!K8</f>
        <v>2008</v>
      </c>
      <c r="L7" s="260" t="n">
        <f aca="false">'Price Assumption'!L8</f>
        <v>2009</v>
      </c>
      <c r="M7" s="260" t="n">
        <f aca="false">'Price Assumption'!M8</f>
        <v>2010</v>
      </c>
      <c r="N7" s="260" t="n">
        <f aca="false">'Price Assumption'!N8</f>
        <v>2011</v>
      </c>
      <c r="O7" s="260" t="n">
        <f aca="false">'Price Assumption'!O8</f>
        <v>2012</v>
      </c>
      <c r="P7" s="260" t="n">
        <f aca="false">'Price Assumption'!P8</f>
        <v>2013</v>
      </c>
      <c r="Q7" s="260" t="n">
        <f aca="false">'Price Assumption'!Q8</f>
        <v>2014</v>
      </c>
      <c r="R7" s="260" t="n">
        <f aca="false">'Price Assumption'!R8</f>
        <v>2015</v>
      </c>
      <c r="S7" s="260" t="n">
        <f aca="false">'Price Assumption'!S8</f>
        <v>2016</v>
      </c>
      <c r="T7" s="260" t="n">
        <f aca="false">'Price Assumption'!T8</f>
        <v>2017</v>
      </c>
      <c r="U7" s="260" t="n">
        <f aca="false">'Price Assumption'!U8</f>
        <v>2018</v>
      </c>
      <c r="V7" s="260" t="n">
        <f aca="false">'Price Assumption'!V8</f>
        <v>2019</v>
      </c>
      <c r="W7" s="260" t="n">
        <f aca="false">'Price Assumption'!W8</f>
        <v>2020</v>
      </c>
      <c r="X7" s="260" t="n">
        <f aca="false">'Price Assumption'!X8</f>
        <v>2021</v>
      </c>
      <c r="Y7" s="260" t="n">
        <f aca="false">'Price Assumption'!Y8</f>
        <v>2022</v>
      </c>
      <c r="Z7" s="260" t="n">
        <f aca="false">'Price Assumption'!Z8</f>
        <v>2023</v>
      </c>
      <c r="AA7" s="260" t="n">
        <f aca="false">'Price Assumption'!AA8</f>
        <v>2024</v>
      </c>
      <c r="AB7" s="260" t="n">
        <f aca="false">'Price Assumption'!AB8</f>
        <v>2025</v>
      </c>
      <c r="AC7" s="260" t="n">
        <f aca="false">'Price Assumption'!AC8</f>
        <v>2026</v>
      </c>
      <c r="AD7" s="260" t="n">
        <f aca="false">'Price Assumption'!AD8</f>
        <v>2027</v>
      </c>
      <c r="AE7" s="260" t="n">
        <f aca="false">'Price Assumption'!AE8</f>
        <v>2028</v>
      </c>
      <c r="AF7" s="260" t="n">
        <f aca="false">'Price Assumption'!AF8</f>
        <v>2029</v>
      </c>
      <c r="AG7" s="260" t="n">
        <f aca="false">'Price Assumption'!AG8</f>
        <v>2030</v>
      </c>
      <c r="AH7" s="260" t="n">
        <f aca="false">'Price Assumption'!AH8</f>
        <v>2031</v>
      </c>
      <c r="AI7" s="387"/>
      <c r="AJ7" s="387"/>
      <c r="AK7" s="387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7"/>
      <c r="BG7" s="387"/>
      <c r="BH7" s="387"/>
      <c r="BI7" s="387"/>
      <c r="BJ7" s="387"/>
      <c r="BK7" s="387"/>
      <c r="BL7" s="387"/>
      <c r="BM7" s="387"/>
      <c r="BN7" s="387"/>
      <c r="BO7" s="387"/>
      <c r="BP7" s="387"/>
      <c r="BQ7" s="387"/>
      <c r="BR7" s="387"/>
      <c r="BS7" s="387"/>
      <c r="BT7" s="387"/>
      <c r="BU7" s="387"/>
      <c r="BV7" s="387"/>
      <c r="BW7" s="387"/>
      <c r="BX7" s="387"/>
      <c r="BY7" s="387"/>
      <c r="BZ7" s="387"/>
      <c r="CA7" s="387"/>
      <c r="CB7" s="387"/>
      <c r="CC7" s="387"/>
      <c r="CD7" s="387"/>
      <c r="CE7" s="387"/>
      <c r="CF7" s="387"/>
      <c r="CG7" s="387"/>
      <c r="CH7" s="387"/>
      <c r="CI7" s="387"/>
      <c r="CJ7" s="387"/>
      <c r="CK7" s="387"/>
      <c r="CL7" s="387"/>
      <c r="CM7" s="387"/>
      <c r="CN7" s="387"/>
      <c r="CO7" s="387"/>
      <c r="CP7" s="387"/>
      <c r="CQ7" s="387"/>
      <c r="CR7" s="387"/>
      <c r="CS7" s="387"/>
      <c r="CT7" s="387"/>
      <c r="CU7" s="387"/>
      <c r="CV7" s="387"/>
      <c r="CW7" s="387"/>
      <c r="CX7" s="387"/>
      <c r="CY7" s="387"/>
      <c r="CZ7" s="387"/>
      <c r="DA7" s="387"/>
      <c r="DB7" s="387"/>
      <c r="DC7" s="387"/>
      <c r="DD7" s="387"/>
      <c r="DE7" s="387"/>
      <c r="DF7" s="387"/>
      <c r="DG7" s="387"/>
      <c r="DH7" s="387"/>
      <c r="DI7" s="387"/>
      <c r="DJ7" s="387"/>
      <c r="DK7" s="387"/>
      <c r="DL7" s="387"/>
      <c r="DM7" s="387"/>
      <c r="DN7" s="387"/>
      <c r="DO7" s="387"/>
      <c r="DP7" s="387"/>
      <c r="DQ7" s="387"/>
      <c r="DR7" s="387"/>
      <c r="DS7" s="387"/>
      <c r="DT7" s="387"/>
      <c r="DU7" s="387"/>
      <c r="DV7" s="387"/>
      <c r="DW7" s="387"/>
      <c r="DX7" s="387"/>
      <c r="DY7" s="387"/>
      <c r="DZ7" s="387"/>
      <c r="EA7" s="387"/>
      <c r="EB7" s="387"/>
      <c r="EC7" s="387"/>
      <c r="ED7" s="387"/>
      <c r="EE7" s="387"/>
      <c r="EF7" s="387"/>
      <c r="EG7" s="387"/>
      <c r="EH7" s="387"/>
      <c r="EI7" s="387"/>
      <c r="EJ7" s="387"/>
      <c r="EK7" s="387"/>
      <c r="EL7" s="387"/>
      <c r="EM7" s="387"/>
      <c r="EN7" s="387"/>
      <c r="EO7" s="387"/>
      <c r="EP7" s="387"/>
      <c r="EQ7" s="387"/>
      <c r="ER7" s="387"/>
      <c r="ES7" s="387"/>
      <c r="ET7" s="387"/>
      <c r="EU7" s="387"/>
      <c r="EV7" s="387"/>
      <c r="EW7" s="387"/>
      <c r="EX7" s="387"/>
      <c r="EY7" s="387"/>
      <c r="EZ7" s="387"/>
      <c r="FA7" s="387"/>
      <c r="FB7" s="387"/>
      <c r="FC7" s="387"/>
      <c r="FD7" s="387"/>
      <c r="FE7" s="387"/>
      <c r="FF7" s="387"/>
      <c r="FG7" s="387"/>
      <c r="FH7" s="387"/>
      <c r="FI7" s="387"/>
      <c r="FJ7" s="387"/>
      <c r="FK7" s="387"/>
      <c r="FL7" s="387"/>
      <c r="FM7" s="387"/>
      <c r="FN7" s="387"/>
      <c r="FO7" s="387"/>
      <c r="FP7" s="387"/>
      <c r="FQ7" s="387"/>
      <c r="FR7" s="387"/>
      <c r="FS7" s="387"/>
      <c r="FT7" s="387"/>
      <c r="FU7" s="387"/>
      <c r="FV7" s="387"/>
      <c r="FW7" s="387"/>
      <c r="FX7" s="387"/>
      <c r="FY7" s="387"/>
      <c r="FZ7" s="387"/>
      <c r="GA7" s="387"/>
      <c r="GB7" s="387"/>
      <c r="GC7" s="387"/>
      <c r="GD7" s="387"/>
      <c r="GE7" s="387"/>
      <c r="GF7" s="387"/>
      <c r="GG7" s="387"/>
      <c r="GH7" s="387"/>
      <c r="GI7" s="387"/>
      <c r="GJ7" s="387"/>
      <c r="GK7" s="387"/>
      <c r="GL7" s="387"/>
      <c r="GM7" s="387"/>
      <c r="GN7" s="387"/>
      <c r="GO7" s="387"/>
      <c r="GP7" s="387"/>
      <c r="GQ7" s="387"/>
      <c r="GR7" s="387"/>
      <c r="GS7" s="387"/>
      <c r="GT7" s="387"/>
      <c r="GU7" s="387"/>
      <c r="GV7" s="387"/>
      <c r="GW7" s="387"/>
      <c r="GX7" s="387"/>
      <c r="GY7" s="387"/>
      <c r="GZ7" s="387"/>
      <c r="HA7" s="387"/>
      <c r="HB7" s="387"/>
      <c r="HC7" s="387"/>
      <c r="HD7" s="387"/>
      <c r="HE7" s="387"/>
      <c r="HF7" s="387"/>
      <c r="HG7" s="387"/>
      <c r="HH7" s="387"/>
      <c r="HI7" s="387"/>
      <c r="HJ7" s="387"/>
      <c r="HK7" s="387"/>
      <c r="HL7" s="387"/>
      <c r="HM7" s="387"/>
      <c r="HN7" s="387"/>
      <c r="HO7" s="387"/>
      <c r="HP7" s="387"/>
      <c r="HQ7" s="387"/>
      <c r="HR7" s="387"/>
      <c r="HS7" s="387"/>
      <c r="HT7" s="387"/>
      <c r="HU7" s="387"/>
      <c r="HV7" s="387"/>
      <c r="HW7" s="387"/>
      <c r="HX7" s="387"/>
      <c r="HY7" s="387"/>
      <c r="HZ7" s="387"/>
      <c r="IA7" s="387"/>
      <c r="IB7" s="387"/>
      <c r="IC7" s="387"/>
      <c r="ID7" s="387"/>
      <c r="IE7" s="387"/>
      <c r="IF7" s="387"/>
      <c r="IG7" s="387"/>
      <c r="IH7" s="387"/>
      <c r="II7" s="387"/>
      <c r="IJ7" s="387"/>
      <c r="IK7" s="387"/>
      <c r="IL7" s="387"/>
      <c r="IM7" s="387"/>
      <c r="IN7" s="387"/>
      <c r="IO7" s="387"/>
      <c r="IP7" s="387"/>
      <c r="IQ7" s="387"/>
      <c r="IR7" s="387"/>
      <c r="IS7" s="387"/>
      <c r="IT7" s="387"/>
      <c r="IU7" s="387"/>
      <c r="IV7" s="387"/>
      <c r="IW7" s="387"/>
    </row>
    <row r="8" customFormat="false" ht="12.75" hidden="false" customHeight="false" outlineLevel="0" collapsed="false">
      <c r="A8" s="282"/>
      <c r="B8" s="388"/>
      <c r="C8" s="388"/>
      <c r="D8" s="389" t="n">
        <f aca="false">IS!C8</f>
        <v>37255.5</v>
      </c>
      <c r="E8" s="389" t="n">
        <f aca="false">IS!D8</f>
        <v>37620.75</v>
      </c>
      <c r="F8" s="389" t="n">
        <f aca="false">IS!E8</f>
        <v>37986</v>
      </c>
      <c r="G8" s="389" t="n">
        <f aca="false">IS!F8</f>
        <v>38351.25</v>
      </c>
      <c r="H8" s="389" t="n">
        <f aca="false">IS!G8</f>
        <v>38716.5</v>
      </c>
      <c r="I8" s="389" t="n">
        <f aca="false">IS!H8</f>
        <v>39081.75</v>
      </c>
      <c r="J8" s="389" t="n">
        <f aca="false">IS!I8</f>
        <v>39447</v>
      </c>
      <c r="K8" s="389" t="n">
        <f aca="false">IS!J8</f>
        <v>39812.25</v>
      </c>
      <c r="L8" s="389" t="n">
        <f aca="false">IS!K8</f>
        <v>40177.5</v>
      </c>
      <c r="M8" s="389" t="n">
        <f aca="false">IS!L8</f>
        <v>40542.75</v>
      </c>
      <c r="N8" s="389" t="n">
        <f aca="false">IS!M8</f>
        <v>40908</v>
      </c>
      <c r="O8" s="389" t="n">
        <f aca="false">IS!N8</f>
        <v>41273.25</v>
      </c>
      <c r="P8" s="389" t="n">
        <f aca="false">IS!O8</f>
        <v>41638.5</v>
      </c>
      <c r="Q8" s="389" t="n">
        <f aca="false">IS!P8</f>
        <v>42003.75</v>
      </c>
      <c r="R8" s="389" t="n">
        <f aca="false">IS!Q8</f>
        <v>42369</v>
      </c>
      <c r="S8" s="389" t="n">
        <f aca="false">IS!R8</f>
        <v>42734.25</v>
      </c>
      <c r="T8" s="389" t="n">
        <f aca="false">IS!S8</f>
        <v>43099.5</v>
      </c>
      <c r="U8" s="389" t="n">
        <f aca="false">IS!T8</f>
        <v>43464.75</v>
      </c>
      <c r="V8" s="389" t="n">
        <f aca="false">IS!U8</f>
        <v>43830</v>
      </c>
      <c r="W8" s="389" t="n">
        <f aca="false">IS!V8</f>
        <v>44195.25</v>
      </c>
      <c r="X8" s="389" t="n">
        <f aca="false">IS!W8</f>
        <v>44560.5</v>
      </c>
      <c r="Y8" s="389" t="n">
        <f aca="false">IS!X8</f>
        <v>44925.75</v>
      </c>
      <c r="Z8" s="389" t="n">
        <f aca="false">IS!Y8</f>
        <v>45291</v>
      </c>
      <c r="AA8" s="389" t="n">
        <f aca="false">IS!Z8</f>
        <v>45656.25</v>
      </c>
      <c r="AB8" s="389" t="n">
        <f aca="false">IS!AA8</f>
        <v>46021.5</v>
      </c>
      <c r="AC8" s="389" t="n">
        <f aca="false">IS!AB8</f>
        <v>46386.75</v>
      </c>
      <c r="AD8" s="389" t="n">
        <f aca="false">IS!AC8</f>
        <v>46752</v>
      </c>
      <c r="AE8" s="389" t="n">
        <f aca="false">IS!AD8</f>
        <v>47117.25</v>
      </c>
      <c r="AF8" s="389" t="n">
        <f aca="false">IS!AE8</f>
        <v>47482.5</v>
      </c>
      <c r="AG8" s="389" t="n">
        <f aca="false">IS!AF8</f>
        <v>47847.75</v>
      </c>
      <c r="AH8" s="389" t="n">
        <f aca="false">IS!AG8</f>
        <v>48213</v>
      </c>
      <c r="AI8" s="387"/>
      <c r="AJ8" s="387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87"/>
      <c r="BG8" s="387"/>
      <c r="BH8" s="387"/>
      <c r="BI8" s="387"/>
      <c r="BJ8" s="387"/>
      <c r="BK8" s="387"/>
      <c r="BL8" s="387"/>
      <c r="BM8" s="387"/>
      <c r="BN8" s="387"/>
      <c r="BO8" s="387"/>
      <c r="BP8" s="387"/>
      <c r="BQ8" s="387"/>
      <c r="BR8" s="387"/>
      <c r="BS8" s="387"/>
      <c r="BT8" s="387"/>
      <c r="BU8" s="387"/>
      <c r="BV8" s="387"/>
      <c r="BW8" s="387"/>
      <c r="BX8" s="387"/>
      <c r="BY8" s="387"/>
      <c r="BZ8" s="387"/>
      <c r="CA8" s="387"/>
      <c r="CB8" s="387"/>
      <c r="CC8" s="387"/>
      <c r="CD8" s="387"/>
      <c r="CE8" s="387"/>
      <c r="CF8" s="387"/>
      <c r="CG8" s="387"/>
      <c r="CH8" s="387"/>
      <c r="CI8" s="387"/>
      <c r="CJ8" s="387"/>
      <c r="CK8" s="387"/>
      <c r="CL8" s="387"/>
      <c r="CM8" s="387"/>
      <c r="CN8" s="387"/>
      <c r="CO8" s="387"/>
      <c r="CP8" s="387"/>
      <c r="CQ8" s="387"/>
      <c r="CR8" s="387"/>
      <c r="CS8" s="387"/>
      <c r="CT8" s="387"/>
      <c r="CU8" s="387"/>
      <c r="CV8" s="387"/>
      <c r="CW8" s="387"/>
      <c r="CX8" s="387"/>
      <c r="CY8" s="387"/>
      <c r="CZ8" s="387"/>
      <c r="DA8" s="387"/>
      <c r="DB8" s="387"/>
      <c r="DC8" s="387"/>
      <c r="DD8" s="387"/>
      <c r="DE8" s="387"/>
      <c r="DF8" s="387"/>
      <c r="DG8" s="387"/>
      <c r="DH8" s="387"/>
      <c r="DI8" s="387"/>
      <c r="DJ8" s="387"/>
      <c r="DK8" s="387"/>
      <c r="DL8" s="387"/>
      <c r="DM8" s="387"/>
      <c r="DN8" s="387"/>
      <c r="DO8" s="387"/>
      <c r="DP8" s="387"/>
      <c r="DQ8" s="387"/>
      <c r="DR8" s="387"/>
      <c r="DS8" s="387"/>
      <c r="DT8" s="387"/>
      <c r="DU8" s="387"/>
      <c r="DV8" s="387"/>
      <c r="DW8" s="387"/>
      <c r="DX8" s="387"/>
      <c r="DY8" s="387"/>
      <c r="DZ8" s="387"/>
      <c r="EA8" s="387"/>
      <c r="EB8" s="387"/>
      <c r="EC8" s="387"/>
      <c r="ED8" s="387"/>
      <c r="EE8" s="387"/>
      <c r="EF8" s="387"/>
      <c r="EG8" s="387"/>
      <c r="EH8" s="387"/>
      <c r="EI8" s="387"/>
      <c r="EJ8" s="387"/>
      <c r="EK8" s="387"/>
      <c r="EL8" s="387"/>
      <c r="EM8" s="387"/>
      <c r="EN8" s="387"/>
      <c r="EO8" s="387"/>
      <c r="EP8" s="387"/>
      <c r="EQ8" s="387"/>
      <c r="ER8" s="387"/>
      <c r="ES8" s="387"/>
      <c r="ET8" s="387"/>
      <c r="EU8" s="387"/>
      <c r="EV8" s="387"/>
      <c r="EW8" s="387"/>
      <c r="EX8" s="387"/>
      <c r="EY8" s="387"/>
      <c r="EZ8" s="387"/>
      <c r="FA8" s="387"/>
      <c r="FB8" s="387"/>
      <c r="FC8" s="387"/>
      <c r="FD8" s="387"/>
      <c r="FE8" s="387"/>
      <c r="FF8" s="387"/>
      <c r="FG8" s="387"/>
      <c r="FH8" s="387"/>
      <c r="FI8" s="387"/>
      <c r="FJ8" s="387"/>
      <c r="FK8" s="387"/>
      <c r="FL8" s="387"/>
      <c r="FM8" s="387"/>
      <c r="FN8" s="387"/>
      <c r="FO8" s="387"/>
      <c r="FP8" s="387"/>
      <c r="FQ8" s="387"/>
      <c r="FR8" s="387"/>
      <c r="FS8" s="387"/>
      <c r="FT8" s="387"/>
      <c r="FU8" s="387"/>
      <c r="FV8" s="387"/>
      <c r="FW8" s="387"/>
      <c r="FX8" s="387"/>
      <c r="FY8" s="387"/>
      <c r="FZ8" s="387"/>
      <c r="GA8" s="387"/>
      <c r="GB8" s="387"/>
      <c r="GC8" s="387"/>
      <c r="GD8" s="387"/>
      <c r="GE8" s="387"/>
      <c r="GF8" s="387"/>
      <c r="GG8" s="387"/>
      <c r="GH8" s="387"/>
      <c r="GI8" s="387"/>
      <c r="GJ8" s="387"/>
      <c r="GK8" s="387"/>
      <c r="GL8" s="387"/>
      <c r="GM8" s="387"/>
      <c r="GN8" s="387"/>
      <c r="GO8" s="387"/>
      <c r="GP8" s="387"/>
      <c r="GQ8" s="387"/>
      <c r="GR8" s="387"/>
      <c r="GS8" s="387"/>
      <c r="GT8" s="387"/>
      <c r="GU8" s="387"/>
      <c r="GV8" s="387"/>
      <c r="GW8" s="387"/>
      <c r="GX8" s="387"/>
      <c r="GY8" s="387"/>
      <c r="GZ8" s="387"/>
      <c r="HA8" s="387"/>
      <c r="HB8" s="387"/>
      <c r="HC8" s="387"/>
      <c r="HD8" s="387"/>
      <c r="HE8" s="387"/>
      <c r="HF8" s="387"/>
      <c r="HG8" s="387"/>
      <c r="HH8" s="387"/>
      <c r="HI8" s="387"/>
      <c r="HJ8" s="387"/>
      <c r="HK8" s="387"/>
      <c r="HL8" s="387"/>
      <c r="HM8" s="387"/>
      <c r="HN8" s="387"/>
      <c r="HO8" s="387"/>
      <c r="HP8" s="387"/>
      <c r="HQ8" s="387"/>
      <c r="HR8" s="387"/>
      <c r="HS8" s="387"/>
      <c r="HT8" s="387"/>
      <c r="HU8" s="387"/>
      <c r="HV8" s="387"/>
      <c r="HW8" s="387"/>
      <c r="HX8" s="387"/>
      <c r="HY8" s="387"/>
      <c r="HZ8" s="387"/>
      <c r="IA8" s="387"/>
      <c r="IB8" s="387"/>
      <c r="IC8" s="387"/>
      <c r="ID8" s="387"/>
      <c r="IE8" s="387"/>
      <c r="IF8" s="387"/>
      <c r="IG8" s="387"/>
      <c r="IH8" s="387"/>
      <c r="II8" s="387"/>
      <c r="IJ8" s="387"/>
      <c r="IK8" s="387"/>
      <c r="IL8" s="387"/>
      <c r="IM8" s="387"/>
      <c r="IN8" s="387"/>
      <c r="IO8" s="387"/>
      <c r="IP8" s="387"/>
      <c r="IQ8" s="387"/>
      <c r="IR8" s="387"/>
      <c r="IS8" s="387"/>
      <c r="IT8" s="387"/>
      <c r="IU8" s="387"/>
      <c r="IV8" s="387"/>
      <c r="IW8" s="387"/>
    </row>
    <row r="9" customFormat="false" ht="15.75" hidden="false" customHeight="false" outlineLevel="0" collapsed="false">
      <c r="A9" s="6"/>
    </row>
    <row r="10" customFormat="false" ht="12.75" hidden="false" customHeight="false" outlineLevel="0" collapsed="false">
      <c r="A10" s="390" t="s">
        <v>356</v>
      </c>
      <c r="C10" s="391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3"/>
      <c r="AJ10" s="393"/>
      <c r="AK10" s="393"/>
      <c r="AL10" s="393"/>
      <c r="AM10" s="393"/>
      <c r="AN10" s="393"/>
      <c r="AO10" s="393"/>
      <c r="AP10" s="393"/>
      <c r="AQ10" s="393"/>
      <c r="AR10" s="393"/>
      <c r="AS10" s="393"/>
      <c r="AT10" s="393"/>
      <c r="AU10" s="393"/>
      <c r="AV10" s="393"/>
      <c r="AW10" s="393"/>
      <c r="AX10" s="393"/>
      <c r="AY10" s="393"/>
      <c r="AZ10" s="393"/>
      <c r="BA10" s="393"/>
      <c r="BB10" s="393"/>
      <c r="BC10" s="393"/>
      <c r="BD10" s="393"/>
      <c r="BE10" s="393"/>
      <c r="BF10" s="393"/>
      <c r="BG10" s="393"/>
      <c r="BH10" s="393"/>
      <c r="BI10" s="393"/>
      <c r="BJ10" s="393"/>
      <c r="BK10" s="393"/>
      <c r="BL10" s="393"/>
      <c r="BM10" s="393"/>
      <c r="BN10" s="393"/>
      <c r="BO10" s="393"/>
      <c r="BP10" s="393"/>
      <c r="BQ10" s="393"/>
      <c r="BR10" s="393"/>
      <c r="BS10" s="393"/>
      <c r="BT10" s="393"/>
      <c r="BU10" s="393"/>
      <c r="BV10" s="393"/>
      <c r="BW10" s="393"/>
      <c r="BX10" s="393"/>
      <c r="BY10" s="393"/>
      <c r="BZ10" s="393"/>
      <c r="CA10" s="393"/>
      <c r="CB10" s="393"/>
      <c r="CC10" s="393"/>
      <c r="CD10" s="393"/>
      <c r="CE10" s="393"/>
      <c r="CF10" s="393"/>
      <c r="CG10" s="393"/>
      <c r="CH10" s="393"/>
      <c r="CI10" s="393"/>
      <c r="CJ10" s="393"/>
      <c r="CK10" s="393"/>
      <c r="CL10" s="393"/>
      <c r="CM10" s="393"/>
      <c r="CN10" s="393"/>
      <c r="CO10" s="393"/>
      <c r="CP10" s="393"/>
      <c r="CQ10" s="393"/>
      <c r="CR10" s="393"/>
      <c r="CS10" s="393"/>
      <c r="CT10" s="393"/>
      <c r="CU10" s="393"/>
      <c r="CV10" s="393"/>
      <c r="CW10" s="393"/>
      <c r="CX10" s="393"/>
      <c r="CY10" s="393"/>
      <c r="CZ10" s="393"/>
      <c r="DA10" s="393"/>
      <c r="DB10" s="393"/>
      <c r="DC10" s="393"/>
      <c r="DD10" s="393"/>
      <c r="DE10" s="393"/>
      <c r="DF10" s="393"/>
      <c r="DG10" s="393"/>
      <c r="DH10" s="393"/>
      <c r="DI10" s="393"/>
      <c r="DJ10" s="393"/>
      <c r="DK10" s="393"/>
      <c r="DL10" s="393"/>
      <c r="DM10" s="393"/>
      <c r="DN10" s="393"/>
      <c r="DO10" s="393"/>
      <c r="DP10" s="393"/>
      <c r="DQ10" s="393"/>
      <c r="DR10" s="393"/>
      <c r="DS10" s="393"/>
      <c r="DT10" s="393"/>
      <c r="DU10" s="393"/>
      <c r="DV10" s="393"/>
      <c r="DW10" s="393"/>
      <c r="DX10" s="393"/>
      <c r="DY10" s="393"/>
      <c r="DZ10" s="393"/>
      <c r="EA10" s="393"/>
      <c r="EB10" s="393"/>
      <c r="EC10" s="393"/>
      <c r="ED10" s="393"/>
      <c r="EE10" s="393"/>
      <c r="EF10" s="393"/>
      <c r="EG10" s="393"/>
      <c r="EH10" s="393"/>
      <c r="EI10" s="393"/>
      <c r="EJ10" s="393"/>
      <c r="EK10" s="393"/>
      <c r="EL10" s="393"/>
      <c r="EM10" s="393"/>
      <c r="EN10" s="393"/>
      <c r="EO10" s="393"/>
      <c r="EP10" s="393"/>
      <c r="EQ10" s="393"/>
      <c r="ER10" s="393"/>
      <c r="ES10" s="393"/>
      <c r="ET10" s="393"/>
      <c r="EU10" s="393"/>
      <c r="EV10" s="393"/>
      <c r="EW10" s="393"/>
      <c r="EX10" s="393"/>
      <c r="EY10" s="393"/>
      <c r="EZ10" s="393"/>
      <c r="FA10" s="393"/>
      <c r="FB10" s="393"/>
      <c r="FC10" s="393"/>
      <c r="FD10" s="393"/>
      <c r="FE10" s="393"/>
      <c r="FF10" s="393"/>
      <c r="FG10" s="393"/>
      <c r="FH10" s="393"/>
      <c r="FI10" s="393"/>
      <c r="FJ10" s="393"/>
      <c r="FK10" s="393"/>
      <c r="FL10" s="393"/>
      <c r="FM10" s="393"/>
      <c r="FN10" s="393"/>
      <c r="FO10" s="393"/>
      <c r="FP10" s="393"/>
      <c r="FQ10" s="393"/>
      <c r="FR10" s="393"/>
      <c r="FS10" s="393"/>
      <c r="FT10" s="393"/>
      <c r="FU10" s="393"/>
      <c r="FV10" s="393"/>
      <c r="FW10" s="393"/>
      <c r="FX10" s="393"/>
      <c r="FY10" s="393"/>
      <c r="FZ10" s="393"/>
      <c r="GA10" s="393"/>
      <c r="GB10" s="393"/>
      <c r="GC10" s="393"/>
      <c r="GD10" s="393"/>
      <c r="GE10" s="393"/>
      <c r="GF10" s="393"/>
      <c r="GG10" s="393"/>
      <c r="GH10" s="393"/>
      <c r="GI10" s="393"/>
      <c r="GJ10" s="393"/>
      <c r="GK10" s="393"/>
      <c r="GL10" s="393"/>
      <c r="GM10" s="393"/>
      <c r="GN10" s="393"/>
      <c r="GO10" s="393"/>
      <c r="GP10" s="393"/>
      <c r="GQ10" s="393"/>
      <c r="GR10" s="393"/>
      <c r="GS10" s="393"/>
      <c r="GT10" s="393"/>
      <c r="GU10" s="393"/>
      <c r="GV10" s="393"/>
      <c r="GW10" s="393"/>
      <c r="GX10" s="393"/>
      <c r="GY10" s="393"/>
      <c r="GZ10" s="393"/>
      <c r="HA10" s="393"/>
      <c r="HB10" s="393"/>
      <c r="HC10" s="393"/>
      <c r="HD10" s="393"/>
      <c r="HE10" s="393"/>
      <c r="HF10" s="393"/>
      <c r="HG10" s="393"/>
      <c r="HH10" s="393"/>
      <c r="HI10" s="393"/>
      <c r="HJ10" s="393"/>
      <c r="HK10" s="393"/>
      <c r="HL10" s="393"/>
      <c r="HM10" s="393"/>
      <c r="HN10" s="393"/>
      <c r="HO10" s="393"/>
      <c r="HP10" s="393"/>
      <c r="HQ10" s="393"/>
      <c r="HR10" s="393"/>
      <c r="HS10" s="393"/>
      <c r="HT10" s="393"/>
      <c r="HU10" s="393"/>
      <c r="HV10" s="393"/>
      <c r="HW10" s="393"/>
      <c r="HX10" s="393"/>
      <c r="HY10" s="393"/>
      <c r="HZ10" s="393"/>
      <c r="IA10" s="393"/>
      <c r="IB10" s="393"/>
      <c r="IC10" s="393"/>
      <c r="ID10" s="393"/>
      <c r="IE10" s="393"/>
      <c r="IF10" s="393"/>
      <c r="IG10" s="393"/>
      <c r="IH10" s="393"/>
      <c r="II10" s="393"/>
      <c r="IJ10" s="393"/>
      <c r="IK10" s="393"/>
      <c r="IL10" s="393"/>
      <c r="IM10" s="393"/>
      <c r="IN10" s="393"/>
      <c r="IO10" s="393"/>
      <c r="IP10" s="393"/>
      <c r="IQ10" s="393"/>
      <c r="IR10" s="393"/>
      <c r="IS10" s="393"/>
      <c r="IT10" s="393"/>
      <c r="IU10" s="393"/>
      <c r="IV10" s="393"/>
      <c r="IW10" s="393"/>
    </row>
    <row r="11" customFormat="false" ht="12.75" hidden="false" customHeight="false" outlineLevel="0" collapsed="false">
      <c r="B11" s="394" t="s">
        <v>357</v>
      </c>
      <c r="D11" s="395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AI11" s="393"/>
      <c r="AJ11" s="393"/>
      <c r="AK11" s="393"/>
      <c r="AL11" s="393"/>
      <c r="AM11" s="393"/>
      <c r="AN11" s="393"/>
      <c r="AO11" s="393"/>
      <c r="AP11" s="393"/>
      <c r="AQ11" s="393"/>
      <c r="AR11" s="393"/>
      <c r="AS11" s="393"/>
      <c r="AT11" s="393"/>
      <c r="AU11" s="393"/>
      <c r="AV11" s="393"/>
      <c r="AW11" s="393"/>
      <c r="AX11" s="393"/>
      <c r="AY11" s="393"/>
      <c r="AZ11" s="393"/>
      <c r="BA11" s="393"/>
      <c r="BB11" s="393"/>
      <c r="BC11" s="393"/>
      <c r="BD11" s="393"/>
      <c r="BE11" s="393"/>
      <c r="BF11" s="393"/>
      <c r="BG11" s="393"/>
      <c r="BH11" s="393"/>
      <c r="BI11" s="393"/>
      <c r="BJ11" s="393"/>
      <c r="BK11" s="393"/>
      <c r="BL11" s="393"/>
      <c r="BM11" s="393"/>
      <c r="BN11" s="393"/>
      <c r="BO11" s="393"/>
      <c r="BP11" s="393"/>
      <c r="BQ11" s="393"/>
      <c r="BR11" s="393"/>
      <c r="BS11" s="393"/>
      <c r="BT11" s="393"/>
      <c r="BU11" s="393"/>
      <c r="BV11" s="393"/>
      <c r="BW11" s="393"/>
      <c r="BX11" s="393"/>
      <c r="BY11" s="393"/>
      <c r="BZ11" s="393"/>
      <c r="CA11" s="393"/>
      <c r="CB11" s="393"/>
      <c r="CC11" s="393"/>
      <c r="CD11" s="393"/>
      <c r="CE11" s="393"/>
      <c r="CF11" s="393"/>
      <c r="CG11" s="393"/>
      <c r="CH11" s="393"/>
      <c r="CI11" s="393"/>
      <c r="CJ11" s="393"/>
      <c r="CK11" s="393"/>
      <c r="CL11" s="393"/>
      <c r="CM11" s="393"/>
      <c r="CN11" s="393"/>
      <c r="CO11" s="393"/>
      <c r="CP11" s="393"/>
      <c r="CQ11" s="393"/>
      <c r="CR11" s="393"/>
      <c r="CS11" s="393"/>
      <c r="CT11" s="393"/>
      <c r="CU11" s="393"/>
      <c r="CV11" s="393"/>
      <c r="CW11" s="393"/>
      <c r="CX11" s="393"/>
      <c r="CY11" s="393"/>
      <c r="CZ11" s="393"/>
      <c r="DA11" s="393"/>
      <c r="DB11" s="393"/>
      <c r="DC11" s="393"/>
      <c r="DD11" s="393"/>
      <c r="DE11" s="393"/>
      <c r="DF11" s="393"/>
      <c r="DG11" s="393"/>
      <c r="DH11" s="393"/>
      <c r="DI11" s="393"/>
      <c r="DJ11" s="393"/>
      <c r="DK11" s="393"/>
      <c r="DL11" s="393"/>
      <c r="DM11" s="393"/>
      <c r="DN11" s="393"/>
      <c r="DO11" s="393"/>
      <c r="DP11" s="393"/>
      <c r="DQ11" s="393"/>
      <c r="DR11" s="393"/>
      <c r="DS11" s="393"/>
      <c r="DT11" s="393"/>
      <c r="DU11" s="393"/>
      <c r="DV11" s="393"/>
      <c r="DW11" s="393"/>
      <c r="DX11" s="393"/>
      <c r="DY11" s="393"/>
      <c r="DZ11" s="393"/>
      <c r="EA11" s="393"/>
      <c r="EB11" s="393"/>
      <c r="EC11" s="393"/>
      <c r="ED11" s="393"/>
      <c r="EE11" s="393"/>
      <c r="EF11" s="393"/>
      <c r="EG11" s="393"/>
      <c r="EH11" s="393"/>
      <c r="EI11" s="393"/>
      <c r="EJ11" s="393"/>
      <c r="EK11" s="393"/>
      <c r="EL11" s="393"/>
      <c r="EM11" s="393"/>
      <c r="EN11" s="393"/>
      <c r="EO11" s="393"/>
      <c r="EP11" s="393"/>
      <c r="EQ11" s="393"/>
      <c r="ER11" s="393"/>
      <c r="ES11" s="393"/>
      <c r="ET11" s="393"/>
      <c r="EU11" s="393"/>
      <c r="EV11" s="393"/>
      <c r="EW11" s="393"/>
      <c r="EX11" s="393"/>
      <c r="EY11" s="393"/>
      <c r="EZ11" s="393"/>
      <c r="FA11" s="393"/>
      <c r="FB11" s="393"/>
      <c r="FC11" s="393"/>
      <c r="FD11" s="393"/>
      <c r="FE11" s="393"/>
      <c r="FF11" s="393"/>
      <c r="FG11" s="393"/>
      <c r="FH11" s="393"/>
      <c r="FI11" s="393"/>
      <c r="FJ11" s="393"/>
      <c r="FK11" s="393"/>
      <c r="FL11" s="393"/>
      <c r="FM11" s="393"/>
      <c r="FN11" s="393"/>
      <c r="FO11" s="393"/>
      <c r="FP11" s="393"/>
      <c r="FQ11" s="393"/>
      <c r="FR11" s="393"/>
      <c r="FS11" s="393"/>
      <c r="FT11" s="393"/>
      <c r="FU11" s="393"/>
      <c r="FV11" s="393"/>
      <c r="FW11" s="393"/>
      <c r="FX11" s="393"/>
      <c r="FY11" s="393"/>
      <c r="FZ11" s="393"/>
      <c r="GA11" s="393"/>
      <c r="GB11" s="393"/>
      <c r="GC11" s="393"/>
      <c r="GD11" s="393"/>
      <c r="GE11" s="393"/>
      <c r="GF11" s="393"/>
      <c r="GG11" s="393"/>
      <c r="GH11" s="393"/>
      <c r="GI11" s="393"/>
      <c r="GJ11" s="393"/>
      <c r="GK11" s="393"/>
      <c r="GL11" s="393"/>
      <c r="GM11" s="393"/>
      <c r="GN11" s="393"/>
      <c r="GO11" s="393"/>
      <c r="GP11" s="393"/>
      <c r="GQ11" s="393"/>
      <c r="GR11" s="393"/>
      <c r="GS11" s="393"/>
      <c r="GT11" s="393"/>
      <c r="GU11" s="393"/>
      <c r="GV11" s="393"/>
      <c r="GW11" s="393"/>
      <c r="GX11" s="393"/>
      <c r="GY11" s="393"/>
      <c r="GZ11" s="393"/>
      <c r="HA11" s="393"/>
      <c r="HB11" s="393"/>
      <c r="HC11" s="393"/>
      <c r="HD11" s="393"/>
      <c r="HE11" s="393"/>
      <c r="HF11" s="393"/>
      <c r="HG11" s="393"/>
      <c r="HH11" s="393"/>
      <c r="HI11" s="393"/>
      <c r="HJ11" s="393"/>
      <c r="HK11" s="393"/>
      <c r="HL11" s="393"/>
      <c r="HM11" s="393"/>
      <c r="HN11" s="393"/>
      <c r="HO11" s="393"/>
      <c r="HP11" s="393"/>
      <c r="HQ11" s="393"/>
      <c r="HR11" s="393"/>
      <c r="HS11" s="393"/>
      <c r="HT11" s="393"/>
      <c r="HU11" s="393"/>
      <c r="HV11" s="393"/>
      <c r="HW11" s="393"/>
      <c r="HX11" s="393"/>
      <c r="HY11" s="393"/>
      <c r="HZ11" s="393"/>
      <c r="IA11" s="393"/>
      <c r="IB11" s="393"/>
      <c r="IC11" s="393"/>
      <c r="ID11" s="393"/>
      <c r="IE11" s="393"/>
      <c r="IF11" s="393"/>
      <c r="IG11" s="393"/>
      <c r="IH11" s="393"/>
      <c r="II11" s="393"/>
      <c r="IJ11" s="393"/>
      <c r="IK11" s="393"/>
      <c r="IL11" s="393"/>
      <c r="IM11" s="393"/>
      <c r="IN11" s="393"/>
      <c r="IO11" s="393"/>
      <c r="IP11" s="393"/>
      <c r="IQ11" s="393"/>
      <c r="IR11" s="393"/>
      <c r="IS11" s="393"/>
      <c r="IT11" s="393"/>
      <c r="IU11" s="393"/>
      <c r="IV11" s="393"/>
      <c r="IW11" s="393"/>
    </row>
    <row r="12" customFormat="false" ht="12.75" hidden="false" customHeight="false" outlineLevel="0" collapsed="false">
      <c r="A12" s="397" t="s">
        <v>358</v>
      </c>
      <c r="B12" s="398" t="n">
        <f aca="false">Assumptions!$N$48</f>
        <v>15</v>
      </c>
      <c r="C12" s="399"/>
      <c r="D12" s="395" t="n">
        <v>0.05</v>
      </c>
      <c r="E12" s="395" t="n">
        <v>0.095</v>
      </c>
      <c r="F12" s="395" t="n">
        <v>0.0855</v>
      </c>
      <c r="G12" s="395" t="n">
        <v>0.077</v>
      </c>
      <c r="H12" s="395" t="n">
        <v>0.0693</v>
      </c>
      <c r="I12" s="395" t="n">
        <v>0.0623</v>
      </c>
      <c r="J12" s="395" t="n">
        <v>0.059</v>
      </c>
      <c r="K12" s="395" t="n">
        <v>0.0591</v>
      </c>
      <c r="L12" s="395" t="n">
        <v>0.059</v>
      </c>
      <c r="M12" s="395" t="n">
        <v>0.0591</v>
      </c>
      <c r="N12" s="395" t="n">
        <v>0.059</v>
      </c>
      <c r="O12" s="395" t="n">
        <v>0.0591</v>
      </c>
      <c r="P12" s="395" t="n">
        <v>0.059</v>
      </c>
      <c r="Q12" s="395" t="n">
        <v>0.0591</v>
      </c>
      <c r="R12" s="395" t="n">
        <v>0.059</v>
      </c>
      <c r="S12" s="395" t="n">
        <v>0.0295</v>
      </c>
      <c r="T12" s="395" t="n">
        <v>0</v>
      </c>
      <c r="U12" s="395" t="n">
        <v>0</v>
      </c>
      <c r="V12" s="395" t="n">
        <v>0</v>
      </c>
      <c r="W12" s="395" t="n">
        <v>0</v>
      </c>
      <c r="X12" s="395" t="n">
        <v>0</v>
      </c>
      <c r="Y12" s="395" t="n">
        <v>0</v>
      </c>
      <c r="Z12" s="395" t="n">
        <v>0</v>
      </c>
      <c r="AA12" s="395" t="n">
        <v>0</v>
      </c>
      <c r="AB12" s="395" t="n">
        <v>0</v>
      </c>
      <c r="AC12" s="395" t="n">
        <v>0</v>
      </c>
      <c r="AD12" s="395" t="n">
        <v>0</v>
      </c>
      <c r="AE12" s="395" t="n">
        <v>0</v>
      </c>
      <c r="AF12" s="395" t="n">
        <v>0</v>
      </c>
      <c r="AG12" s="395" t="n">
        <v>0</v>
      </c>
      <c r="AH12" s="395" t="n">
        <v>0</v>
      </c>
      <c r="AI12" s="393"/>
      <c r="AJ12" s="393"/>
      <c r="AK12" s="393"/>
      <c r="AL12" s="393"/>
      <c r="AM12" s="393"/>
      <c r="AN12" s="393"/>
      <c r="AO12" s="393"/>
      <c r="AP12" s="393"/>
      <c r="AQ12" s="393"/>
      <c r="AR12" s="393"/>
      <c r="AS12" s="393"/>
      <c r="AT12" s="393"/>
      <c r="AU12" s="393"/>
      <c r="AV12" s="393"/>
      <c r="AW12" s="393"/>
      <c r="AX12" s="393"/>
      <c r="AY12" s="393"/>
      <c r="AZ12" s="393"/>
      <c r="BA12" s="393"/>
      <c r="BB12" s="393"/>
      <c r="BC12" s="393"/>
      <c r="BD12" s="393"/>
      <c r="BE12" s="393"/>
      <c r="BF12" s="393"/>
      <c r="BG12" s="393"/>
      <c r="BH12" s="393"/>
      <c r="BI12" s="393"/>
      <c r="BJ12" s="393"/>
      <c r="BK12" s="393"/>
      <c r="BL12" s="393"/>
      <c r="BM12" s="393"/>
      <c r="BN12" s="393"/>
      <c r="BO12" s="393"/>
      <c r="BP12" s="393"/>
      <c r="BQ12" s="393"/>
      <c r="BR12" s="393"/>
      <c r="BS12" s="393"/>
      <c r="BT12" s="393"/>
      <c r="BU12" s="393"/>
      <c r="BV12" s="393"/>
      <c r="BW12" s="393"/>
      <c r="BX12" s="393"/>
      <c r="BY12" s="393"/>
      <c r="BZ12" s="393"/>
      <c r="CA12" s="393"/>
      <c r="CB12" s="393"/>
      <c r="CC12" s="393"/>
      <c r="CD12" s="393"/>
      <c r="CE12" s="393"/>
      <c r="CF12" s="393"/>
      <c r="CG12" s="393"/>
      <c r="CH12" s="393"/>
      <c r="CI12" s="393"/>
      <c r="CJ12" s="393"/>
      <c r="CK12" s="393"/>
      <c r="CL12" s="393"/>
      <c r="CM12" s="393"/>
      <c r="CN12" s="393"/>
      <c r="CO12" s="393"/>
      <c r="CP12" s="393"/>
      <c r="CQ12" s="393"/>
      <c r="CR12" s="393"/>
      <c r="CS12" s="393"/>
      <c r="CT12" s="393"/>
      <c r="CU12" s="393"/>
      <c r="CV12" s="393"/>
      <c r="CW12" s="393"/>
      <c r="CX12" s="393"/>
      <c r="CY12" s="393"/>
      <c r="CZ12" s="393"/>
      <c r="DA12" s="393"/>
      <c r="DB12" s="393"/>
      <c r="DC12" s="393"/>
      <c r="DD12" s="393"/>
      <c r="DE12" s="393"/>
      <c r="DF12" s="393"/>
      <c r="DG12" s="393"/>
      <c r="DH12" s="393"/>
      <c r="DI12" s="393"/>
      <c r="DJ12" s="393"/>
      <c r="DK12" s="393"/>
      <c r="DL12" s="393"/>
      <c r="DM12" s="393"/>
      <c r="DN12" s="393"/>
      <c r="DO12" s="393"/>
      <c r="DP12" s="393"/>
      <c r="DQ12" s="393"/>
      <c r="DR12" s="393"/>
      <c r="DS12" s="393"/>
      <c r="DT12" s="393"/>
      <c r="DU12" s="393"/>
      <c r="DV12" s="393"/>
      <c r="DW12" s="393"/>
      <c r="DX12" s="393"/>
      <c r="DY12" s="393"/>
      <c r="DZ12" s="393"/>
      <c r="EA12" s="393"/>
      <c r="EB12" s="393"/>
      <c r="EC12" s="393"/>
      <c r="ED12" s="393"/>
      <c r="EE12" s="393"/>
      <c r="EF12" s="393"/>
      <c r="EG12" s="393"/>
      <c r="EH12" s="393"/>
      <c r="EI12" s="393"/>
      <c r="EJ12" s="393"/>
      <c r="EK12" s="393"/>
      <c r="EL12" s="393"/>
      <c r="EM12" s="393"/>
      <c r="EN12" s="393"/>
      <c r="EO12" s="393"/>
      <c r="EP12" s="393"/>
      <c r="EQ12" s="393"/>
      <c r="ER12" s="393"/>
      <c r="ES12" s="393"/>
      <c r="ET12" s="393"/>
      <c r="EU12" s="393"/>
      <c r="EV12" s="393"/>
      <c r="EW12" s="393"/>
      <c r="EX12" s="393"/>
      <c r="EY12" s="393"/>
      <c r="EZ12" s="393"/>
      <c r="FA12" s="393"/>
      <c r="FB12" s="393"/>
      <c r="FC12" s="393"/>
      <c r="FD12" s="393"/>
      <c r="FE12" s="393"/>
      <c r="FF12" s="393"/>
      <c r="FG12" s="393"/>
      <c r="FH12" s="393"/>
      <c r="FI12" s="393"/>
      <c r="FJ12" s="393"/>
      <c r="FK12" s="393"/>
      <c r="FL12" s="393"/>
      <c r="FM12" s="393"/>
      <c r="FN12" s="393"/>
      <c r="FO12" s="393"/>
      <c r="FP12" s="393"/>
      <c r="FQ12" s="393"/>
      <c r="FR12" s="393"/>
      <c r="FS12" s="393"/>
      <c r="FT12" s="393"/>
      <c r="FU12" s="393"/>
      <c r="FV12" s="393"/>
      <c r="FW12" s="393"/>
      <c r="FX12" s="393"/>
      <c r="FY12" s="393"/>
      <c r="FZ12" s="393"/>
      <c r="GA12" s="393"/>
      <c r="GB12" s="393"/>
      <c r="GC12" s="393"/>
      <c r="GD12" s="393"/>
      <c r="GE12" s="393"/>
      <c r="GF12" s="393"/>
      <c r="GG12" s="393"/>
      <c r="GH12" s="393"/>
      <c r="GI12" s="393"/>
      <c r="GJ12" s="393"/>
      <c r="GK12" s="393"/>
      <c r="GL12" s="393"/>
      <c r="GM12" s="393"/>
      <c r="GN12" s="393"/>
      <c r="GO12" s="393"/>
      <c r="GP12" s="393"/>
      <c r="GQ12" s="393"/>
      <c r="GR12" s="393"/>
      <c r="GS12" s="393"/>
      <c r="GT12" s="393"/>
      <c r="GU12" s="393"/>
      <c r="GV12" s="393"/>
      <c r="GW12" s="393"/>
      <c r="GX12" s="393"/>
      <c r="GY12" s="393"/>
      <c r="GZ12" s="393"/>
      <c r="HA12" s="393"/>
      <c r="HB12" s="393"/>
      <c r="HC12" s="393"/>
      <c r="HD12" s="393"/>
      <c r="HE12" s="393"/>
      <c r="HF12" s="393"/>
      <c r="HG12" s="393"/>
      <c r="HH12" s="393"/>
      <c r="HI12" s="393"/>
      <c r="HJ12" s="393"/>
      <c r="HK12" s="393"/>
      <c r="HL12" s="393"/>
      <c r="HM12" s="393"/>
      <c r="HN12" s="393"/>
      <c r="HO12" s="393"/>
      <c r="HP12" s="393"/>
      <c r="HQ12" s="393"/>
      <c r="HR12" s="393"/>
      <c r="HS12" s="393"/>
      <c r="HT12" s="393"/>
      <c r="HU12" s="393"/>
      <c r="HV12" s="393"/>
      <c r="HW12" s="393"/>
      <c r="HX12" s="393"/>
      <c r="HY12" s="393"/>
      <c r="HZ12" s="393"/>
      <c r="IA12" s="393"/>
      <c r="IB12" s="393"/>
      <c r="IC12" s="393"/>
      <c r="ID12" s="393"/>
      <c r="IE12" s="393"/>
      <c r="IF12" s="393"/>
      <c r="IG12" s="393"/>
      <c r="IH12" s="393"/>
      <c r="II12" s="393"/>
      <c r="IJ12" s="393"/>
      <c r="IK12" s="393"/>
      <c r="IL12" s="393"/>
      <c r="IM12" s="393"/>
      <c r="IN12" s="393"/>
      <c r="IO12" s="393"/>
      <c r="IP12" s="393"/>
      <c r="IQ12" s="393"/>
      <c r="IR12" s="393"/>
      <c r="IS12" s="393"/>
      <c r="IT12" s="393"/>
      <c r="IU12" s="393"/>
      <c r="IV12" s="393"/>
      <c r="IW12" s="393"/>
    </row>
    <row r="13" customFormat="false" ht="12.75" hidden="false" customHeight="false" outlineLevel="0" collapsed="false">
      <c r="A13" s="397" t="s">
        <v>359</v>
      </c>
      <c r="B13" s="398" t="n">
        <f aca="false">Assumptions!$N$49</f>
        <v>5</v>
      </c>
      <c r="C13" s="399"/>
      <c r="D13" s="395" t="n">
        <f aca="false">1/$B$13*D6</f>
        <v>0.133333333333333</v>
      </c>
      <c r="E13" s="395" t="n">
        <f aca="false">1/$B$13</f>
        <v>0.2</v>
      </c>
      <c r="F13" s="395" t="n">
        <f aca="false">1/$B$13</f>
        <v>0.2</v>
      </c>
      <c r="G13" s="395" t="n">
        <f aca="false">1/$B$13</f>
        <v>0.2</v>
      </c>
      <c r="H13" s="395" t="n">
        <f aca="false">1/$B$13</f>
        <v>0.2</v>
      </c>
      <c r="I13" s="395" t="n">
        <f aca="false">1/B13-D13</f>
        <v>0.0666666666666667</v>
      </c>
      <c r="J13" s="395" t="n">
        <v>0</v>
      </c>
      <c r="K13" s="395" t="n">
        <v>0</v>
      </c>
      <c r="L13" s="395" t="n">
        <v>0</v>
      </c>
      <c r="M13" s="395" t="n">
        <v>0</v>
      </c>
      <c r="N13" s="395" t="n">
        <v>0</v>
      </c>
      <c r="O13" s="395" t="n">
        <v>0</v>
      </c>
      <c r="P13" s="395" t="n">
        <v>0</v>
      </c>
      <c r="Q13" s="395" t="n">
        <v>0</v>
      </c>
      <c r="R13" s="395" t="n">
        <v>0</v>
      </c>
      <c r="S13" s="395" t="n">
        <v>0</v>
      </c>
      <c r="T13" s="395" t="n">
        <v>0</v>
      </c>
      <c r="U13" s="395" t="n">
        <v>0</v>
      </c>
      <c r="V13" s="395" t="n">
        <v>0</v>
      </c>
      <c r="W13" s="395" t="n">
        <v>0</v>
      </c>
      <c r="X13" s="395" t="n">
        <v>0</v>
      </c>
      <c r="Y13" s="395" t="n">
        <v>0</v>
      </c>
      <c r="Z13" s="395" t="n">
        <v>0</v>
      </c>
      <c r="AA13" s="395" t="n">
        <v>0</v>
      </c>
      <c r="AB13" s="395" t="n">
        <v>0</v>
      </c>
      <c r="AC13" s="395" t="n">
        <v>0</v>
      </c>
      <c r="AD13" s="395" t="n">
        <v>0</v>
      </c>
      <c r="AE13" s="395" t="n">
        <v>0</v>
      </c>
      <c r="AF13" s="395" t="n">
        <v>0</v>
      </c>
      <c r="AG13" s="395" t="n">
        <v>0</v>
      </c>
      <c r="AH13" s="395" t="n">
        <v>0</v>
      </c>
      <c r="AI13" s="393"/>
      <c r="AJ13" s="393"/>
      <c r="AK13" s="393"/>
      <c r="AL13" s="393"/>
      <c r="AM13" s="393"/>
      <c r="AN13" s="393"/>
      <c r="AO13" s="393"/>
      <c r="AP13" s="393"/>
      <c r="AQ13" s="393"/>
      <c r="AR13" s="393"/>
      <c r="AS13" s="393"/>
      <c r="AT13" s="393"/>
      <c r="AU13" s="393"/>
      <c r="AV13" s="393"/>
      <c r="AW13" s="393"/>
      <c r="AX13" s="393"/>
      <c r="AY13" s="393"/>
      <c r="AZ13" s="393"/>
      <c r="BA13" s="393"/>
      <c r="BB13" s="393"/>
      <c r="BC13" s="393"/>
      <c r="BD13" s="393"/>
      <c r="BE13" s="393"/>
      <c r="BF13" s="393"/>
      <c r="BG13" s="393"/>
      <c r="BH13" s="393"/>
      <c r="BI13" s="393"/>
      <c r="BJ13" s="393"/>
      <c r="BK13" s="393"/>
      <c r="BL13" s="393"/>
      <c r="BM13" s="393"/>
      <c r="BN13" s="393"/>
      <c r="BO13" s="393"/>
      <c r="BP13" s="393"/>
      <c r="BQ13" s="393"/>
      <c r="BR13" s="393"/>
      <c r="BS13" s="393"/>
      <c r="BT13" s="393"/>
      <c r="BU13" s="393"/>
      <c r="BV13" s="393"/>
      <c r="BW13" s="393"/>
      <c r="BX13" s="393"/>
      <c r="BY13" s="393"/>
      <c r="BZ13" s="393"/>
      <c r="CA13" s="393"/>
      <c r="CB13" s="393"/>
      <c r="CC13" s="393"/>
      <c r="CD13" s="393"/>
      <c r="CE13" s="393"/>
      <c r="CF13" s="393"/>
      <c r="CG13" s="393"/>
      <c r="CH13" s="393"/>
      <c r="CI13" s="393"/>
      <c r="CJ13" s="393"/>
      <c r="CK13" s="393"/>
      <c r="CL13" s="393"/>
      <c r="CM13" s="393"/>
      <c r="CN13" s="393"/>
      <c r="CO13" s="393"/>
      <c r="CP13" s="393"/>
      <c r="CQ13" s="393"/>
      <c r="CR13" s="393"/>
      <c r="CS13" s="393"/>
      <c r="CT13" s="393"/>
      <c r="CU13" s="393"/>
      <c r="CV13" s="393"/>
      <c r="CW13" s="393"/>
      <c r="CX13" s="393"/>
      <c r="CY13" s="393"/>
      <c r="CZ13" s="393"/>
      <c r="DA13" s="393"/>
      <c r="DB13" s="393"/>
      <c r="DC13" s="393"/>
      <c r="DD13" s="393"/>
      <c r="DE13" s="393"/>
      <c r="DF13" s="393"/>
      <c r="DG13" s="393"/>
      <c r="DH13" s="393"/>
      <c r="DI13" s="393"/>
      <c r="DJ13" s="393"/>
      <c r="DK13" s="393"/>
      <c r="DL13" s="393"/>
      <c r="DM13" s="393"/>
      <c r="DN13" s="393"/>
      <c r="DO13" s="393"/>
      <c r="DP13" s="393"/>
      <c r="DQ13" s="393"/>
      <c r="DR13" s="393"/>
      <c r="DS13" s="393"/>
      <c r="DT13" s="393"/>
      <c r="DU13" s="393"/>
      <c r="DV13" s="393"/>
      <c r="DW13" s="393"/>
      <c r="DX13" s="393"/>
      <c r="DY13" s="393"/>
      <c r="DZ13" s="393"/>
      <c r="EA13" s="393"/>
      <c r="EB13" s="393"/>
      <c r="EC13" s="393"/>
      <c r="ED13" s="393"/>
      <c r="EE13" s="393"/>
      <c r="EF13" s="393"/>
      <c r="EG13" s="393"/>
      <c r="EH13" s="393"/>
      <c r="EI13" s="393"/>
      <c r="EJ13" s="393"/>
      <c r="EK13" s="393"/>
      <c r="EL13" s="393"/>
      <c r="EM13" s="393"/>
      <c r="EN13" s="393"/>
      <c r="EO13" s="393"/>
      <c r="EP13" s="393"/>
      <c r="EQ13" s="393"/>
      <c r="ER13" s="393"/>
      <c r="ES13" s="393"/>
      <c r="ET13" s="393"/>
      <c r="EU13" s="393"/>
      <c r="EV13" s="393"/>
      <c r="EW13" s="393"/>
      <c r="EX13" s="393"/>
      <c r="EY13" s="393"/>
      <c r="EZ13" s="393"/>
      <c r="FA13" s="393"/>
      <c r="FB13" s="393"/>
      <c r="FC13" s="393"/>
      <c r="FD13" s="393"/>
      <c r="FE13" s="393"/>
      <c r="FF13" s="393"/>
      <c r="FG13" s="393"/>
      <c r="FH13" s="393"/>
      <c r="FI13" s="393"/>
      <c r="FJ13" s="393"/>
      <c r="FK13" s="393"/>
      <c r="FL13" s="393"/>
      <c r="FM13" s="393"/>
      <c r="FN13" s="393"/>
      <c r="FO13" s="393"/>
      <c r="FP13" s="393"/>
      <c r="FQ13" s="393"/>
      <c r="FR13" s="393"/>
      <c r="FS13" s="393"/>
      <c r="FT13" s="393"/>
      <c r="FU13" s="393"/>
      <c r="FV13" s="393"/>
      <c r="FW13" s="393"/>
      <c r="FX13" s="393"/>
      <c r="FY13" s="393"/>
      <c r="FZ13" s="393"/>
      <c r="GA13" s="393"/>
      <c r="GB13" s="393"/>
      <c r="GC13" s="393"/>
      <c r="GD13" s="393"/>
      <c r="GE13" s="393"/>
      <c r="GF13" s="393"/>
      <c r="GG13" s="393"/>
      <c r="GH13" s="393"/>
      <c r="GI13" s="393"/>
      <c r="GJ13" s="393"/>
      <c r="GK13" s="393"/>
      <c r="GL13" s="393"/>
      <c r="GM13" s="393"/>
      <c r="GN13" s="393"/>
      <c r="GO13" s="393"/>
      <c r="GP13" s="393"/>
      <c r="GQ13" s="393"/>
      <c r="GR13" s="393"/>
      <c r="GS13" s="393"/>
      <c r="GT13" s="393"/>
      <c r="GU13" s="393"/>
      <c r="GV13" s="393"/>
      <c r="GW13" s="393"/>
      <c r="GX13" s="393"/>
      <c r="GY13" s="393"/>
      <c r="GZ13" s="393"/>
      <c r="HA13" s="393"/>
      <c r="HB13" s="393"/>
      <c r="HC13" s="393"/>
      <c r="HD13" s="393"/>
      <c r="HE13" s="393"/>
      <c r="HF13" s="393"/>
      <c r="HG13" s="393"/>
      <c r="HH13" s="393"/>
      <c r="HI13" s="393"/>
      <c r="HJ13" s="393"/>
      <c r="HK13" s="393"/>
      <c r="HL13" s="393"/>
      <c r="HM13" s="393"/>
      <c r="HN13" s="393"/>
      <c r="HO13" s="393"/>
      <c r="HP13" s="393"/>
      <c r="HQ13" s="393"/>
      <c r="HR13" s="393"/>
      <c r="HS13" s="393"/>
      <c r="HT13" s="393"/>
      <c r="HU13" s="393"/>
      <c r="HV13" s="393"/>
      <c r="HW13" s="393"/>
      <c r="HX13" s="393"/>
      <c r="HY13" s="393"/>
      <c r="HZ13" s="393"/>
      <c r="IA13" s="393"/>
      <c r="IB13" s="393"/>
      <c r="IC13" s="393"/>
      <c r="ID13" s="393"/>
      <c r="IE13" s="393"/>
      <c r="IF13" s="393"/>
      <c r="IG13" s="393"/>
      <c r="IH13" s="393"/>
      <c r="II13" s="393"/>
      <c r="IJ13" s="393"/>
      <c r="IK13" s="393"/>
      <c r="IL13" s="393"/>
      <c r="IM13" s="393"/>
      <c r="IN13" s="393"/>
      <c r="IO13" s="393"/>
      <c r="IP13" s="393"/>
      <c r="IQ13" s="393"/>
      <c r="IR13" s="393"/>
      <c r="IS13" s="393"/>
      <c r="IT13" s="393"/>
      <c r="IU13" s="393"/>
      <c r="IV13" s="393"/>
      <c r="IW13" s="393"/>
    </row>
    <row r="14" customFormat="false" ht="12.75" hidden="false" customHeight="false" outlineLevel="0" collapsed="false">
      <c r="A14" s="400" t="s">
        <v>360</v>
      </c>
      <c r="B14" s="401" t="n">
        <f aca="false">Assumptions!$N$50</f>
        <v>20</v>
      </c>
      <c r="C14" s="402"/>
      <c r="D14" s="395" t="n">
        <f aca="false">1/Assumptions!$N$50*D6</f>
        <v>0.0333333333333333</v>
      </c>
      <c r="E14" s="395" t="n">
        <f aca="false">IF(AND(E6&gt;=Assumptions!$N$50,D6&lt;Assumptions!$N$50),1/Assumptions!$N$50-Depreciation!$D$14,IF(E6&lt;Assumptions!$N$50,1/Assumptions!$N$50,0))</f>
        <v>0.05</v>
      </c>
      <c r="F14" s="395" t="n">
        <f aca="false">IF(AND(F6&gt;=Assumptions!$N$50,E6&lt;Assumptions!$N$50),1/Assumptions!$N$50-Depreciation!$D$14,IF(F6&lt;Assumptions!$N$50,1/Assumptions!$N$50,0))</f>
        <v>0.05</v>
      </c>
      <c r="G14" s="395" t="n">
        <f aca="false">IF(AND(G6&gt;=Assumptions!$N$50,F6&lt;Assumptions!$N$50),1/Assumptions!$N$50-Depreciation!$D$14,IF(G6&lt;Assumptions!$N$50,1/Assumptions!$N$50,0))</f>
        <v>0.05</v>
      </c>
      <c r="H14" s="395" t="n">
        <f aca="false">IF(AND(H6&gt;=Assumptions!$N$50,G6&lt;Assumptions!$N$50),1/Assumptions!$N$50-Depreciation!$D$14,IF(H6&lt;Assumptions!$N$50,1/Assumptions!$N$50,0))</f>
        <v>0.05</v>
      </c>
      <c r="I14" s="395" t="n">
        <f aca="false">IF(AND(I6&gt;=Assumptions!$N$50,H6&lt;Assumptions!$N$50),1/Assumptions!$N$50-Depreciation!$D$14,IF(I6&lt;Assumptions!$N$50,1/Assumptions!$N$50,0))</f>
        <v>0.05</v>
      </c>
      <c r="J14" s="395" t="n">
        <f aca="false">IF(AND(J6&gt;=Assumptions!$N$50,I6&lt;Assumptions!$N$50),1/Assumptions!$N$50-Depreciation!$D$14,IF(J6&lt;Assumptions!$N$50,1/Assumptions!$N$50,0))</f>
        <v>0.05</v>
      </c>
      <c r="K14" s="395" t="n">
        <f aca="false">IF(AND(K6&gt;=Assumptions!$N$50,J6&lt;Assumptions!$N$50),1/Assumptions!$N$50-Depreciation!$D$14,IF(K6&lt;Assumptions!$N$50,1/Assumptions!$N$50,0))</f>
        <v>0.05</v>
      </c>
      <c r="L14" s="395" t="n">
        <f aca="false">IF(AND(L6&gt;=Assumptions!$N$50,K6&lt;Assumptions!$N$50),1/Assumptions!$N$50-Depreciation!$D$14,IF(L6&lt;Assumptions!$N$50,1/Assumptions!$N$50,0))</f>
        <v>0.05</v>
      </c>
      <c r="M14" s="395" t="n">
        <f aca="false">IF(AND(M6&gt;=Assumptions!$N$50,L6&lt;Assumptions!$N$50),1/Assumptions!$N$50-Depreciation!$D$14,IF(M6&lt;Assumptions!$N$50,1/Assumptions!$N$50,0))</f>
        <v>0.05</v>
      </c>
      <c r="N14" s="395" t="n">
        <f aca="false">IF(AND(N6&gt;=Assumptions!$N$50,M6&lt;Assumptions!$N$50),1/Assumptions!$N$50-Depreciation!$D$14,IF(N6&lt;Assumptions!$N$50,1/Assumptions!$N$50,0))</f>
        <v>0.05</v>
      </c>
      <c r="O14" s="395" t="n">
        <f aca="false">IF(AND(O6&gt;=Assumptions!$N$50,N6&lt;Assumptions!$N$50),1/Assumptions!$N$50-Depreciation!$D$14,IF(O6&lt;Assumptions!$N$50,1/Assumptions!$N$50,0))</f>
        <v>0.05</v>
      </c>
      <c r="P14" s="395" t="n">
        <f aca="false">IF(AND(P6&gt;=Assumptions!$N$50,O6&lt;Assumptions!$N$50),1/Assumptions!$N$50-Depreciation!$D$14,IF(P6&lt;Assumptions!$N$50,1/Assumptions!$N$50,0))</f>
        <v>0.05</v>
      </c>
      <c r="Q14" s="395" t="n">
        <f aca="false">IF(AND(Q6&gt;=Assumptions!$N$50,P6&lt;Assumptions!$N$50),1/Assumptions!$N$50-Depreciation!$D$14,IF(Q6&lt;Assumptions!$N$50,1/Assumptions!$N$50,0))</f>
        <v>0.05</v>
      </c>
      <c r="R14" s="395" t="n">
        <f aca="false">IF(AND(R6&gt;=Assumptions!$N$50,Q6&lt;Assumptions!$N$50),1/Assumptions!$N$50-Depreciation!$D$14,IF(R6&lt;Assumptions!$N$50,1/Assumptions!$N$50,0))</f>
        <v>0.05</v>
      </c>
      <c r="S14" s="395" t="n">
        <f aca="false">IF(AND(S6&gt;=Assumptions!$N$50,R6&lt;Assumptions!$N$50),1/Assumptions!$N$50-Depreciation!$D$14,IF(S6&lt;Assumptions!$N$50,1/Assumptions!$N$50,0))</f>
        <v>0.05</v>
      </c>
      <c r="T14" s="395" t="n">
        <f aca="false">IF(AND(T6&gt;=Assumptions!$N$50,S6&lt;Assumptions!$N$50),1/Assumptions!$N$50-Depreciation!$D$14,IF(T6&lt;Assumptions!$N$50,1/Assumptions!$N$50,0))</f>
        <v>0.05</v>
      </c>
      <c r="U14" s="395" t="n">
        <f aca="false">IF(AND(U6&gt;=Assumptions!$N$50,T6&lt;Assumptions!$N$50),1/Assumptions!$N$50-Depreciation!$D$14,IF(U6&lt;Assumptions!$N$50,1/Assumptions!$N$50,0))</f>
        <v>0.05</v>
      </c>
      <c r="V14" s="395" t="n">
        <f aca="false">IF(AND(V6&gt;=Assumptions!$N$50,U6&lt;Assumptions!$N$50),1/Assumptions!$N$50-Depreciation!$D$14,IF(V6&lt;Assumptions!$N$50,1/Assumptions!$N$50,0))</f>
        <v>0.05</v>
      </c>
      <c r="W14" s="395" t="n">
        <f aca="false">IF(AND(W6&gt;=Assumptions!$N$50,V6&lt;Assumptions!$N$50),1/Assumptions!$N$50-Depreciation!$D$14,IF(W6&lt;Assumptions!$N$50,1/Assumptions!$N$50,0))</f>
        <v>0.05</v>
      </c>
      <c r="X14" s="395" t="n">
        <f aca="false">IF(AND(X6&gt;=Assumptions!$N$50,W6&lt;Assumptions!$N$50),1/Assumptions!$N$50-Depreciation!$D$14,IF(X6&lt;Assumptions!$N$50,1/Assumptions!$N$50,0))</f>
        <v>0.0166666666666667</v>
      </c>
      <c r="Y14" s="395" t="n">
        <f aca="false">IF(AND(Y6&gt;=Assumptions!$N$50,X6&lt;Assumptions!$N$50),1/Assumptions!$N$50-Depreciation!$D$14,IF(Y6&lt;Assumptions!$N$50,1/Assumptions!$N$50,0))</f>
        <v>0</v>
      </c>
      <c r="Z14" s="395" t="n">
        <f aca="false">IF(AND(Z6&gt;=Assumptions!$N$50,Y6&lt;Assumptions!$N$50),1/Assumptions!$N$50-Depreciation!$D$14,IF(Z6&lt;Assumptions!$N$50,1/Assumptions!$N$50,0))</f>
        <v>0</v>
      </c>
      <c r="AA14" s="395" t="n">
        <f aca="false">IF(AND(AA6&gt;=Assumptions!$N$50,Z6&lt;Assumptions!$N$50),1/Assumptions!$N$50-Depreciation!$D$14,IF(AA6&lt;Assumptions!$N$50,1/Assumptions!$N$50,0))</f>
        <v>0</v>
      </c>
      <c r="AB14" s="395" t="n">
        <f aca="false">IF(AND(AB6&gt;=Assumptions!$N$50,AA6&lt;Assumptions!$N$50),1/Assumptions!$N$50-Depreciation!$D$14,IF(AB6&lt;Assumptions!$N$50,1/Assumptions!$N$50,0))</f>
        <v>0</v>
      </c>
      <c r="AC14" s="395" t="n">
        <f aca="false">IF(AND(AC6&gt;=Assumptions!$N$50,AB6&lt;Assumptions!$N$50),1/Assumptions!$N$50-Depreciation!$D$14,IF(AC6&lt;Assumptions!$N$50,1/Assumptions!$N$50,0))</f>
        <v>0</v>
      </c>
      <c r="AD14" s="395" t="n">
        <f aca="false">IF(AND(AD6&gt;=Assumptions!$N$50,AC6&lt;Assumptions!$N$50),1/Assumptions!$N$50-Depreciation!$D$14,IF(AD6&lt;Assumptions!$N$50,1/Assumptions!$N$50,0))</f>
        <v>0</v>
      </c>
      <c r="AE14" s="395" t="n">
        <f aca="false">IF(AND(AE6&gt;=Assumptions!$N$50,AD6&lt;Assumptions!$N$50),1/Assumptions!$N$50-Depreciation!$D$14,IF(AE6&lt;Assumptions!$N$50,1/Assumptions!$N$50,0))</f>
        <v>0</v>
      </c>
      <c r="AF14" s="395" t="n">
        <f aca="false">IF(AND(AF6&gt;=Assumptions!$N$50,AE6&lt;Assumptions!$N$50),1/Assumptions!$N$50-Depreciation!$D$14,IF(AF6&lt;Assumptions!$N$50,1/Assumptions!$N$50,0))</f>
        <v>0</v>
      </c>
      <c r="AG14" s="395" t="n">
        <f aca="false">IF(AND(AG6&gt;=Assumptions!$N$50,AF6&lt;Assumptions!$N$50),1/Assumptions!$N$50-Depreciation!$D$14,IF(AG6&lt;Assumptions!$N$50,1/Assumptions!$N$50,0))</f>
        <v>0</v>
      </c>
      <c r="AH14" s="395" t="n">
        <f aca="false">IF(AND(AH6&gt;=Assumptions!$N$50,AG6&lt;Assumptions!$N$50),1/Assumptions!$N$50-Depreciation!$D$14,IF(AH6&lt;Assumptions!$N$50,1/Assumptions!$N$50,0))</f>
        <v>0</v>
      </c>
      <c r="AI14" s="403"/>
      <c r="AJ14" s="403"/>
      <c r="AK14" s="403"/>
      <c r="AL14" s="403"/>
      <c r="AM14" s="403"/>
      <c r="AN14" s="403"/>
      <c r="AO14" s="403"/>
      <c r="AP14" s="403"/>
      <c r="AQ14" s="403"/>
      <c r="AR14" s="403"/>
      <c r="AS14" s="403"/>
      <c r="AT14" s="403"/>
      <c r="AU14" s="403"/>
      <c r="AV14" s="403"/>
      <c r="AW14" s="403"/>
      <c r="AX14" s="403"/>
      <c r="AY14" s="403"/>
      <c r="AZ14" s="403"/>
      <c r="BA14" s="403"/>
      <c r="BB14" s="403"/>
      <c r="BC14" s="403"/>
      <c r="BD14" s="403"/>
      <c r="BE14" s="403"/>
      <c r="BF14" s="403"/>
      <c r="BG14" s="403"/>
      <c r="BH14" s="403"/>
      <c r="BI14" s="403"/>
      <c r="BJ14" s="403"/>
      <c r="BK14" s="403"/>
      <c r="BL14" s="403"/>
      <c r="BM14" s="403"/>
      <c r="BN14" s="403"/>
      <c r="BO14" s="403"/>
      <c r="BP14" s="403"/>
      <c r="BQ14" s="403"/>
      <c r="BR14" s="403"/>
      <c r="BS14" s="403"/>
      <c r="BT14" s="403"/>
      <c r="BU14" s="403"/>
      <c r="BV14" s="403"/>
      <c r="BW14" s="403"/>
      <c r="BX14" s="403"/>
      <c r="BY14" s="403"/>
      <c r="BZ14" s="403"/>
      <c r="CA14" s="403"/>
      <c r="CB14" s="403"/>
      <c r="CC14" s="403"/>
      <c r="CD14" s="403"/>
      <c r="CE14" s="403"/>
      <c r="CF14" s="403"/>
      <c r="CG14" s="403"/>
      <c r="CH14" s="403"/>
      <c r="CI14" s="403"/>
      <c r="CJ14" s="403"/>
      <c r="CK14" s="403"/>
      <c r="CL14" s="403"/>
      <c r="CM14" s="403"/>
      <c r="CN14" s="403"/>
      <c r="CO14" s="403"/>
      <c r="CP14" s="403"/>
      <c r="CQ14" s="403"/>
      <c r="CR14" s="403"/>
      <c r="CS14" s="403"/>
      <c r="CT14" s="403"/>
      <c r="CU14" s="403"/>
      <c r="CV14" s="403"/>
      <c r="CW14" s="403"/>
      <c r="CX14" s="403"/>
      <c r="CY14" s="403"/>
      <c r="CZ14" s="403"/>
      <c r="DA14" s="403"/>
      <c r="DB14" s="403"/>
      <c r="DC14" s="403"/>
      <c r="DD14" s="403"/>
      <c r="DE14" s="403"/>
      <c r="DF14" s="403"/>
      <c r="DG14" s="403"/>
      <c r="DH14" s="403"/>
      <c r="DI14" s="403"/>
      <c r="DJ14" s="403"/>
      <c r="DK14" s="403"/>
      <c r="DL14" s="403"/>
      <c r="DM14" s="403"/>
      <c r="DN14" s="403"/>
      <c r="DO14" s="403"/>
      <c r="DP14" s="403"/>
      <c r="DQ14" s="403"/>
      <c r="DR14" s="403"/>
      <c r="DS14" s="403"/>
      <c r="DT14" s="403"/>
      <c r="DU14" s="403"/>
      <c r="DV14" s="403"/>
      <c r="DW14" s="403"/>
      <c r="DX14" s="403"/>
      <c r="DY14" s="403"/>
      <c r="DZ14" s="403"/>
      <c r="EA14" s="403"/>
      <c r="EB14" s="403"/>
      <c r="EC14" s="403"/>
      <c r="ED14" s="403"/>
      <c r="EE14" s="403"/>
      <c r="EF14" s="403"/>
      <c r="EG14" s="403"/>
      <c r="EH14" s="403"/>
      <c r="EI14" s="403"/>
      <c r="EJ14" s="403"/>
      <c r="EK14" s="403"/>
      <c r="EL14" s="403"/>
      <c r="EM14" s="403"/>
      <c r="EN14" s="403"/>
      <c r="EO14" s="403"/>
      <c r="EP14" s="403"/>
      <c r="EQ14" s="403"/>
      <c r="ER14" s="403"/>
      <c r="ES14" s="403"/>
      <c r="ET14" s="403"/>
      <c r="EU14" s="403"/>
      <c r="EV14" s="403"/>
      <c r="EW14" s="403"/>
      <c r="EX14" s="403"/>
      <c r="EY14" s="403"/>
      <c r="EZ14" s="403"/>
      <c r="FA14" s="403"/>
      <c r="FB14" s="403"/>
      <c r="FC14" s="403"/>
      <c r="FD14" s="403"/>
      <c r="FE14" s="403"/>
      <c r="FF14" s="403"/>
      <c r="FG14" s="403"/>
      <c r="FH14" s="403"/>
      <c r="FI14" s="403"/>
      <c r="FJ14" s="403"/>
      <c r="FK14" s="403"/>
      <c r="FL14" s="403"/>
      <c r="FM14" s="403"/>
      <c r="FN14" s="403"/>
      <c r="FO14" s="403"/>
      <c r="FP14" s="403"/>
      <c r="FQ14" s="403"/>
      <c r="FR14" s="403"/>
      <c r="FS14" s="403"/>
      <c r="FT14" s="403"/>
      <c r="FU14" s="403"/>
      <c r="FV14" s="403"/>
      <c r="FW14" s="403"/>
      <c r="FX14" s="403"/>
      <c r="FY14" s="403"/>
      <c r="FZ14" s="403"/>
      <c r="GA14" s="403"/>
      <c r="GB14" s="403"/>
      <c r="GC14" s="403"/>
      <c r="GD14" s="403"/>
      <c r="GE14" s="403"/>
      <c r="GF14" s="403"/>
      <c r="GG14" s="403"/>
      <c r="GH14" s="403"/>
      <c r="GI14" s="403"/>
      <c r="GJ14" s="403"/>
      <c r="GK14" s="403"/>
      <c r="GL14" s="403"/>
      <c r="GM14" s="403"/>
      <c r="GN14" s="403"/>
      <c r="GO14" s="403"/>
      <c r="GP14" s="403"/>
      <c r="GQ14" s="403"/>
      <c r="GR14" s="403"/>
      <c r="GS14" s="403"/>
      <c r="GT14" s="403"/>
      <c r="GU14" s="403"/>
      <c r="GV14" s="403"/>
      <c r="GW14" s="403"/>
      <c r="GX14" s="403"/>
      <c r="GY14" s="403"/>
      <c r="GZ14" s="403"/>
      <c r="HA14" s="403"/>
      <c r="HB14" s="403"/>
      <c r="HC14" s="403"/>
      <c r="HD14" s="403"/>
      <c r="HE14" s="403"/>
      <c r="HF14" s="403"/>
      <c r="HG14" s="403"/>
      <c r="HH14" s="403"/>
      <c r="HI14" s="403"/>
      <c r="HJ14" s="403"/>
      <c r="HK14" s="403"/>
      <c r="HL14" s="403"/>
      <c r="HM14" s="403"/>
      <c r="HN14" s="403"/>
      <c r="HO14" s="403"/>
      <c r="HP14" s="403"/>
      <c r="HQ14" s="403"/>
      <c r="HR14" s="403"/>
      <c r="HS14" s="403"/>
      <c r="HT14" s="403"/>
      <c r="HU14" s="403"/>
      <c r="HV14" s="403"/>
      <c r="HW14" s="403"/>
      <c r="HX14" s="403"/>
      <c r="HY14" s="403"/>
      <c r="HZ14" s="403"/>
      <c r="IA14" s="403"/>
      <c r="IB14" s="403"/>
      <c r="IC14" s="403"/>
      <c r="ID14" s="403"/>
      <c r="IE14" s="403"/>
      <c r="IF14" s="403"/>
      <c r="IG14" s="403"/>
      <c r="IH14" s="403"/>
      <c r="II14" s="403"/>
      <c r="IJ14" s="403"/>
      <c r="IK14" s="403"/>
      <c r="IL14" s="403"/>
      <c r="IM14" s="403"/>
      <c r="IN14" s="403"/>
      <c r="IO14" s="403"/>
      <c r="IP14" s="403"/>
      <c r="IQ14" s="403"/>
      <c r="IR14" s="403"/>
      <c r="IS14" s="403"/>
      <c r="IT14" s="403"/>
      <c r="IU14" s="403"/>
      <c r="IV14" s="403"/>
      <c r="IW14" s="403"/>
    </row>
    <row r="15" customFormat="false" ht="12.75" hidden="false" customHeight="false" outlineLevel="0" collapsed="false">
      <c r="B15" s="404"/>
      <c r="D15" s="396"/>
      <c r="AI15" s="393"/>
      <c r="AJ15" s="393"/>
      <c r="AK15" s="393"/>
      <c r="AL15" s="393"/>
      <c r="AM15" s="393"/>
      <c r="AN15" s="393"/>
      <c r="AO15" s="393"/>
      <c r="AP15" s="393"/>
      <c r="AQ15" s="393"/>
      <c r="AR15" s="393"/>
      <c r="AS15" s="393"/>
      <c r="AT15" s="393"/>
      <c r="AU15" s="393"/>
      <c r="AV15" s="393"/>
      <c r="AW15" s="393"/>
      <c r="AX15" s="393"/>
      <c r="AY15" s="393"/>
      <c r="AZ15" s="393"/>
      <c r="BA15" s="393"/>
      <c r="BB15" s="393"/>
      <c r="BC15" s="393"/>
      <c r="BD15" s="393"/>
      <c r="BE15" s="393"/>
      <c r="BF15" s="393"/>
      <c r="BG15" s="393"/>
      <c r="BH15" s="393"/>
      <c r="BI15" s="393"/>
      <c r="BJ15" s="393"/>
      <c r="BK15" s="393"/>
      <c r="BL15" s="393"/>
      <c r="BM15" s="393"/>
      <c r="BN15" s="393"/>
      <c r="BO15" s="393"/>
      <c r="BP15" s="393"/>
      <c r="BQ15" s="393"/>
      <c r="BR15" s="393"/>
      <c r="BS15" s="393"/>
      <c r="BT15" s="393"/>
      <c r="BU15" s="393"/>
      <c r="BV15" s="393"/>
      <c r="BW15" s="393"/>
      <c r="BX15" s="393"/>
      <c r="BY15" s="393"/>
      <c r="BZ15" s="393"/>
      <c r="CA15" s="393"/>
      <c r="CB15" s="393"/>
      <c r="CC15" s="393"/>
      <c r="CD15" s="393"/>
      <c r="CE15" s="393"/>
      <c r="CF15" s="393"/>
      <c r="CG15" s="393"/>
      <c r="CH15" s="393"/>
      <c r="CI15" s="393"/>
      <c r="CJ15" s="393"/>
      <c r="CK15" s="393"/>
      <c r="CL15" s="393"/>
      <c r="CM15" s="393"/>
      <c r="CN15" s="393"/>
      <c r="CO15" s="393"/>
      <c r="CP15" s="393"/>
      <c r="CQ15" s="393"/>
      <c r="CR15" s="393"/>
      <c r="CS15" s="393"/>
      <c r="CT15" s="393"/>
      <c r="CU15" s="393"/>
      <c r="CV15" s="393"/>
      <c r="CW15" s="393"/>
      <c r="CX15" s="393"/>
      <c r="CY15" s="393"/>
      <c r="CZ15" s="393"/>
      <c r="DA15" s="393"/>
      <c r="DB15" s="393"/>
      <c r="DC15" s="393"/>
      <c r="DD15" s="393"/>
      <c r="DE15" s="393"/>
      <c r="DF15" s="393"/>
      <c r="DG15" s="393"/>
      <c r="DH15" s="393"/>
      <c r="DI15" s="393"/>
      <c r="DJ15" s="393"/>
      <c r="DK15" s="393"/>
      <c r="DL15" s="393"/>
      <c r="DM15" s="393"/>
      <c r="DN15" s="393"/>
      <c r="DO15" s="393"/>
      <c r="DP15" s="393"/>
      <c r="DQ15" s="393"/>
      <c r="DR15" s="393"/>
      <c r="DS15" s="393"/>
      <c r="DT15" s="393"/>
      <c r="DU15" s="393"/>
      <c r="DV15" s="393"/>
      <c r="DW15" s="393"/>
      <c r="DX15" s="393"/>
      <c r="DY15" s="393"/>
      <c r="DZ15" s="393"/>
      <c r="EA15" s="393"/>
      <c r="EB15" s="393"/>
      <c r="EC15" s="393"/>
      <c r="ED15" s="393"/>
      <c r="EE15" s="393"/>
      <c r="EF15" s="393"/>
      <c r="EG15" s="393"/>
      <c r="EH15" s="393"/>
      <c r="EI15" s="393"/>
      <c r="EJ15" s="393"/>
      <c r="EK15" s="393"/>
      <c r="EL15" s="393"/>
      <c r="EM15" s="393"/>
      <c r="EN15" s="393"/>
      <c r="EO15" s="393"/>
      <c r="EP15" s="393"/>
      <c r="EQ15" s="393"/>
      <c r="ER15" s="393"/>
      <c r="ES15" s="393"/>
      <c r="ET15" s="393"/>
      <c r="EU15" s="393"/>
      <c r="EV15" s="393"/>
      <c r="EW15" s="393"/>
      <c r="EX15" s="393"/>
      <c r="EY15" s="393"/>
      <c r="EZ15" s="393"/>
      <c r="FA15" s="393"/>
      <c r="FB15" s="393"/>
      <c r="FC15" s="393"/>
      <c r="FD15" s="393"/>
      <c r="FE15" s="393"/>
      <c r="FF15" s="393"/>
      <c r="FG15" s="393"/>
      <c r="FH15" s="393"/>
      <c r="FI15" s="393"/>
      <c r="FJ15" s="393"/>
      <c r="FK15" s="393"/>
      <c r="FL15" s="393"/>
      <c r="FM15" s="393"/>
      <c r="FN15" s="393"/>
      <c r="FO15" s="393"/>
      <c r="FP15" s="393"/>
      <c r="FQ15" s="393"/>
      <c r="FR15" s="393"/>
      <c r="FS15" s="393"/>
      <c r="FT15" s="393"/>
      <c r="FU15" s="393"/>
      <c r="FV15" s="393"/>
      <c r="FW15" s="393"/>
      <c r="FX15" s="393"/>
      <c r="FY15" s="393"/>
      <c r="FZ15" s="393"/>
      <c r="GA15" s="393"/>
      <c r="GB15" s="393"/>
      <c r="GC15" s="393"/>
      <c r="GD15" s="393"/>
      <c r="GE15" s="393"/>
      <c r="GF15" s="393"/>
      <c r="GG15" s="393"/>
      <c r="GH15" s="393"/>
      <c r="GI15" s="393"/>
      <c r="GJ15" s="393"/>
      <c r="GK15" s="393"/>
      <c r="GL15" s="393"/>
      <c r="GM15" s="393"/>
      <c r="GN15" s="393"/>
      <c r="GO15" s="393"/>
      <c r="GP15" s="393"/>
      <c r="GQ15" s="393"/>
      <c r="GR15" s="393"/>
      <c r="GS15" s="393"/>
      <c r="GT15" s="393"/>
      <c r="GU15" s="393"/>
      <c r="GV15" s="393"/>
      <c r="GW15" s="393"/>
      <c r="GX15" s="393"/>
      <c r="GY15" s="393"/>
      <c r="GZ15" s="393"/>
      <c r="HA15" s="393"/>
      <c r="HB15" s="393"/>
      <c r="HC15" s="393"/>
      <c r="HD15" s="393"/>
      <c r="HE15" s="393"/>
      <c r="HF15" s="393"/>
      <c r="HG15" s="393"/>
      <c r="HH15" s="393"/>
      <c r="HI15" s="393"/>
      <c r="HJ15" s="393"/>
      <c r="HK15" s="393"/>
      <c r="HL15" s="393"/>
      <c r="HM15" s="393"/>
      <c r="HN15" s="393"/>
      <c r="HO15" s="393"/>
      <c r="HP15" s="393"/>
      <c r="HQ15" s="393"/>
      <c r="HR15" s="393"/>
      <c r="HS15" s="393"/>
      <c r="HT15" s="393"/>
      <c r="HU15" s="393"/>
      <c r="HV15" s="393"/>
      <c r="HW15" s="393"/>
      <c r="HX15" s="393"/>
      <c r="HY15" s="393"/>
      <c r="HZ15" s="393"/>
      <c r="IA15" s="393"/>
      <c r="IB15" s="393"/>
      <c r="IC15" s="393"/>
      <c r="ID15" s="393"/>
      <c r="IE15" s="393"/>
      <c r="IF15" s="393"/>
      <c r="IG15" s="393"/>
      <c r="IH15" s="393"/>
      <c r="II15" s="393"/>
      <c r="IJ15" s="393"/>
      <c r="IK15" s="393"/>
      <c r="IL15" s="393"/>
      <c r="IM15" s="393"/>
      <c r="IN15" s="393"/>
      <c r="IO15" s="393"/>
      <c r="IP15" s="393"/>
      <c r="IQ15" s="393"/>
      <c r="IR15" s="393"/>
      <c r="IS15" s="393"/>
      <c r="IT15" s="393"/>
      <c r="IU15" s="393"/>
      <c r="IV15" s="393"/>
      <c r="IW15" s="393"/>
    </row>
    <row r="16" customFormat="false" ht="12.75" hidden="false" customHeight="false" outlineLevel="0" collapsed="false">
      <c r="A16" s="397" t="s">
        <v>358</v>
      </c>
      <c r="B16" s="183" t="n">
        <f aca="false">Assumptions!C34+Assumptions!C46+Assumptions!C38</f>
        <v>75730.1347347428</v>
      </c>
      <c r="C16" s="405"/>
      <c r="D16" s="183" t="n">
        <f aca="false">$B$16*D12</f>
        <v>3786.50673673714</v>
      </c>
      <c r="E16" s="183" t="n">
        <f aca="false">$B$16*E12</f>
        <v>7194.36279980056</v>
      </c>
      <c r="F16" s="183" t="n">
        <f aca="false">$B$16*F12</f>
        <v>6474.92651982051</v>
      </c>
      <c r="G16" s="183" t="n">
        <f aca="false">$B$16*G12</f>
        <v>5831.22037457519</v>
      </c>
      <c r="H16" s="183" t="n">
        <f aca="false">$B$16*H12</f>
        <v>5248.09833711767</v>
      </c>
      <c r="I16" s="183" t="n">
        <f aca="false">$B$16*I12</f>
        <v>4717.98739397448</v>
      </c>
      <c r="J16" s="183" t="n">
        <f aca="false">$B$16*J12</f>
        <v>4468.07794934982</v>
      </c>
      <c r="K16" s="183" t="n">
        <f aca="false">$B$16*K12</f>
        <v>4475.6509628233</v>
      </c>
      <c r="L16" s="183" t="n">
        <f aca="false">$B$16*L12</f>
        <v>4468.07794934982</v>
      </c>
      <c r="M16" s="183" t="n">
        <f aca="false">$B$16*M12</f>
        <v>4475.6509628233</v>
      </c>
      <c r="N16" s="183" t="n">
        <f aca="false">$B$16*N12</f>
        <v>4468.07794934982</v>
      </c>
      <c r="O16" s="183" t="n">
        <f aca="false">$B$16*O12</f>
        <v>4475.6509628233</v>
      </c>
      <c r="P16" s="183" t="n">
        <f aca="false">$B$16*P12</f>
        <v>4468.07794934982</v>
      </c>
      <c r="Q16" s="183" t="n">
        <f aca="false">$B$16*Q12</f>
        <v>4475.6509628233</v>
      </c>
      <c r="R16" s="183" t="n">
        <f aca="false">$B$16*R12</f>
        <v>4468.07794934982</v>
      </c>
      <c r="S16" s="183" t="n">
        <f aca="false">$B$16*S12</f>
        <v>2234.03897467491</v>
      </c>
      <c r="T16" s="183" t="n">
        <f aca="false">$B$16*T12</f>
        <v>0</v>
      </c>
      <c r="U16" s="183" t="n">
        <f aca="false">$B$16*U12</f>
        <v>0</v>
      </c>
      <c r="V16" s="183" t="n">
        <f aca="false">$B$16*V12</f>
        <v>0</v>
      </c>
      <c r="W16" s="183" t="n">
        <f aca="false">$B$16*W12</f>
        <v>0</v>
      </c>
      <c r="X16" s="183" t="n">
        <f aca="false">$B$16*X12</f>
        <v>0</v>
      </c>
      <c r="Y16" s="183" t="n">
        <f aca="false">$B$16*Y12</f>
        <v>0</v>
      </c>
      <c r="Z16" s="183" t="n">
        <f aca="false">$B$16*Z12</f>
        <v>0</v>
      </c>
      <c r="AA16" s="183" t="n">
        <f aca="false">$B$16*AA12</f>
        <v>0</v>
      </c>
      <c r="AB16" s="183" t="n">
        <f aca="false">$B$16*AB12</f>
        <v>0</v>
      </c>
      <c r="AC16" s="183" t="n">
        <f aca="false">$B$16*AC12</f>
        <v>0</v>
      </c>
      <c r="AD16" s="183" t="n">
        <f aca="false">$B$16*AD12</f>
        <v>0</v>
      </c>
      <c r="AE16" s="183" t="n">
        <f aca="false">$B$16*AE12</f>
        <v>0</v>
      </c>
      <c r="AF16" s="183" t="n">
        <f aca="false">$B$16*AF12</f>
        <v>0</v>
      </c>
      <c r="AG16" s="183" t="n">
        <f aca="false">$B$16*AG12</f>
        <v>0</v>
      </c>
      <c r="AH16" s="183" t="n">
        <f aca="false">$B$16*AH12</f>
        <v>0</v>
      </c>
      <c r="AI16" s="393"/>
      <c r="AJ16" s="393"/>
      <c r="AK16" s="393"/>
      <c r="AL16" s="393"/>
      <c r="AM16" s="393"/>
      <c r="AN16" s="393"/>
      <c r="AO16" s="393"/>
      <c r="AP16" s="393"/>
      <c r="AQ16" s="393"/>
      <c r="AR16" s="393"/>
      <c r="AS16" s="393"/>
      <c r="AT16" s="393"/>
      <c r="AU16" s="393"/>
      <c r="AV16" s="393"/>
      <c r="AW16" s="393"/>
      <c r="AX16" s="393"/>
      <c r="AY16" s="393"/>
      <c r="AZ16" s="393"/>
      <c r="BA16" s="393"/>
      <c r="BB16" s="393"/>
      <c r="BC16" s="393"/>
      <c r="BD16" s="393"/>
      <c r="BE16" s="393"/>
      <c r="BF16" s="393"/>
      <c r="BG16" s="393"/>
      <c r="BH16" s="393"/>
      <c r="BI16" s="393"/>
      <c r="BJ16" s="393"/>
      <c r="BK16" s="393"/>
      <c r="BL16" s="393"/>
      <c r="BM16" s="393"/>
      <c r="BN16" s="393"/>
      <c r="BO16" s="393"/>
      <c r="BP16" s="393"/>
      <c r="BQ16" s="393"/>
      <c r="BR16" s="393"/>
      <c r="BS16" s="393"/>
      <c r="BT16" s="393"/>
      <c r="BU16" s="393"/>
      <c r="BV16" s="393"/>
      <c r="BW16" s="393"/>
      <c r="BX16" s="393"/>
      <c r="BY16" s="393"/>
      <c r="BZ16" s="393"/>
      <c r="CA16" s="393"/>
      <c r="CB16" s="393"/>
      <c r="CC16" s="393"/>
      <c r="CD16" s="393"/>
      <c r="CE16" s="393"/>
      <c r="CF16" s="393"/>
      <c r="CG16" s="393"/>
      <c r="CH16" s="393"/>
      <c r="CI16" s="393"/>
      <c r="CJ16" s="393"/>
      <c r="CK16" s="393"/>
      <c r="CL16" s="393"/>
      <c r="CM16" s="393"/>
      <c r="CN16" s="393"/>
      <c r="CO16" s="393"/>
      <c r="CP16" s="393"/>
      <c r="CQ16" s="393"/>
      <c r="CR16" s="393"/>
      <c r="CS16" s="393"/>
      <c r="CT16" s="393"/>
      <c r="CU16" s="393"/>
      <c r="CV16" s="393"/>
      <c r="CW16" s="393"/>
      <c r="CX16" s="393"/>
      <c r="CY16" s="393"/>
      <c r="CZ16" s="393"/>
      <c r="DA16" s="393"/>
      <c r="DB16" s="393"/>
      <c r="DC16" s="393"/>
      <c r="DD16" s="393"/>
      <c r="DE16" s="393"/>
      <c r="DF16" s="393"/>
      <c r="DG16" s="393"/>
      <c r="DH16" s="393"/>
      <c r="DI16" s="393"/>
      <c r="DJ16" s="393"/>
      <c r="DK16" s="393"/>
      <c r="DL16" s="393"/>
      <c r="DM16" s="393"/>
      <c r="DN16" s="393"/>
      <c r="DO16" s="393"/>
      <c r="DP16" s="393"/>
      <c r="DQ16" s="393"/>
      <c r="DR16" s="393"/>
      <c r="DS16" s="393"/>
      <c r="DT16" s="393"/>
      <c r="DU16" s="393"/>
      <c r="DV16" s="393"/>
      <c r="DW16" s="393"/>
      <c r="DX16" s="393"/>
      <c r="DY16" s="393"/>
      <c r="DZ16" s="393"/>
      <c r="EA16" s="393"/>
      <c r="EB16" s="393"/>
      <c r="EC16" s="393"/>
      <c r="ED16" s="393"/>
      <c r="EE16" s="393"/>
      <c r="EF16" s="393"/>
      <c r="EG16" s="393"/>
      <c r="EH16" s="393"/>
      <c r="EI16" s="393"/>
      <c r="EJ16" s="393"/>
      <c r="EK16" s="393"/>
      <c r="EL16" s="393"/>
      <c r="EM16" s="393"/>
      <c r="EN16" s="393"/>
      <c r="EO16" s="393"/>
      <c r="EP16" s="393"/>
      <c r="EQ16" s="393"/>
      <c r="ER16" s="393"/>
      <c r="ES16" s="393"/>
      <c r="ET16" s="393"/>
      <c r="EU16" s="393"/>
      <c r="EV16" s="393"/>
      <c r="EW16" s="393"/>
      <c r="EX16" s="393"/>
      <c r="EY16" s="393"/>
      <c r="EZ16" s="393"/>
      <c r="FA16" s="393"/>
      <c r="FB16" s="393"/>
      <c r="FC16" s="393"/>
      <c r="FD16" s="393"/>
      <c r="FE16" s="393"/>
      <c r="FF16" s="393"/>
      <c r="FG16" s="393"/>
      <c r="FH16" s="393"/>
      <c r="FI16" s="393"/>
      <c r="FJ16" s="393"/>
      <c r="FK16" s="393"/>
      <c r="FL16" s="393"/>
      <c r="FM16" s="393"/>
      <c r="FN16" s="393"/>
      <c r="FO16" s="393"/>
      <c r="FP16" s="393"/>
      <c r="FQ16" s="393"/>
      <c r="FR16" s="393"/>
      <c r="FS16" s="393"/>
      <c r="FT16" s="393"/>
      <c r="FU16" s="393"/>
      <c r="FV16" s="393"/>
      <c r="FW16" s="393"/>
      <c r="FX16" s="393"/>
      <c r="FY16" s="393"/>
      <c r="FZ16" s="393"/>
      <c r="GA16" s="393"/>
      <c r="GB16" s="393"/>
      <c r="GC16" s="393"/>
      <c r="GD16" s="393"/>
      <c r="GE16" s="393"/>
      <c r="GF16" s="393"/>
      <c r="GG16" s="393"/>
      <c r="GH16" s="393"/>
      <c r="GI16" s="393"/>
      <c r="GJ16" s="393"/>
      <c r="GK16" s="393"/>
      <c r="GL16" s="393"/>
      <c r="GM16" s="393"/>
      <c r="GN16" s="393"/>
      <c r="GO16" s="393"/>
      <c r="GP16" s="393"/>
      <c r="GQ16" s="393"/>
      <c r="GR16" s="393"/>
      <c r="GS16" s="393"/>
      <c r="GT16" s="393"/>
      <c r="GU16" s="393"/>
      <c r="GV16" s="393"/>
      <c r="GW16" s="393"/>
      <c r="GX16" s="393"/>
      <c r="GY16" s="393"/>
      <c r="GZ16" s="393"/>
      <c r="HA16" s="393"/>
      <c r="HB16" s="393"/>
      <c r="HC16" s="393"/>
      <c r="HD16" s="393"/>
      <c r="HE16" s="393"/>
      <c r="HF16" s="393"/>
      <c r="HG16" s="393"/>
      <c r="HH16" s="393"/>
      <c r="HI16" s="393"/>
      <c r="HJ16" s="393"/>
      <c r="HK16" s="393"/>
      <c r="HL16" s="393"/>
      <c r="HM16" s="393"/>
      <c r="HN16" s="393"/>
      <c r="HO16" s="393"/>
      <c r="HP16" s="393"/>
      <c r="HQ16" s="393"/>
      <c r="HR16" s="393"/>
      <c r="HS16" s="393"/>
      <c r="HT16" s="393"/>
      <c r="HU16" s="393"/>
      <c r="HV16" s="393"/>
      <c r="HW16" s="393"/>
      <c r="HX16" s="393"/>
      <c r="HY16" s="393"/>
      <c r="HZ16" s="393"/>
      <c r="IA16" s="393"/>
      <c r="IB16" s="393"/>
      <c r="IC16" s="393"/>
      <c r="ID16" s="393"/>
      <c r="IE16" s="393"/>
      <c r="IF16" s="393"/>
      <c r="IG16" s="393"/>
      <c r="IH16" s="393"/>
      <c r="II16" s="393"/>
      <c r="IJ16" s="393"/>
      <c r="IK16" s="393"/>
      <c r="IL16" s="393"/>
      <c r="IM16" s="393"/>
      <c r="IN16" s="393"/>
      <c r="IO16" s="393"/>
      <c r="IP16" s="393"/>
      <c r="IQ16" s="393"/>
      <c r="IR16" s="393"/>
      <c r="IS16" s="393"/>
      <c r="IT16" s="393"/>
      <c r="IU16" s="393"/>
      <c r="IV16" s="393"/>
      <c r="IW16" s="393"/>
    </row>
    <row r="17" customFormat="false" ht="12.75" hidden="false" customHeight="false" outlineLevel="0" collapsed="false">
      <c r="A17" s="397" t="s">
        <v>359</v>
      </c>
      <c r="B17" s="406" t="n">
        <f aca="false">Assumptions!C50-Assumptions!C46-Assumptions!C47</f>
        <v>3380.08</v>
      </c>
      <c r="C17" s="405"/>
      <c r="D17" s="183" t="n">
        <f aca="false">$B$17*D13</f>
        <v>450.677333333333</v>
      </c>
      <c r="E17" s="183" t="n">
        <f aca="false">$B$17*E13</f>
        <v>676.016</v>
      </c>
      <c r="F17" s="183" t="n">
        <f aca="false">$B$17*F13</f>
        <v>676.016</v>
      </c>
      <c r="G17" s="183" t="n">
        <f aca="false">$B$17*G13</f>
        <v>676.016</v>
      </c>
      <c r="H17" s="183" t="n">
        <f aca="false">$B$17*H13</f>
        <v>676.016</v>
      </c>
      <c r="I17" s="183" t="n">
        <f aca="false">$B$17*I13</f>
        <v>225.338666666667</v>
      </c>
      <c r="J17" s="183" t="n">
        <f aca="false">$B$17*J13</f>
        <v>0</v>
      </c>
      <c r="K17" s="183" t="n">
        <f aca="false">$B$17*K13</f>
        <v>0</v>
      </c>
      <c r="L17" s="183" t="n">
        <f aca="false">$B$17*L13</f>
        <v>0</v>
      </c>
      <c r="M17" s="183" t="n">
        <f aca="false">$B$17*M13</f>
        <v>0</v>
      </c>
      <c r="N17" s="183" t="n">
        <f aca="false">$B$17*N13</f>
        <v>0</v>
      </c>
      <c r="O17" s="183" t="n">
        <f aca="false">$B$17*O13</f>
        <v>0</v>
      </c>
      <c r="P17" s="183" t="n">
        <f aca="false">$B$17*P13</f>
        <v>0</v>
      </c>
      <c r="Q17" s="183" t="n">
        <f aca="false">$B$17*Q13</f>
        <v>0</v>
      </c>
      <c r="R17" s="183" t="n">
        <f aca="false">$B$17*R13</f>
        <v>0</v>
      </c>
      <c r="S17" s="183" t="n">
        <f aca="false">$B$17*S13</f>
        <v>0</v>
      </c>
      <c r="T17" s="183" t="n">
        <f aca="false">$B$17*T13</f>
        <v>0</v>
      </c>
      <c r="U17" s="183" t="n">
        <f aca="false">$B$17*U13</f>
        <v>0</v>
      </c>
      <c r="V17" s="183" t="n">
        <f aca="false">$B$17*V13</f>
        <v>0</v>
      </c>
      <c r="W17" s="183" t="n">
        <f aca="false">$B$17*W13</f>
        <v>0</v>
      </c>
      <c r="X17" s="183" t="n">
        <f aca="false">$B$17*X13</f>
        <v>0</v>
      </c>
      <c r="Y17" s="183" t="n">
        <f aca="false">$B$17*Y13</f>
        <v>0</v>
      </c>
      <c r="Z17" s="183" t="n">
        <f aca="false">$B$17*Z13</f>
        <v>0</v>
      </c>
      <c r="AA17" s="183" t="n">
        <f aca="false">$B$17*AA13</f>
        <v>0</v>
      </c>
      <c r="AB17" s="183" t="n">
        <f aca="false">$B$17*AB13</f>
        <v>0</v>
      </c>
      <c r="AC17" s="183" t="n">
        <f aca="false">$B$17*AC13</f>
        <v>0</v>
      </c>
      <c r="AD17" s="183" t="n">
        <f aca="false">$B$17*AD13</f>
        <v>0</v>
      </c>
      <c r="AE17" s="183" t="n">
        <f aca="false">$B$17*AE13</f>
        <v>0</v>
      </c>
      <c r="AF17" s="183" t="n">
        <f aca="false">$B$17*AF13</f>
        <v>0</v>
      </c>
      <c r="AG17" s="183" t="n">
        <f aca="false">$B$17*AG13</f>
        <v>0</v>
      </c>
      <c r="AH17" s="183" t="n">
        <f aca="false">$B$17*AH13</f>
        <v>0</v>
      </c>
      <c r="AI17" s="393"/>
      <c r="AJ17" s="393"/>
      <c r="AK17" s="393"/>
      <c r="AL17" s="393"/>
      <c r="AM17" s="393"/>
      <c r="AN17" s="393"/>
      <c r="AO17" s="393"/>
      <c r="AP17" s="393"/>
      <c r="AQ17" s="393"/>
      <c r="AR17" s="393"/>
      <c r="AS17" s="393"/>
      <c r="AT17" s="393"/>
      <c r="AU17" s="393"/>
      <c r="AV17" s="393"/>
      <c r="AW17" s="393"/>
      <c r="AX17" s="393"/>
      <c r="AY17" s="393"/>
      <c r="AZ17" s="393"/>
      <c r="BA17" s="393"/>
      <c r="BB17" s="393"/>
      <c r="BC17" s="393"/>
      <c r="BD17" s="393"/>
      <c r="BE17" s="393"/>
      <c r="BF17" s="393"/>
      <c r="BG17" s="393"/>
      <c r="BH17" s="393"/>
      <c r="BI17" s="393"/>
      <c r="BJ17" s="393"/>
      <c r="BK17" s="393"/>
      <c r="BL17" s="393"/>
      <c r="BM17" s="393"/>
      <c r="BN17" s="393"/>
      <c r="BO17" s="393"/>
      <c r="BP17" s="393"/>
      <c r="BQ17" s="393"/>
      <c r="BR17" s="393"/>
      <c r="BS17" s="393"/>
      <c r="BT17" s="393"/>
      <c r="BU17" s="393"/>
      <c r="BV17" s="393"/>
      <c r="BW17" s="393"/>
      <c r="BX17" s="393"/>
      <c r="BY17" s="393"/>
      <c r="BZ17" s="393"/>
      <c r="CA17" s="393"/>
      <c r="CB17" s="393"/>
      <c r="CC17" s="393"/>
      <c r="CD17" s="393"/>
      <c r="CE17" s="393"/>
      <c r="CF17" s="393"/>
      <c r="CG17" s="393"/>
      <c r="CH17" s="393"/>
      <c r="CI17" s="393"/>
      <c r="CJ17" s="393"/>
      <c r="CK17" s="393"/>
      <c r="CL17" s="393"/>
      <c r="CM17" s="393"/>
      <c r="CN17" s="393"/>
      <c r="CO17" s="393"/>
      <c r="CP17" s="393"/>
      <c r="CQ17" s="393"/>
      <c r="CR17" s="393"/>
      <c r="CS17" s="393"/>
      <c r="CT17" s="393"/>
      <c r="CU17" s="393"/>
      <c r="CV17" s="393"/>
      <c r="CW17" s="393"/>
      <c r="CX17" s="393"/>
      <c r="CY17" s="393"/>
      <c r="CZ17" s="393"/>
      <c r="DA17" s="393"/>
      <c r="DB17" s="393"/>
      <c r="DC17" s="393"/>
      <c r="DD17" s="393"/>
      <c r="DE17" s="393"/>
      <c r="DF17" s="393"/>
      <c r="DG17" s="393"/>
      <c r="DH17" s="393"/>
      <c r="DI17" s="393"/>
      <c r="DJ17" s="393"/>
      <c r="DK17" s="393"/>
      <c r="DL17" s="393"/>
      <c r="DM17" s="393"/>
      <c r="DN17" s="393"/>
      <c r="DO17" s="393"/>
      <c r="DP17" s="393"/>
      <c r="DQ17" s="393"/>
      <c r="DR17" s="393"/>
      <c r="DS17" s="393"/>
      <c r="DT17" s="393"/>
      <c r="DU17" s="393"/>
      <c r="DV17" s="393"/>
      <c r="DW17" s="393"/>
      <c r="DX17" s="393"/>
      <c r="DY17" s="393"/>
      <c r="DZ17" s="393"/>
      <c r="EA17" s="393"/>
      <c r="EB17" s="393"/>
      <c r="EC17" s="393"/>
      <c r="ED17" s="393"/>
      <c r="EE17" s="393"/>
      <c r="EF17" s="393"/>
      <c r="EG17" s="393"/>
      <c r="EH17" s="393"/>
      <c r="EI17" s="393"/>
      <c r="EJ17" s="393"/>
      <c r="EK17" s="393"/>
      <c r="EL17" s="393"/>
      <c r="EM17" s="393"/>
      <c r="EN17" s="393"/>
      <c r="EO17" s="393"/>
      <c r="EP17" s="393"/>
      <c r="EQ17" s="393"/>
      <c r="ER17" s="393"/>
      <c r="ES17" s="393"/>
      <c r="ET17" s="393"/>
      <c r="EU17" s="393"/>
      <c r="EV17" s="393"/>
      <c r="EW17" s="393"/>
      <c r="EX17" s="393"/>
      <c r="EY17" s="393"/>
      <c r="EZ17" s="393"/>
      <c r="FA17" s="393"/>
      <c r="FB17" s="393"/>
      <c r="FC17" s="393"/>
      <c r="FD17" s="393"/>
      <c r="FE17" s="393"/>
      <c r="FF17" s="393"/>
      <c r="FG17" s="393"/>
      <c r="FH17" s="393"/>
      <c r="FI17" s="393"/>
      <c r="FJ17" s="393"/>
      <c r="FK17" s="393"/>
      <c r="FL17" s="393"/>
      <c r="FM17" s="393"/>
      <c r="FN17" s="393"/>
      <c r="FO17" s="393"/>
      <c r="FP17" s="393"/>
      <c r="FQ17" s="393"/>
      <c r="FR17" s="393"/>
      <c r="FS17" s="393"/>
      <c r="FT17" s="393"/>
      <c r="FU17" s="393"/>
      <c r="FV17" s="393"/>
      <c r="FW17" s="393"/>
      <c r="FX17" s="393"/>
      <c r="FY17" s="393"/>
      <c r="FZ17" s="393"/>
      <c r="GA17" s="393"/>
      <c r="GB17" s="393"/>
      <c r="GC17" s="393"/>
      <c r="GD17" s="393"/>
      <c r="GE17" s="393"/>
      <c r="GF17" s="393"/>
      <c r="GG17" s="393"/>
      <c r="GH17" s="393"/>
      <c r="GI17" s="393"/>
      <c r="GJ17" s="393"/>
      <c r="GK17" s="393"/>
      <c r="GL17" s="393"/>
      <c r="GM17" s="393"/>
      <c r="GN17" s="393"/>
      <c r="GO17" s="393"/>
      <c r="GP17" s="393"/>
      <c r="GQ17" s="393"/>
      <c r="GR17" s="393"/>
      <c r="GS17" s="393"/>
      <c r="GT17" s="393"/>
      <c r="GU17" s="393"/>
      <c r="GV17" s="393"/>
      <c r="GW17" s="393"/>
      <c r="GX17" s="393"/>
      <c r="GY17" s="393"/>
      <c r="GZ17" s="393"/>
      <c r="HA17" s="393"/>
      <c r="HB17" s="393"/>
      <c r="HC17" s="393"/>
      <c r="HD17" s="393"/>
      <c r="HE17" s="393"/>
      <c r="HF17" s="393"/>
      <c r="HG17" s="393"/>
      <c r="HH17" s="393"/>
      <c r="HI17" s="393"/>
      <c r="HJ17" s="393"/>
      <c r="HK17" s="393"/>
      <c r="HL17" s="393"/>
      <c r="HM17" s="393"/>
      <c r="HN17" s="393"/>
      <c r="HO17" s="393"/>
      <c r="HP17" s="393"/>
      <c r="HQ17" s="393"/>
      <c r="HR17" s="393"/>
      <c r="HS17" s="393"/>
      <c r="HT17" s="393"/>
      <c r="HU17" s="393"/>
      <c r="HV17" s="393"/>
      <c r="HW17" s="393"/>
      <c r="HX17" s="393"/>
      <c r="HY17" s="393"/>
      <c r="HZ17" s="393"/>
      <c r="IA17" s="393"/>
      <c r="IB17" s="393"/>
      <c r="IC17" s="393"/>
      <c r="ID17" s="393"/>
      <c r="IE17" s="393"/>
      <c r="IF17" s="393"/>
      <c r="IG17" s="393"/>
      <c r="IH17" s="393"/>
      <c r="II17" s="393"/>
      <c r="IJ17" s="393"/>
      <c r="IK17" s="393"/>
      <c r="IL17" s="393"/>
      <c r="IM17" s="393"/>
      <c r="IN17" s="393"/>
      <c r="IO17" s="393"/>
      <c r="IP17" s="393"/>
      <c r="IQ17" s="393"/>
      <c r="IR17" s="393"/>
      <c r="IS17" s="393"/>
      <c r="IT17" s="393"/>
      <c r="IU17" s="393"/>
      <c r="IV17" s="393"/>
      <c r="IW17" s="393"/>
    </row>
    <row r="18" customFormat="false" ht="15" hidden="false" customHeight="false" outlineLevel="0" collapsed="false">
      <c r="A18" s="400" t="s">
        <v>360</v>
      </c>
      <c r="B18" s="308" t="n">
        <f aca="false">Assumptions!$C$56</f>
        <v>0</v>
      </c>
      <c r="C18" s="405"/>
      <c r="D18" s="308" t="n">
        <f aca="false">$B$18*D14</f>
        <v>0</v>
      </c>
      <c r="E18" s="308" t="n">
        <f aca="false">$B$18*E14</f>
        <v>0</v>
      </c>
      <c r="F18" s="308" t="n">
        <f aca="false">$B$18*F14</f>
        <v>0</v>
      </c>
      <c r="G18" s="308" t="n">
        <f aca="false">$B$18*G14</f>
        <v>0</v>
      </c>
      <c r="H18" s="308" t="n">
        <f aca="false">$B$18*H14</f>
        <v>0</v>
      </c>
      <c r="I18" s="308" t="n">
        <f aca="false">$B$18*I14</f>
        <v>0</v>
      </c>
      <c r="J18" s="308" t="n">
        <f aca="false">$B$18*J14</f>
        <v>0</v>
      </c>
      <c r="K18" s="308" t="n">
        <f aca="false">$B$18*K14</f>
        <v>0</v>
      </c>
      <c r="L18" s="308" t="n">
        <f aca="false">$B$18*L14</f>
        <v>0</v>
      </c>
      <c r="M18" s="308" t="n">
        <f aca="false">$B$18*M14</f>
        <v>0</v>
      </c>
      <c r="N18" s="308" t="n">
        <f aca="false">$B$18*N14</f>
        <v>0</v>
      </c>
      <c r="O18" s="308" t="n">
        <f aca="false">$B$18*O14</f>
        <v>0</v>
      </c>
      <c r="P18" s="308" t="n">
        <f aca="false">$B$18*P14</f>
        <v>0</v>
      </c>
      <c r="Q18" s="308" t="n">
        <f aca="false">$B$18*Q14</f>
        <v>0</v>
      </c>
      <c r="R18" s="308" t="n">
        <f aca="false">$B$18*R14</f>
        <v>0</v>
      </c>
      <c r="S18" s="308" t="n">
        <f aca="false">$B$18*S14</f>
        <v>0</v>
      </c>
      <c r="T18" s="308" t="n">
        <f aca="false">$B$18*T14</f>
        <v>0</v>
      </c>
      <c r="U18" s="308" t="n">
        <f aca="false">$B$18*U14</f>
        <v>0</v>
      </c>
      <c r="V18" s="308" t="n">
        <f aca="false">$B$18*V14</f>
        <v>0</v>
      </c>
      <c r="W18" s="308" t="n">
        <f aca="false">$B$18*W14</f>
        <v>0</v>
      </c>
      <c r="X18" s="308" t="n">
        <f aca="false">$B$18*X14</f>
        <v>0</v>
      </c>
      <c r="Y18" s="308" t="n">
        <f aca="false">$B$18*Y14</f>
        <v>0</v>
      </c>
      <c r="Z18" s="308" t="n">
        <f aca="false">$B$18*Z14</f>
        <v>0</v>
      </c>
      <c r="AA18" s="308" t="n">
        <f aca="false">$B$18*AA14</f>
        <v>0</v>
      </c>
      <c r="AB18" s="308" t="n">
        <f aca="false">$B$18*AB14</f>
        <v>0</v>
      </c>
      <c r="AC18" s="308" t="n">
        <f aca="false">$B$18*AC14</f>
        <v>0</v>
      </c>
      <c r="AD18" s="308" t="n">
        <f aca="false">$B$18*AD14</f>
        <v>0</v>
      </c>
      <c r="AE18" s="308" t="n">
        <f aca="false">$B$18*AE14</f>
        <v>0</v>
      </c>
      <c r="AF18" s="308" t="n">
        <f aca="false">$B$18*AF14</f>
        <v>0</v>
      </c>
      <c r="AG18" s="308" t="n">
        <f aca="false">$B$18*AG14</f>
        <v>0</v>
      </c>
      <c r="AH18" s="308" t="n">
        <f aca="false">$B$18*AH14</f>
        <v>0</v>
      </c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  <c r="BB18" s="393"/>
      <c r="BC18" s="393"/>
      <c r="BD18" s="393"/>
      <c r="BE18" s="393"/>
      <c r="BF18" s="393"/>
      <c r="BG18" s="393"/>
      <c r="BH18" s="393"/>
      <c r="BI18" s="393"/>
      <c r="BJ18" s="393"/>
      <c r="BK18" s="393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393"/>
      <c r="BX18" s="393"/>
      <c r="BY18" s="393"/>
      <c r="BZ18" s="393"/>
      <c r="CA18" s="393"/>
      <c r="CB18" s="393"/>
      <c r="CC18" s="393"/>
      <c r="CD18" s="393"/>
      <c r="CE18" s="393"/>
      <c r="CF18" s="393"/>
      <c r="CG18" s="393"/>
      <c r="CH18" s="393"/>
      <c r="CI18" s="393"/>
      <c r="CJ18" s="393"/>
      <c r="CK18" s="393"/>
      <c r="CL18" s="393"/>
      <c r="CM18" s="393"/>
      <c r="CN18" s="393"/>
      <c r="CO18" s="393"/>
      <c r="CP18" s="393"/>
      <c r="CQ18" s="393"/>
      <c r="CR18" s="393"/>
      <c r="CS18" s="393"/>
      <c r="CT18" s="393"/>
      <c r="CU18" s="393"/>
      <c r="CV18" s="393"/>
      <c r="CW18" s="393"/>
      <c r="CX18" s="393"/>
      <c r="CY18" s="393"/>
      <c r="CZ18" s="393"/>
      <c r="DA18" s="393"/>
      <c r="DB18" s="393"/>
      <c r="DC18" s="393"/>
      <c r="DD18" s="393"/>
      <c r="DE18" s="393"/>
      <c r="DF18" s="393"/>
      <c r="DG18" s="393"/>
      <c r="DH18" s="393"/>
      <c r="DI18" s="393"/>
      <c r="DJ18" s="393"/>
      <c r="DK18" s="393"/>
      <c r="DL18" s="393"/>
      <c r="DM18" s="393"/>
      <c r="DN18" s="393"/>
      <c r="DO18" s="393"/>
      <c r="DP18" s="393"/>
      <c r="DQ18" s="393"/>
      <c r="DR18" s="393"/>
      <c r="DS18" s="393"/>
      <c r="DT18" s="393"/>
      <c r="DU18" s="393"/>
      <c r="DV18" s="393"/>
      <c r="DW18" s="393"/>
      <c r="DX18" s="393"/>
      <c r="DY18" s="393"/>
      <c r="DZ18" s="393"/>
      <c r="EA18" s="393"/>
      <c r="EB18" s="393"/>
      <c r="EC18" s="393"/>
      <c r="ED18" s="393"/>
      <c r="EE18" s="393"/>
      <c r="EF18" s="393"/>
      <c r="EG18" s="393"/>
      <c r="EH18" s="393"/>
      <c r="EI18" s="393"/>
      <c r="EJ18" s="393"/>
      <c r="EK18" s="393"/>
      <c r="EL18" s="393"/>
      <c r="EM18" s="393"/>
      <c r="EN18" s="393"/>
      <c r="EO18" s="393"/>
      <c r="EP18" s="393"/>
      <c r="EQ18" s="393"/>
      <c r="ER18" s="393"/>
      <c r="ES18" s="393"/>
      <c r="ET18" s="393"/>
      <c r="EU18" s="393"/>
      <c r="EV18" s="393"/>
      <c r="EW18" s="393"/>
      <c r="EX18" s="393"/>
      <c r="EY18" s="393"/>
      <c r="EZ18" s="393"/>
      <c r="FA18" s="393"/>
      <c r="FB18" s="393"/>
      <c r="FC18" s="393"/>
      <c r="FD18" s="393"/>
      <c r="FE18" s="393"/>
      <c r="FF18" s="393"/>
      <c r="FG18" s="393"/>
      <c r="FH18" s="393"/>
      <c r="FI18" s="393"/>
      <c r="FJ18" s="393"/>
      <c r="FK18" s="393"/>
      <c r="FL18" s="393"/>
      <c r="FM18" s="393"/>
      <c r="FN18" s="393"/>
      <c r="FO18" s="393"/>
      <c r="FP18" s="393"/>
      <c r="FQ18" s="393"/>
      <c r="FR18" s="393"/>
      <c r="FS18" s="393"/>
      <c r="FT18" s="393"/>
      <c r="FU18" s="393"/>
      <c r="FV18" s="393"/>
      <c r="FW18" s="393"/>
      <c r="FX18" s="393"/>
      <c r="FY18" s="393"/>
      <c r="FZ18" s="393"/>
      <c r="GA18" s="393"/>
      <c r="GB18" s="393"/>
      <c r="GC18" s="393"/>
      <c r="GD18" s="393"/>
      <c r="GE18" s="393"/>
      <c r="GF18" s="393"/>
      <c r="GG18" s="393"/>
      <c r="GH18" s="393"/>
      <c r="GI18" s="393"/>
      <c r="GJ18" s="393"/>
      <c r="GK18" s="393"/>
      <c r="GL18" s="393"/>
      <c r="GM18" s="393"/>
      <c r="GN18" s="393"/>
      <c r="GO18" s="393"/>
      <c r="GP18" s="393"/>
      <c r="GQ18" s="393"/>
      <c r="GR18" s="393"/>
      <c r="GS18" s="393"/>
      <c r="GT18" s="393"/>
      <c r="GU18" s="393"/>
      <c r="GV18" s="393"/>
      <c r="GW18" s="393"/>
      <c r="GX18" s="393"/>
      <c r="GY18" s="393"/>
      <c r="GZ18" s="393"/>
      <c r="HA18" s="393"/>
      <c r="HB18" s="393"/>
      <c r="HC18" s="393"/>
      <c r="HD18" s="393"/>
      <c r="HE18" s="393"/>
      <c r="HF18" s="393"/>
      <c r="HG18" s="393"/>
      <c r="HH18" s="393"/>
      <c r="HI18" s="393"/>
      <c r="HJ18" s="393"/>
      <c r="HK18" s="393"/>
      <c r="HL18" s="393"/>
      <c r="HM18" s="393"/>
      <c r="HN18" s="393"/>
      <c r="HO18" s="393"/>
      <c r="HP18" s="393"/>
      <c r="HQ18" s="393"/>
      <c r="HR18" s="393"/>
      <c r="HS18" s="393"/>
      <c r="HT18" s="393"/>
      <c r="HU18" s="393"/>
      <c r="HV18" s="393"/>
      <c r="HW18" s="393"/>
      <c r="HX18" s="393"/>
      <c r="HY18" s="393"/>
      <c r="HZ18" s="393"/>
      <c r="IA18" s="393"/>
      <c r="IB18" s="393"/>
      <c r="IC18" s="393"/>
      <c r="ID18" s="393"/>
      <c r="IE18" s="393"/>
      <c r="IF18" s="393"/>
      <c r="IG18" s="393"/>
      <c r="IH18" s="393"/>
      <c r="II18" s="393"/>
      <c r="IJ18" s="393"/>
      <c r="IK18" s="393"/>
      <c r="IL18" s="393"/>
      <c r="IM18" s="393"/>
      <c r="IN18" s="393"/>
      <c r="IO18" s="393"/>
      <c r="IP18" s="393"/>
      <c r="IQ18" s="393"/>
      <c r="IR18" s="393"/>
      <c r="IS18" s="393"/>
      <c r="IT18" s="393"/>
      <c r="IU18" s="393"/>
      <c r="IV18" s="393"/>
      <c r="IW18" s="393"/>
    </row>
    <row r="19" customFormat="false" ht="12.75" hidden="false" customHeight="false" outlineLevel="0" collapsed="false">
      <c r="A19" s="400" t="s">
        <v>361</v>
      </c>
      <c r="B19" s="183" t="n">
        <f aca="false">SUM(B16:B18)</f>
        <v>79110.2147347428</v>
      </c>
      <c r="C19" s="405"/>
      <c r="D19" s="183" t="n">
        <f aca="false">SUM(D16:D18)</f>
        <v>4237.18407007047</v>
      </c>
      <c r="E19" s="183" t="n">
        <f aca="false">SUM(E16:E18)</f>
        <v>7870.37879980056</v>
      </c>
      <c r="F19" s="183" t="n">
        <f aca="false">SUM(F16:F18)</f>
        <v>7150.94251982051</v>
      </c>
      <c r="G19" s="183" t="n">
        <f aca="false">SUM(G16:G18)</f>
        <v>6507.23637457519</v>
      </c>
      <c r="H19" s="183" t="n">
        <f aca="false">SUM(H16:H18)</f>
        <v>5924.11433711767</v>
      </c>
      <c r="I19" s="183" t="n">
        <f aca="false">SUM(I16:I18)</f>
        <v>4943.32606064114</v>
      </c>
      <c r="J19" s="183" t="n">
        <f aca="false">SUM(J16:J18)</f>
        <v>4468.07794934982</v>
      </c>
      <c r="K19" s="183" t="n">
        <f aca="false">SUM(K16:K18)</f>
        <v>4475.6509628233</v>
      </c>
      <c r="L19" s="183" t="n">
        <f aca="false">SUM(L16:L18)</f>
        <v>4468.07794934982</v>
      </c>
      <c r="M19" s="183" t="n">
        <f aca="false">SUM(M16:M18)</f>
        <v>4475.6509628233</v>
      </c>
      <c r="N19" s="183" t="n">
        <f aca="false">SUM(N16:N18)</f>
        <v>4468.07794934982</v>
      </c>
      <c r="O19" s="183" t="n">
        <f aca="false">SUM(O16:O18)</f>
        <v>4475.6509628233</v>
      </c>
      <c r="P19" s="183" t="n">
        <f aca="false">SUM(P16:P18)</f>
        <v>4468.07794934982</v>
      </c>
      <c r="Q19" s="183" t="n">
        <f aca="false">SUM(Q16:Q18)</f>
        <v>4475.6509628233</v>
      </c>
      <c r="R19" s="183" t="n">
        <f aca="false">SUM(R16:R18)</f>
        <v>4468.07794934982</v>
      </c>
      <c r="S19" s="183" t="n">
        <f aca="false">SUM(S16:S18)</f>
        <v>2234.03897467491</v>
      </c>
      <c r="T19" s="183" t="n">
        <f aca="false">SUM(T16:T18)</f>
        <v>0</v>
      </c>
      <c r="U19" s="183" t="n">
        <f aca="false">SUM(U16:U18)</f>
        <v>0</v>
      </c>
      <c r="V19" s="183" t="n">
        <f aca="false">SUM(V16:V18)</f>
        <v>0</v>
      </c>
      <c r="W19" s="183" t="n">
        <f aca="false">SUM(W16:W18)</f>
        <v>0</v>
      </c>
      <c r="X19" s="183" t="n">
        <f aca="false">SUM(X16:X18)</f>
        <v>0</v>
      </c>
      <c r="Y19" s="183" t="n">
        <f aca="false">SUM(Y16:Y18)</f>
        <v>0</v>
      </c>
      <c r="Z19" s="183" t="n">
        <f aca="false">SUM(Z16:Z18)</f>
        <v>0</v>
      </c>
      <c r="AA19" s="183" t="n">
        <f aca="false">SUM(AA16:AA18)</f>
        <v>0</v>
      </c>
      <c r="AB19" s="183" t="n">
        <f aca="false">SUM(AB16:AB18)</f>
        <v>0</v>
      </c>
      <c r="AC19" s="183" t="n">
        <f aca="false">SUM(AC16:AC18)</f>
        <v>0</v>
      </c>
      <c r="AD19" s="183" t="n">
        <f aca="false">SUM(AD16:AD18)</f>
        <v>0</v>
      </c>
      <c r="AE19" s="183" t="n">
        <f aca="false">SUM(AE16:AE18)</f>
        <v>0</v>
      </c>
      <c r="AF19" s="183" t="n">
        <f aca="false">SUM(AF16:AF18)</f>
        <v>0</v>
      </c>
      <c r="AG19" s="183" t="n">
        <f aca="false">SUM(AG16:AG18)</f>
        <v>0</v>
      </c>
      <c r="AH19" s="183" t="n">
        <f aca="false">SUM(AH16:AH18)</f>
        <v>0</v>
      </c>
      <c r="AI19" s="393"/>
      <c r="AJ19" s="393"/>
      <c r="AK19" s="393"/>
      <c r="AL19" s="393"/>
      <c r="AM19" s="393"/>
      <c r="AN19" s="393"/>
      <c r="AO19" s="393"/>
      <c r="AP19" s="393"/>
      <c r="AQ19" s="393"/>
      <c r="AR19" s="393"/>
      <c r="AS19" s="393"/>
      <c r="AT19" s="393"/>
      <c r="AU19" s="393"/>
      <c r="AV19" s="393"/>
      <c r="AW19" s="393"/>
      <c r="AX19" s="393"/>
      <c r="AY19" s="393"/>
      <c r="AZ19" s="393"/>
      <c r="BA19" s="393"/>
      <c r="BB19" s="393"/>
      <c r="BC19" s="393"/>
      <c r="BD19" s="393"/>
      <c r="BE19" s="393"/>
      <c r="BF19" s="393"/>
      <c r="BG19" s="393"/>
      <c r="BH19" s="393"/>
      <c r="BI19" s="393"/>
      <c r="BJ19" s="393"/>
      <c r="BK19" s="393"/>
      <c r="BL19" s="393"/>
      <c r="BM19" s="393"/>
      <c r="BN19" s="393"/>
      <c r="BO19" s="393"/>
      <c r="BP19" s="393"/>
      <c r="BQ19" s="393"/>
      <c r="BR19" s="393"/>
      <c r="BS19" s="393"/>
      <c r="BT19" s="393"/>
      <c r="BU19" s="393"/>
      <c r="BV19" s="393"/>
      <c r="BW19" s="393"/>
      <c r="BX19" s="393"/>
      <c r="BY19" s="393"/>
      <c r="BZ19" s="393"/>
      <c r="CA19" s="393"/>
      <c r="CB19" s="393"/>
      <c r="CC19" s="393"/>
      <c r="CD19" s="393"/>
      <c r="CE19" s="393"/>
      <c r="CF19" s="393"/>
      <c r="CG19" s="393"/>
      <c r="CH19" s="393"/>
      <c r="CI19" s="393"/>
      <c r="CJ19" s="393"/>
      <c r="CK19" s="393"/>
      <c r="CL19" s="393"/>
      <c r="CM19" s="393"/>
      <c r="CN19" s="393"/>
      <c r="CO19" s="393"/>
      <c r="CP19" s="393"/>
      <c r="CQ19" s="393"/>
      <c r="CR19" s="393"/>
      <c r="CS19" s="393"/>
      <c r="CT19" s="393"/>
      <c r="CU19" s="393"/>
      <c r="CV19" s="393"/>
      <c r="CW19" s="393"/>
      <c r="CX19" s="393"/>
      <c r="CY19" s="393"/>
      <c r="CZ19" s="393"/>
      <c r="DA19" s="393"/>
      <c r="DB19" s="393"/>
      <c r="DC19" s="393"/>
      <c r="DD19" s="393"/>
      <c r="DE19" s="393"/>
      <c r="DF19" s="393"/>
      <c r="DG19" s="393"/>
      <c r="DH19" s="393"/>
      <c r="DI19" s="393"/>
      <c r="DJ19" s="393"/>
      <c r="DK19" s="393"/>
      <c r="DL19" s="393"/>
      <c r="DM19" s="393"/>
      <c r="DN19" s="393"/>
      <c r="DO19" s="393"/>
      <c r="DP19" s="393"/>
      <c r="DQ19" s="393"/>
      <c r="DR19" s="393"/>
      <c r="DS19" s="393"/>
      <c r="DT19" s="393"/>
      <c r="DU19" s="393"/>
      <c r="DV19" s="393"/>
      <c r="DW19" s="393"/>
      <c r="DX19" s="393"/>
      <c r="DY19" s="393"/>
      <c r="DZ19" s="393"/>
      <c r="EA19" s="393"/>
      <c r="EB19" s="393"/>
      <c r="EC19" s="393"/>
      <c r="ED19" s="393"/>
      <c r="EE19" s="393"/>
      <c r="EF19" s="393"/>
      <c r="EG19" s="393"/>
      <c r="EH19" s="393"/>
      <c r="EI19" s="393"/>
      <c r="EJ19" s="393"/>
      <c r="EK19" s="393"/>
      <c r="EL19" s="393"/>
      <c r="EM19" s="393"/>
      <c r="EN19" s="393"/>
      <c r="EO19" s="393"/>
      <c r="EP19" s="393"/>
      <c r="EQ19" s="393"/>
      <c r="ER19" s="393"/>
      <c r="ES19" s="393"/>
      <c r="ET19" s="393"/>
      <c r="EU19" s="393"/>
      <c r="EV19" s="393"/>
      <c r="EW19" s="393"/>
      <c r="EX19" s="393"/>
      <c r="EY19" s="393"/>
      <c r="EZ19" s="393"/>
      <c r="FA19" s="393"/>
      <c r="FB19" s="393"/>
      <c r="FC19" s="393"/>
      <c r="FD19" s="393"/>
      <c r="FE19" s="393"/>
      <c r="FF19" s="393"/>
      <c r="FG19" s="393"/>
      <c r="FH19" s="393"/>
      <c r="FI19" s="393"/>
      <c r="FJ19" s="393"/>
      <c r="FK19" s="393"/>
      <c r="FL19" s="393"/>
      <c r="FM19" s="393"/>
      <c r="FN19" s="393"/>
      <c r="FO19" s="393"/>
      <c r="FP19" s="393"/>
      <c r="FQ19" s="393"/>
      <c r="FR19" s="393"/>
      <c r="FS19" s="393"/>
      <c r="FT19" s="393"/>
      <c r="FU19" s="393"/>
      <c r="FV19" s="393"/>
      <c r="FW19" s="393"/>
      <c r="FX19" s="393"/>
      <c r="FY19" s="393"/>
      <c r="FZ19" s="393"/>
      <c r="GA19" s="393"/>
      <c r="GB19" s="393"/>
      <c r="GC19" s="393"/>
      <c r="GD19" s="393"/>
      <c r="GE19" s="393"/>
      <c r="GF19" s="393"/>
      <c r="GG19" s="393"/>
      <c r="GH19" s="393"/>
      <c r="GI19" s="393"/>
      <c r="GJ19" s="393"/>
      <c r="GK19" s="393"/>
      <c r="GL19" s="393"/>
      <c r="GM19" s="393"/>
      <c r="GN19" s="393"/>
      <c r="GO19" s="393"/>
      <c r="GP19" s="393"/>
      <c r="GQ19" s="393"/>
      <c r="GR19" s="393"/>
      <c r="GS19" s="393"/>
      <c r="GT19" s="393"/>
      <c r="GU19" s="393"/>
      <c r="GV19" s="393"/>
      <c r="GW19" s="393"/>
      <c r="GX19" s="393"/>
      <c r="GY19" s="393"/>
      <c r="GZ19" s="393"/>
      <c r="HA19" s="393"/>
      <c r="HB19" s="393"/>
      <c r="HC19" s="393"/>
      <c r="HD19" s="393"/>
      <c r="HE19" s="393"/>
      <c r="HF19" s="393"/>
      <c r="HG19" s="393"/>
      <c r="HH19" s="393"/>
      <c r="HI19" s="393"/>
      <c r="HJ19" s="393"/>
      <c r="HK19" s="393"/>
      <c r="HL19" s="393"/>
      <c r="HM19" s="393"/>
      <c r="HN19" s="393"/>
      <c r="HO19" s="393"/>
      <c r="HP19" s="393"/>
      <c r="HQ19" s="393"/>
      <c r="HR19" s="393"/>
      <c r="HS19" s="393"/>
      <c r="HT19" s="393"/>
      <c r="HU19" s="393"/>
      <c r="HV19" s="393"/>
      <c r="HW19" s="393"/>
      <c r="HX19" s="393"/>
      <c r="HY19" s="393"/>
      <c r="HZ19" s="393"/>
      <c r="IA19" s="393"/>
      <c r="IB19" s="393"/>
      <c r="IC19" s="393"/>
      <c r="ID19" s="393"/>
      <c r="IE19" s="393"/>
      <c r="IF19" s="393"/>
      <c r="IG19" s="393"/>
      <c r="IH19" s="393"/>
      <c r="II19" s="393"/>
      <c r="IJ19" s="393"/>
      <c r="IK19" s="393"/>
      <c r="IL19" s="393"/>
      <c r="IM19" s="393"/>
      <c r="IN19" s="393"/>
      <c r="IO19" s="393"/>
      <c r="IP19" s="393"/>
      <c r="IQ19" s="393"/>
      <c r="IR19" s="393"/>
      <c r="IS19" s="393"/>
      <c r="IT19" s="393"/>
      <c r="IU19" s="393"/>
      <c r="IV19" s="393"/>
      <c r="IW19" s="393"/>
    </row>
    <row r="20" customFormat="false" ht="12.75" hidden="false" customHeight="false" outlineLevel="0" collapsed="false">
      <c r="A20" s="393"/>
      <c r="B20" s="183"/>
      <c r="C20" s="405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393"/>
      <c r="AJ20" s="393"/>
      <c r="AK20" s="393"/>
      <c r="AL20" s="393"/>
      <c r="AM20" s="393"/>
      <c r="AN20" s="393"/>
      <c r="AO20" s="393"/>
      <c r="AP20" s="393"/>
      <c r="AQ20" s="393"/>
      <c r="AR20" s="393"/>
      <c r="AS20" s="393"/>
      <c r="AT20" s="393"/>
      <c r="AU20" s="393"/>
      <c r="AV20" s="393"/>
      <c r="AW20" s="393"/>
      <c r="AX20" s="393"/>
      <c r="AY20" s="393"/>
      <c r="AZ20" s="393"/>
      <c r="BA20" s="393"/>
      <c r="BB20" s="393"/>
      <c r="BC20" s="393"/>
      <c r="BD20" s="393"/>
      <c r="BE20" s="393"/>
      <c r="BF20" s="393"/>
      <c r="BG20" s="393"/>
      <c r="BH20" s="393"/>
      <c r="BI20" s="393"/>
      <c r="BJ20" s="393"/>
      <c r="BK20" s="393"/>
      <c r="BL20" s="393"/>
      <c r="BM20" s="393"/>
      <c r="BN20" s="393"/>
      <c r="BO20" s="393"/>
      <c r="BP20" s="393"/>
      <c r="BQ20" s="393"/>
      <c r="BR20" s="393"/>
      <c r="BS20" s="393"/>
      <c r="BT20" s="393"/>
      <c r="BU20" s="393"/>
      <c r="BV20" s="393"/>
      <c r="BW20" s="393"/>
      <c r="BX20" s="393"/>
      <c r="BY20" s="393"/>
      <c r="BZ20" s="393"/>
      <c r="CA20" s="393"/>
      <c r="CB20" s="393"/>
      <c r="CC20" s="393"/>
      <c r="CD20" s="393"/>
      <c r="CE20" s="393"/>
      <c r="CF20" s="393"/>
      <c r="CG20" s="393"/>
      <c r="CH20" s="393"/>
      <c r="CI20" s="393"/>
      <c r="CJ20" s="393"/>
      <c r="CK20" s="393"/>
      <c r="CL20" s="393"/>
      <c r="CM20" s="393"/>
      <c r="CN20" s="393"/>
      <c r="CO20" s="393"/>
      <c r="CP20" s="393"/>
      <c r="CQ20" s="393"/>
      <c r="CR20" s="393"/>
      <c r="CS20" s="393"/>
      <c r="CT20" s="393"/>
      <c r="CU20" s="393"/>
      <c r="CV20" s="393"/>
      <c r="CW20" s="393"/>
      <c r="CX20" s="393"/>
      <c r="CY20" s="393"/>
      <c r="CZ20" s="393"/>
      <c r="DA20" s="393"/>
      <c r="DB20" s="393"/>
      <c r="DC20" s="393"/>
      <c r="DD20" s="393"/>
      <c r="DE20" s="393"/>
      <c r="DF20" s="393"/>
      <c r="DG20" s="393"/>
      <c r="DH20" s="393"/>
      <c r="DI20" s="393"/>
      <c r="DJ20" s="393"/>
      <c r="DK20" s="393"/>
      <c r="DL20" s="393"/>
      <c r="DM20" s="393"/>
      <c r="DN20" s="393"/>
      <c r="DO20" s="393"/>
      <c r="DP20" s="393"/>
      <c r="DQ20" s="393"/>
      <c r="DR20" s="393"/>
      <c r="DS20" s="393"/>
      <c r="DT20" s="393"/>
      <c r="DU20" s="393"/>
      <c r="DV20" s="393"/>
      <c r="DW20" s="393"/>
      <c r="DX20" s="393"/>
      <c r="DY20" s="393"/>
      <c r="DZ20" s="393"/>
      <c r="EA20" s="393"/>
      <c r="EB20" s="393"/>
      <c r="EC20" s="393"/>
      <c r="ED20" s="393"/>
      <c r="EE20" s="393"/>
      <c r="EF20" s="393"/>
      <c r="EG20" s="393"/>
      <c r="EH20" s="393"/>
      <c r="EI20" s="393"/>
      <c r="EJ20" s="393"/>
      <c r="EK20" s="393"/>
      <c r="EL20" s="393"/>
      <c r="EM20" s="393"/>
      <c r="EN20" s="393"/>
      <c r="EO20" s="393"/>
      <c r="EP20" s="393"/>
      <c r="EQ20" s="393"/>
      <c r="ER20" s="393"/>
      <c r="ES20" s="393"/>
      <c r="ET20" s="393"/>
      <c r="EU20" s="393"/>
      <c r="EV20" s="393"/>
      <c r="EW20" s="393"/>
      <c r="EX20" s="393"/>
      <c r="EY20" s="393"/>
      <c r="EZ20" s="393"/>
      <c r="FA20" s="393"/>
      <c r="FB20" s="393"/>
      <c r="FC20" s="393"/>
      <c r="FD20" s="393"/>
      <c r="FE20" s="393"/>
      <c r="FF20" s="393"/>
      <c r="FG20" s="393"/>
      <c r="FH20" s="393"/>
      <c r="FI20" s="393"/>
      <c r="FJ20" s="393"/>
      <c r="FK20" s="393"/>
      <c r="FL20" s="393"/>
      <c r="FM20" s="393"/>
      <c r="FN20" s="393"/>
      <c r="FO20" s="393"/>
      <c r="FP20" s="393"/>
      <c r="FQ20" s="393"/>
      <c r="FR20" s="393"/>
      <c r="FS20" s="393"/>
      <c r="FT20" s="393"/>
      <c r="FU20" s="393"/>
      <c r="FV20" s="393"/>
      <c r="FW20" s="393"/>
      <c r="FX20" s="393"/>
      <c r="FY20" s="393"/>
      <c r="FZ20" s="393"/>
      <c r="GA20" s="393"/>
      <c r="GB20" s="393"/>
      <c r="GC20" s="393"/>
      <c r="GD20" s="393"/>
      <c r="GE20" s="393"/>
      <c r="GF20" s="393"/>
      <c r="GG20" s="393"/>
      <c r="GH20" s="393"/>
      <c r="GI20" s="393"/>
      <c r="GJ20" s="393"/>
      <c r="GK20" s="393"/>
      <c r="GL20" s="393"/>
      <c r="GM20" s="393"/>
      <c r="GN20" s="393"/>
      <c r="GO20" s="393"/>
      <c r="GP20" s="393"/>
      <c r="GQ20" s="393"/>
      <c r="GR20" s="393"/>
      <c r="GS20" s="393"/>
      <c r="GT20" s="393"/>
      <c r="GU20" s="393"/>
      <c r="GV20" s="393"/>
      <c r="GW20" s="393"/>
      <c r="GX20" s="393"/>
      <c r="GY20" s="393"/>
      <c r="GZ20" s="393"/>
      <c r="HA20" s="393"/>
      <c r="HB20" s="393"/>
      <c r="HC20" s="393"/>
      <c r="HD20" s="393"/>
      <c r="HE20" s="393"/>
      <c r="HF20" s="393"/>
      <c r="HG20" s="393"/>
      <c r="HH20" s="393"/>
      <c r="HI20" s="393"/>
      <c r="HJ20" s="393"/>
      <c r="HK20" s="393"/>
      <c r="HL20" s="393"/>
      <c r="HM20" s="393"/>
      <c r="HN20" s="393"/>
      <c r="HO20" s="393"/>
      <c r="HP20" s="393"/>
      <c r="HQ20" s="393"/>
      <c r="HR20" s="393"/>
      <c r="HS20" s="393"/>
      <c r="HT20" s="393"/>
      <c r="HU20" s="393"/>
      <c r="HV20" s="393"/>
      <c r="HW20" s="393"/>
      <c r="HX20" s="393"/>
      <c r="HY20" s="393"/>
      <c r="HZ20" s="393"/>
      <c r="IA20" s="393"/>
      <c r="IB20" s="393"/>
      <c r="IC20" s="393"/>
      <c r="ID20" s="393"/>
      <c r="IE20" s="393"/>
      <c r="IF20" s="393"/>
      <c r="IG20" s="393"/>
      <c r="IH20" s="393"/>
      <c r="II20" s="393"/>
      <c r="IJ20" s="393"/>
      <c r="IK20" s="393"/>
      <c r="IL20" s="393"/>
      <c r="IM20" s="393"/>
      <c r="IN20" s="393"/>
      <c r="IO20" s="393"/>
      <c r="IP20" s="393"/>
      <c r="IQ20" s="393"/>
      <c r="IR20" s="393"/>
      <c r="IS20" s="393"/>
      <c r="IT20" s="393"/>
      <c r="IU20" s="393"/>
      <c r="IV20" s="393"/>
      <c r="IW20" s="393"/>
    </row>
    <row r="21" customFormat="false" ht="12.75" hidden="false" customHeight="false" outlineLevel="0" collapsed="false">
      <c r="A21" s="279" t="s">
        <v>362</v>
      </c>
      <c r="B21" s="309" t="n">
        <f aca="false">B19</f>
        <v>79110.2147347428</v>
      </c>
      <c r="C21" s="407"/>
      <c r="D21" s="309" t="n">
        <f aca="false">B19-D19</f>
        <v>74873.0306646723</v>
      </c>
      <c r="E21" s="309" t="n">
        <f aca="false">D21-E19</f>
        <v>67002.6518648717</v>
      </c>
      <c r="F21" s="309" t="n">
        <f aca="false">E21-F19</f>
        <v>59851.7093450512</v>
      </c>
      <c r="G21" s="309" t="n">
        <f aca="false">F21-G19</f>
        <v>53344.472970476</v>
      </c>
      <c r="H21" s="309" t="n">
        <f aca="false">G21-H19</f>
        <v>47420.3586333584</v>
      </c>
      <c r="I21" s="309" t="n">
        <f aca="false">H21-I19</f>
        <v>42477.0325727172</v>
      </c>
      <c r="J21" s="309" t="n">
        <f aca="false">I21-J19</f>
        <v>38008.9546233674</v>
      </c>
      <c r="K21" s="309" t="n">
        <f aca="false">J21-K19</f>
        <v>33533.3036605441</v>
      </c>
      <c r="L21" s="309" t="n">
        <f aca="false">K21-L19</f>
        <v>29065.2257111943</v>
      </c>
      <c r="M21" s="309" t="n">
        <f aca="false">L21-M19</f>
        <v>24589.574748371</v>
      </c>
      <c r="N21" s="309" t="n">
        <f aca="false">M21-N19</f>
        <v>20121.4967990212</v>
      </c>
      <c r="O21" s="309" t="n">
        <f aca="false">N21-O19</f>
        <v>15645.8458361979</v>
      </c>
      <c r="P21" s="309" t="n">
        <f aca="false">O21-P19</f>
        <v>11177.767886848</v>
      </c>
      <c r="Q21" s="309" t="n">
        <f aca="false">P21-Q19</f>
        <v>6702.11692402474</v>
      </c>
      <c r="R21" s="309" t="n">
        <f aca="false">Q21-R19</f>
        <v>2234.03897467491</v>
      </c>
      <c r="S21" s="309" t="n">
        <f aca="false">R21-S19</f>
        <v>0</v>
      </c>
      <c r="T21" s="309" t="n">
        <f aca="false">S21-T19</f>
        <v>0</v>
      </c>
      <c r="U21" s="309" t="n">
        <f aca="false">T21-U19</f>
        <v>0</v>
      </c>
      <c r="V21" s="309" t="n">
        <f aca="false">U21-V19</f>
        <v>0</v>
      </c>
      <c r="W21" s="309" t="n">
        <f aca="false">V21-W19</f>
        <v>0</v>
      </c>
      <c r="X21" s="309" t="n">
        <f aca="false">W21-X19</f>
        <v>0</v>
      </c>
      <c r="Y21" s="309" t="n">
        <f aca="false">X21-Y19</f>
        <v>0</v>
      </c>
      <c r="Z21" s="309" t="n">
        <f aca="false">Y21-Z19</f>
        <v>0</v>
      </c>
      <c r="AA21" s="309" t="n">
        <f aca="false">Z21-AA19</f>
        <v>0</v>
      </c>
      <c r="AB21" s="309" t="n">
        <f aca="false">AA21-AB19</f>
        <v>0</v>
      </c>
      <c r="AC21" s="309" t="n">
        <f aca="false">AB21-AC19</f>
        <v>0</v>
      </c>
      <c r="AD21" s="309" t="n">
        <f aca="false">AC21-AD19</f>
        <v>0</v>
      </c>
      <c r="AE21" s="309" t="n">
        <f aca="false">AD21-AE19</f>
        <v>0</v>
      </c>
      <c r="AF21" s="309" t="n">
        <f aca="false">AE21-AF19</f>
        <v>0</v>
      </c>
      <c r="AG21" s="309" t="n">
        <f aca="false">AF21-AG19</f>
        <v>0</v>
      </c>
      <c r="AH21" s="309" t="n">
        <f aca="false">AG21-AH19</f>
        <v>0</v>
      </c>
      <c r="AI21" s="408"/>
      <c r="AJ21" s="408"/>
      <c r="AK21" s="393"/>
      <c r="AL21" s="393"/>
      <c r="AM21" s="393"/>
      <c r="AN21" s="393"/>
      <c r="AO21" s="393"/>
      <c r="AP21" s="393"/>
      <c r="AQ21" s="393"/>
      <c r="AR21" s="393"/>
      <c r="AS21" s="393"/>
      <c r="AT21" s="393"/>
      <c r="AU21" s="393"/>
      <c r="AV21" s="393"/>
      <c r="AW21" s="393"/>
      <c r="AX21" s="393"/>
      <c r="AY21" s="393"/>
      <c r="AZ21" s="393"/>
      <c r="BA21" s="393"/>
      <c r="BB21" s="393"/>
      <c r="BC21" s="393"/>
      <c r="BD21" s="393"/>
      <c r="BE21" s="393"/>
      <c r="BF21" s="393"/>
      <c r="BG21" s="393"/>
      <c r="BH21" s="393"/>
      <c r="BI21" s="393"/>
      <c r="BJ21" s="393"/>
      <c r="BK21" s="393"/>
      <c r="BL21" s="393"/>
      <c r="BM21" s="393"/>
      <c r="BN21" s="393"/>
      <c r="BO21" s="393"/>
      <c r="BP21" s="393"/>
      <c r="BQ21" s="393"/>
      <c r="BR21" s="393"/>
      <c r="BS21" s="393"/>
      <c r="BT21" s="393"/>
      <c r="BU21" s="393"/>
      <c r="BV21" s="393"/>
      <c r="BW21" s="393"/>
      <c r="BX21" s="393"/>
      <c r="BY21" s="393"/>
      <c r="BZ21" s="393"/>
      <c r="CA21" s="393"/>
      <c r="CB21" s="393"/>
      <c r="CC21" s="393"/>
      <c r="CD21" s="393"/>
      <c r="CE21" s="393"/>
      <c r="CF21" s="393"/>
      <c r="CG21" s="393"/>
      <c r="CH21" s="393"/>
      <c r="CI21" s="393"/>
      <c r="CJ21" s="393"/>
      <c r="CK21" s="393"/>
      <c r="CL21" s="393"/>
      <c r="CM21" s="393"/>
      <c r="CN21" s="393"/>
      <c r="CO21" s="393"/>
      <c r="CP21" s="393"/>
      <c r="CQ21" s="393"/>
      <c r="CR21" s="393"/>
      <c r="CS21" s="393"/>
      <c r="CT21" s="393"/>
      <c r="CU21" s="393"/>
      <c r="CV21" s="393"/>
      <c r="CW21" s="393"/>
      <c r="CX21" s="393"/>
      <c r="CY21" s="393"/>
      <c r="CZ21" s="393"/>
      <c r="DA21" s="393"/>
      <c r="DB21" s="393"/>
      <c r="DC21" s="393"/>
      <c r="DD21" s="393"/>
      <c r="DE21" s="393"/>
      <c r="DF21" s="393"/>
      <c r="DG21" s="393"/>
      <c r="DH21" s="393"/>
      <c r="DI21" s="393"/>
      <c r="DJ21" s="393"/>
      <c r="DK21" s="393"/>
      <c r="DL21" s="393"/>
      <c r="DM21" s="393"/>
      <c r="DN21" s="393"/>
      <c r="DO21" s="393"/>
      <c r="DP21" s="393"/>
      <c r="DQ21" s="393"/>
      <c r="DR21" s="393"/>
      <c r="DS21" s="393"/>
      <c r="DT21" s="393"/>
      <c r="DU21" s="393"/>
      <c r="DV21" s="393"/>
      <c r="DW21" s="393"/>
      <c r="DX21" s="393"/>
      <c r="DY21" s="393"/>
      <c r="DZ21" s="393"/>
      <c r="EA21" s="393"/>
      <c r="EB21" s="393"/>
      <c r="EC21" s="393"/>
      <c r="ED21" s="393"/>
      <c r="EE21" s="393"/>
      <c r="EF21" s="393"/>
      <c r="EG21" s="393"/>
      <c r="EH21" s="393"/>
      <c r="EI21" s="393"/>
      <c r="EJ21" s="393"/>
      <c r="EK21" s="393"/>
      <c r="EL21" s="393"/>
      <c r="EM21" s="393"/>
      <c r="EN21" s="393"/>
      <c r="EO21" s="393"/>
      <c r="EP21" s="393"/>
      <c r="EQ21" s="393"/>
      <c r="ER21" s="393"/>
      <c r="ES21" s="393"/>
      <c r="ET21" s="393"/>
      <c r="EU21" s="393"/>
      <c r="EV21" s="393"/>
      <c r="EW21" s="393"/>
      <c r="EX21" s="393"/>
      <c r="EY21" s="393"/>
      <c r="EZ21" s="393"/>
      <c r="FA21" s="393"/>
      <c r="FB21" s="393"/>
      <c r="FC21" s="393"/>
      <c r="FD21" s="393"/>
      <c r="FE21" s="393"/>
      <c r="FF21" s="393"/>
      <c r="FG21" s="393"/>
      <c r="FH21" s="393"/>
      <c r="FI21" s="393"/>
      <c r="FJ21" s="393"/>
      <c r="FK21" s="393"/>
      <c r="FL21" s="393"/>
      <c r="FM21" s="393"/>
      <c r="FN21" s="393"/>
      <c r="FO21" s="393"/>
      <c r="FP21" s="393"/>
      <c r="FQ21" s="393"/>
      <c r="FR21" s="393"/>
      <c r="FS21" s="393"/>
      <c r="FT21" s="393"/>
      <c r="FU21" s="393"/>
      <c r="FV21" s="393"/>
      <c r="FW21" s="393"/>
      <c r="FX21" s="393"/>
      <c r="FY21" s="393"/>
      <c r="FZ21" s="393"/>
      <c r="GA21" s="393"/>
      <c r="GB21" s="393"/>
      <c r="GC21" s="393"/>
      <c r="GD21" s="393"/>
      <c r="GE21" s="393"/>
      <c r="GF21" s="393"/>
      <c r="GG21" s="393"/>
      <c r="GH21" s="393"/>
      <c r="GI21" s="393"/>
      <c r="GJ21" s="393"/>
      <c r="GK21" s="393"/>
      <c r="GL21" s="393"/>
      <c r="GM21" s="393"/>
      <c r="GN21" s="393"/>
      <c r="GO21" s="393"/>
      <c r="GP21" s="393"/>
      <c r="GQ21" s="393"/>
      <c r="GR21" s="393"/>
      <c r="GS21" s="393"/>
      <c r="GT21" s="393"/>
      <c r="GU21" s="393"/>
      <c r="GV21" s="393"/>
      <c r="GW21" s="393"/>
      <c r="GX21" s="393"/>
      <c r="GY21" s="393"/>
      <c r="GZ21" s="393"/>
      <c r="HA21" s="393"/>
      <c r="HB21" s="393"/>
      <c r="HC21" s="393"/>
      <c r="HD21" s="393"/>
      <c r="HE21" s="393"/>
      <c r="HF21" s="393"/>
      <c r="HG21" s="393"/>
      <c r="HH21" s="393"/>
      <c r="HI21" s="393"/>
      <c r="HJ21" s="393"/>
      <c r="HK21" s="393"/>
      <c r="HL21" s="393"/>
      <c r="HM21" s="393"/>
      <c r="HN21" s="393"/>
      <c r="HO21" s="393"/>
      <c r="HP21" s="393"/>
      <c r="HQ21" s="393"/>
      <c r="HR21" s="393"/>
      <c r="HS21" s="393"/>
      <c r="HT21" s="393"/>
      <c r="HU21" s="393"/>
      <c r="HV21" s="393"/>
      <c r="HW21" s="393"/>
      <c r="HX21" s="393"/>
      <c r="HY21" s="393"/>
      <c r="HZ21" s="393"/>
      <c r="IA21" s="393"/>
      <c r="IB21" s="393"/>
      <c r="IC21" s="393"/>
      <c r="ID21" s="393"/>
      <c r="IE21" s="393"/>
      <c r="IF21" s="393"/>
      <c r="IG21" s="393"/>
      <c r="IH21" s="393"/>
      <c r="II21" s="393"/>
      <c r="IJ21" s="393"/>
      <c r="IK21" s="393"/>
      <c r="IL21" s="393"/>
      <c r="IM21" s="393"/>
      <c r="IN21" s="393"/>
      <c r="IO21" s="393"/>
      <c r="IP21" s="393"/>
      <c r="IQ21" s="393"/>
      <c r="IR21" s="393"/>
      <c r="IS21" s="393"/>
      <c r="IT21" s="393"/>
      <c r="IU21" s="393"/>
      <c r="IV21" s="393"/>
      <c r="IW21" s="393"/>
    </row>
    <row r="22" customFormat="false" ht="12.75" hidden="false" customHeight="false" outlineLevel="0" collapsed="false">
      <c r="B22" s="409"/>
      <c r="C22" s="410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09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393"/>
      <c r="BB22" s="393"/>
      <c r="BC22" s="393"/>
      <c r="BD22" s="393"/>
      <c r="BE22" s="393"/>
      <c r="BF22" s="393"/>
      <c r="BG22" s="393"/>
      <c r="BH22" s="393"/>
      <c r="BI22" s="393"/>
      <c r="BJ22" s="393"/>
      <c r="BK22" s="393"/>
      <c r="BL22" s="393"/>
      <c r="BM22" s="393"/>
      <c r="BN22" s="393"/>
      <c r="BO22" s="393"/>
      <c r="BP22" s="393"/>
      <c r="BQ22" s="393"/>
      <c r="BR22" s="393"/>
      <c r="BS22" s="393"/>
      <c r="BT22" s="393"/>
      <c r="BU22" s="393"/>
      <c r="BV22" s="393"/>
      <c r="BW22" s="393"/>
      <c r="BX22" s="393"/>
      <c r="BY22" s="393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93"/>
      <c r="CK22" s="393"/>
      <c r="CL22" s="393"/>
      <c r="CM22" s="393"/>
      <c r="CN22" s="393"/>
      <c r="CO22" s="393"/>
      <c r="CP22" s="393"/>
      <c r="CQ22" s="393"/>
      <c r="CR22" s="393"/>
      <c r="CS22" s="393"/>
      <c r="CT22" s="393"/>
      <c r="CU22" s="393"/>
      <c r="CV22" s="393"/>
      <c r="CW22" s="393"/>
      <c r="CX22" s="393"/>
      <c r="CY22" s="393"/>
      <c r="CZ22" s="393"/>
      <c r="DA22" s="393"/>
      <c r="DB22" s="393"/>
      <c r="DC22" s="393"/>
      <c r="DD22" s="393"/>
      <c r="DE22" s="393"/>
      <c r="DF22" s="393"/>
      <c r="DG22" s="393"/>
      <c r="DH22" s="393"/>
      <c r="DI22" s="393"/>
      <c r="DJ22" s="393"/>
      <c r="DK22" s="393"/>
      <c r="DL22" s="393"/>
      <c r="DM22" s="393"/>
      <c r="DN22" s="393"/>
      <c r="DO22" s="393"/>
      <c r="DP22" s="393"/>
      <c r="DQ22" s="393"/>
      <c r="DR22" s="393"/>
      <c r="DS22" s="393"/>
      <c r="DT22" s="393"/>
      <c r="DU22" s="393"/>
      <c r="DV22" s="393"/>
      <c r="DW22" s="393"/>
      <c r="DX22" s="393"/>
      <c r="DY22" s="393"/>
      <c r="DZ22" s="393"/>
      <c r="EA22" s="393"/>
      <c r="EB22" s="393"/>
      <c r="EC22" s="393"/>
      <c r="ED22" s="393"/>
      <c r="EE22" s="393"/>
      <c r="EF22" s="393"/>
      <c r="EG22" s="393"/>
      <c r="EH22" s="393"/>
      <c r="EI22" s="393"/>
      <c r="EJ22" s="393"/>
      <c r="EK22" s="393"/>
      <c r="EL22" s="393"/>
      <c r="EM22" s="393"/>
      <c r="EN22" s="393"/>
      <c r="EO22" s="393"/>
      <c r="EP22" s="393"/>
      <c r="EQ22" s="393"/>
      <c r="ER22" s="393"/>
      <c r="ES22" s="393"/>
      <c r="ET22" s="393"/>
      <c r="EU22" s="393"/>
      <c r="EV22" s="393"/>
      <c r="EW22" s="393"/>
      <c r="EX22" s="393"/>
      <c r="EY22" s="393"/>
      <c r="EZ22" s="393"/>
      <c r="FA22" s="393"/>
      <c r="FB22" s="393"/>
      <c r="FC22" s="393"/>
      <c r="FD22" s="393"/>
      <c r="FE22" s="393"/>
      <c r="FF22" s="393"/>
      <c r="FG22" s="393"/>
      <c r="FH22" s="393"/>
      <c r="FI22" s="393"/>
      <c r="FJ22" s="393"/>
      <c r="FK22" s="393"/>
      <c r="FL22" s="393"/>
      <c r="FM22" s="393"/>
      <c r="FN22" s="393"/>
      <c r="FO22" s="393"/>
      <c r="FP22" s="393"/>
      <c r="FQ22" s="393"/>
      <c r="FR22" s="393"/>
      <c r="FS22" s="393"/>
      <c r="FT22" s="393"/>
      <c r="FU22" s="393"/>
      <c r="FV22" s="393"/>
      <c r="FW22" s="393"/>
      <c r="FX22" s="393"/>
      <c r="FY22" s="393"/>
      <c r="FZ22" s="393"/>
      <c r="GA22" s="393"/>
      <c r="GB22" s="393"/>
      <c r="GC22" s="393"/>
      <c r="GD22" s="393"/>
      <c r="GE22" s="393"/>
      <c r="GF22" s="393"/>
      <c r="GG22" s="393"/>
      <c r="GH22" s="393"/>
      <c r="GI22" s="393"/>
      <c r="GJ22" s="393"/>
      <c r="GK22" s="393"/>
      <c r="GL22" s="393"/>
      <c r="GM22" s="393"/>
      <c r="GN22" s="393"/>
      <c r="GO22" s="393"/>
      <c r="GP22" s="393"/>
      <c r="GQ22" s="393"/>
      <c r="GR22" s="393"/>
      <c r="GS22" s="393"/>
      <c r="GT22" s="393"/>
      <c r="GU22" s="393"/>
      <c r="GV22" s="393"/>
      <c r="GW22" s="393"/>
      <c r="GX22" s="393"/>
      <c r="GY22" s="393"/>
      <c r="GZ22" s="393"/>
      <c r="HA22" s="393"/>
      <c r="HB22" s="393"/>
      <c r="HC22" s="393"/>
      <c r="HD22" s="393"/>
      <c r="HE22" s="393"/>
      <c r="HF22" s="393"/>
      <c r="HG22" s="393"/>
      <c r="HH22" s="393"/>
      <c r="HI22" s="393"/>
      <c r="HJ22" s="393"/>
      <c r="HK22" s="393"/>
      <c r="HL22" s="393"/>
      <c r="HM22" s="393"/>
      <c r="HN22" s="393"/>
      <c r="HO22" s="393"/>
      <c r="HP22" s="393"/>
      <c r="HQ22" s="393"/>
      <c r="HR22" s="393"/>
      <c r="HS22" s="393"/>
      <c r="HT22" s="393"/>
      <c r="HU22" s="393"/>
      <c r="HV22" s="393"/>
      <c r="HW22" s="393"/>
      <c r="HX22" s="393"/>
      <c r="HY22" s="393"/>
      <c r="HZ22" s="393"/>
      <c r="IA22" s="393"/>
      <c r="IB22" s="393"/>
      <c r="IC22" s="393"/>
      <c r="ID22" s="393"/>
      <c r="IE22" s="393"/>
      <c r="IF22" s="393"/>
      <c r="IG22" s="393"/>
      <c r="IH22" s="393"/>
      <c r="II22" s="393"/>
      <c r="IJ22" s="393"/>
      <c r="IK22" s="393"/>
      <c r="IL22" s="393"/>
      <c r="IM22" s="393"/>
      <c r="IN22" s="393"/>
      <c r="IO22" s="393"/>
      <c r="IP22" s="393"/>
      <c r="IQ22" s="393"/>
      <c r="IR22" s="393"/>
      <c r="IS22" s="393"/>
      <c r="IT22" s="393"/>
      <c r="IU22" s="393"/>
      <c r="IV22" s="393"/>
      <c r="IW22" s="393"/>
    </row>
    <row r="23" customFormat="false" ht="12.75" hidden="false" customHeight="false" outlineLevel="0" collapsed="false">
      <c r="A23" s="411"/>
      <c r="B23" s="412"/>
      <c r="C23" s="413"/>
      <c r="AI23" s="393"/>
      <c r="AJ23" s="393"/>
      <c r="AK23" s="393"/>
      <c r="AL23" s="393"/>
      <c r="AM23" s="393"/>
      <c r="AN23" s="393"/>
      <c r="AO23" s="393"/>
      <c r="AP23" s="393"/>
      <c r="AQ23" s="393"/>
      <c r="AR23" s="393"/>
      <c r="AS23" s="393"/>
      <c r="AT23" s="393"/>
      <c r="AU23" s="393"/>
      <c r="AV23" s="393"/>
      <c r="AW23" s="393"/>
      <c r="AX23" s="393"/>
      <c r="AY23" s="393"/>
      <c r="AZ23" s="393"/>
      <c r="BA23" s="393"/>
      <c r="BB23" s="393"/>
      <c r="BC23" s="393"/>
      <c r="BD23" s="393"/>
      <c r="BE23" s="393"/>
      <c r="BF23" s="393"/>
      <c r="BG23" s="393"/>
      <c r="BH23" s="393"/>
      <c r="BI23" s="393"/>
      <c r="BJ23" s="393"/>
      <c r="BK23" s="393"/>
      <c r="BL23" s="393"/>
      <c r="BM23" s="393"/>
      <c r="BN23" s="393"/>
      <c r="BO23" s="393"/>
      <c r="BP23" s="393"/>
      <c r="BQ23" s="393"/>
      <c r="BR23" s="393"/>
      <c r="BS23" s="393"/>
      <c r="BT23" s="393"/>
      <c r="BU23" s="393"/>
      <c r="BV23" s="393"/>
      <c r="BW23" s="393"/>
      <c r="BX23" s="393"/>
      <c r="BY23" s="393"/>
      <c r="BZ23" s="393"/>
      <c r="CA23" s="393"/>
      <c r="CB23" s="393"/>
      <c r="CC23" s="393"/>
      <c r="CD23" s="393"/>
      <c r="CE23" s="393"/>
      <c r="CF23" s="393"/>
      <c r="CG23" s="393"/>
      <c r="CH23" s="393"/>
      <c r="CI23" s="393"/>
      <c r="CJ23" s="393"/>
      <c r="CK23" s="393"/>
      <c r="CL23" s="393"/>
      <c r="CM23" s="393"/>
      <c r="CN23" s="393"/>
      <c r="CO23" s="393"/>
      <c r="CP23" s="393"/>
      <c r="CQ23" s="393"/>
      <c r="CR23" s="393"/>
      <c r="CS23" s="393"/>
      <c r="CT23" s="393"/>
      <c r="CU23" s="393"/>
      <c r="CV23" s="393"/>
      <c r="CW23" s="393"/>
      <c r="CX23" s="393"/>
      <c r="CY23" s="393"/>
      <c r="CZ23" s="393"/>
      <c r="DA23" s="393"/>
      <c r="DB23" s="393"/>
      <c r="DC23" s="393"/>
      <c r="DD23" s="393"/>
      <c r="DE23" s="393"/>
      <c r="DF23" s="393"/>
      <c r="DG23" s="393"/>
      <c r="DH23" s="393"/>
      <c r="DI23" s="393"/>
      <c r="DJ23" s="393"/>
      <c r="DK23" s="393"/>
      <c r="DL23" s="393"/>
      <c r="DM23" s="393"/>
      <c r="DN23" s="393"/>
      <c r="DO23" s="393"/>
      <c r="DP23" s="393"/>
      <c r="DQ23" s="393"/>
      <c r="DR23" s="393"/>
      <c r="DS23" s="393"/>
      <c r="DT23" s="393"/>
      <c r="DU23" s="393"/>
      <c r="DV23" s="393"/>
      <c r="DW23" s="393"/>
      <c r="DX23" s="393"/>
      <c r="DY23" s="393"/>
      <c r="DZ23" s="393"/>
      <c r="EA23" s="393"/>
      <c r="EB23" s="393"/>
      <c r="EC23" s="393"/>
      <c r="ED23" s="393"/>
      <c r="EE23" s="393"/>
      <c r="EF23" s="393"/>
      <c r="EG23" s="393"/>
      <c r="EH23" s="393"/>
      <c r="EI23" s="393"/>
      <c r="EJ23" s="393"/>
      <c r="EK23" s="393"/>
      <c r="EL23" s="393"/>
      <c r="EM23" s="393"/>
      <c r="EN23" s="393"/>
      <c r="EO23" s="393"/>
      <c r="EP23" s="393"/>
      <c r="EQ23" s="393"/>
      <c r="ER23" s="393"/>
      <c r="ES23" s="393"/>
      <c r="ET23" s="393"/>
      <c r="EU23" s="393"/>
      <c r="EV23" s="393"/>
      <c r="EW23" s="393"/>
      <c r="EX23" s="393"/>
      <c r="EY23" s="393"/>
      <c r="EZ23" s="393"/>
      <c r="FA23" s="393"/>
      <c r="FB23" s="393"/>
      <c r="FC23" s="393"/>
      <c r="FD23" s="393"/>
      <c r="FE23" s="393"/>
      <c r="FF23" s="393"/>
      <c r="FG23" s="393"/>
      <c r="FH23" s="393"/>
      <c r="FI23" s="393"/>
      <c r="FJ23" s="393"/>
      <c r="FK23" s="393"/>
      <c r="FL23" s="393"/>
      <c r="FM23" s="393"/>
      <c r="FN23" s="393"/>
      <c r="FO23" s="393"/>
      <c r="FP23" s="393"/>
      <c r="FQ23" s="393"/>
      <c r="FR23" s="393"/>
      <c r="FS23" s="393"/>
      <c r="FT23" s="393"/>
      <c r="FU23" s="393"/>
      <c r="FV23" s="393"/>
      <c r="FW23" s="393"/>
      <c r="FX23" s="393"/>
      <c r="FY23" s="393"/>
      <c r="FZ23" s="393"/>
      <c r="GA23" s="393"/>
      <c r="GB23" s="393"/>
      <c r="GC23" s="393"/>
      <c r="GD23" s="393"/>
      <c r="GE23" s="393"/>
      <c r="GF23" s="393"/>
      <c r="GG23" s="393"/>
      <c r="GH23" s="393"/>
      <c r="GI23" s="393"/>
      <c r="GJ23" s="393"/>
      <c r="GK23" s="393"/>
      <c r="GL23" s="393"/>
      <c r="GM23" s="393"/>
      <c r="GN23" s="393"/>
      <c r="GO23" s="393"/>
      <c r="GP23" s="393"/>
      <c r="GQ23" s="393"/>
      <c r="GR23" s="393"/>
      <c r="GS23" s="393"/>
      <c r="GT23" s="393"/>
      <c r="GU23" s="393"/>
      <c r="GV23" s="393"/>
      <c r="GW23" s="393"/>
      <c r="GX23" s="393"/>
      <c r="GY23" s="393"/>
      <c r="GZ23" s="393"/>
      <c r="HA23" s="393"/>
      <c r="HB23" s="393"/>
      <c r="HC23" s="393"/>
      <c r="HD23" s="393"/>
      <c r="HE23" s="393"/>
      <c r="HF23" s="393"/>
      <c r="HG23" s="393"/>
      <c r="HH23" s="393"/>
      <c r="HI23" s="393"/>
      <c r="HJ23" s="393"/>
      <c r="HK23" s="393"/>
      <c r="HL23" s="393"/>
      <c r="HM23" s="393"/>
      <c r="HN23" s="393"/>
      <c r="HO23" s="393"/>
      <c r="HP23" s="393"/>
      <c r="HQ23" s="393"/>
      <c r="HR23" s="393"/>
      <c r="HS23" s="393"/>
      <c r="HT23" s="393"/>
      <c r="HU23" s="393"/>
      <c r="HV23" s="393"/>
      <c r="HW23" s="393"/>
      <c r="HX23" s="393"/>
      <c r="HY23" s="393"/>
      <c r="HZ23" s="393"/>
      <c r="IA23" s="393"/>
      <c r="IB23" s="393"/>
      <c r="IC23" s="393"/>
      <c r="ID23" s="393"/>
      <c r="IE23" s="393"/>
      <c r="IF23" s="393"/>
      <c r="IG23" s="393"/>
      <c r="IH23" s="393"/>
      <c r="II23" s="393"/>
      <c r="IJ23" s="393"/>
      <c r="IK23" s="393"/>
      <c r="IL23" s="393"/>
      <c r="IM23" s="393"/>
      <c r="IN23" s="393"/>
      <c r="IO23" s="393"/>
      <c r="IP23" s="393"/>
      <c r="IQ23" s="393"/>
      <c r="IR23" s="393"/>
      <c r="IS23" s="393"/>
      <c r="IT23" s="393"/>
      <c r="IU23" s="393"/>
      <c r="IV23" s="393"/>
      <c r="IW23" s="393"/>
    </row>
    <row r="24" customFormat="false" ht="12.75" hidden="false" customHeight="false" outlineLevel="0" collapsed="false">
      <c r="A24" s="390" t="s">
        <v>363</v>
      </c>
      <c r="B24" s="414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393"/>
      <c r="AJ24" s="393"/>
      <c r="AK24" s="393"/>
      <c r="AL24" s="393"/>
      <c r="AM24" s="393"/>
      <c r="AN24" s="393"/>
      <c r="AO24" s="393"/>
      <c r="AP24" s="393"/>
      <c r="AQ24" s="393"/>
      <c r="AR24" s="393"/>
      <c r="AS24" s="393"/>
      <c r="AT24" s="393"/>
      <c r="AU24" s="393"/>
      <c r="AV24" s="393"/>
      <c r="AW24" s="393"/>
      <c r="AX24" s="393"/>
      <c r="AY24" s="393"/>
      <c r="AZ24" s="393"/>
      <c r="BA24" s="393"/>
      <c r="BB24" s="393"/>
      <c r="BC24" s="393"/>
      <c r="BD24" s="393"/>
      <c r="BE24" s="393"/>
      <c r="BF24" s="393"/>
      <c r="BG24" s="393"/>
      <c r="BH24" s="393"/>
      <c r="BI24" s="393"/>
      <c r="BJ24" s="393"/>
      <c r="BK24" s="393"/>
      <c r="BL24" s="393"/>
      <c r="BM24" s="393"/>
      <c r="BN24" s="393"/>
      <c r="BO24" s="393"/>
      <c r="BP24" s="393"/>
      <c r="BQ24" s="393"/>
      <c r="BR24" s="393"/>
      <c r="BS24" s="393"/>
      <c r="BT24" s="393"/>
      <c r="BU24" s="393"/>
      <c r="BV24" s="393"/>
      <c r="BW24" s="393"/>
      <c r="BX24" s="393"/>
      <c r="BY24" s="393"/>
      <c r="BZ24" s="393"/>
      <c r="CA24" s="393"/>
      <c r="CB24" s="393"/>
      <c r="CC24" s="393"/>
      <c r="CD24" s="393"/>
      <c r="CE24" s="393"/>
      <c r="CF24" s="393"/>
      <c r="CG24" s="393"/>
      <c r="CH24" s="393"/>
      <c r="CI24" s="393"/>
      <c r="CJ24" s="393"/>
      <c r="CK24" s="393"/>
      <c r="CL24" s="393"/>
      <c r="CM24" s="393"/>
      <c r="CN24" s="393"/>
      <c r="CO24" s="393"/>
      <c r="CP24" s="393"/>
      <c r="CQ24" s="393"/>
      <c r="CR24" s="393"/>
      <c r="CS24" s="393"/>
      <c r="CT24" s="393"/>
      <c r="CU24" s="393"/>
      <c r="CV24" s="393"/>
      <c r="CW24" s="393"/>
      <c r="CX24" s="393"/>
      <c r="CY24" s="393"/>
      <c r="CZ24" s="393"/>
      <c r="DA24" s="393"/>
      <c r="DB24" s="393"/>
      <c r="DC24" s="393"/>
      <c r="DD24" s="393"/>
      <c r="DE24" s="393"/>
      <c r="DF24" s="393"/>
      <c r="DG24" s="393"/>
      <c r="DH24" s="393"/>
      <c r="DI24" s="393"/>
      <c r="DJ24" s="393"/>
      <c r="DK24" s="393"/>
      <c r="DL24" s="393"/>
      <c r="DM24" s="393"/>
      <c r="DN24" s="393"/>
      <c r="DO24" s="393"/>
      <c r="DP24" s="393"/>
      <c r="DQ24" s="393"/>
      <c r="DR24" s="393"/>
      <c r="DS24" s="393"/>
      <c r="DT24" s="393"/>
      <c r="DU24" s="393"/>
      <c r="DV24" s="393"/>
      <c r="DW24" s="393"/>
      <c r="DX24" s="393"/>
      <c r="DY24" s="393"/>
      <c r="DZ24" s="393"/>
      <c r="EA24" s="393"/>
      <c r="EB24" s="393"/>
      <c r="EC24" s="393"/>
      <c r="ED24" s="393"/>
      <c r="EE24" s="393"/>
      <c r="EF24" s="393"/>
      <c r="EG24" s="393"/>
      <c r="EH24" s="393"/>
      <c r="EI24" s="393"/>
      <c r="EJ24" s="393"/>
      <c r="EK24" s="393"/>
      <c r="EL24" s="393"/>
      <c r="EM24" s="393"/>
      <c r="EN24" s="393"/>
      <c r="EO24" s="393"/>
      <c r="EP24" s="393"/>
      <c r="EQ24" s="393"/>
      <c r="ER24" s="393"/>
      <c r="ES24" s="393"/>
      <c r="ET24" s="393"/>
      <c r="EU24" s="393"/>
      <c r="EV24" s="393"/>
      <c r="EW24" s="393"/>
      <c r="EX24" s="393"/>
      <c r="EY24" s="393"/>
      <c r="EZ24" s="393"/>
      <c r="FA24" s="393"/>
      <c r="FB24" s="393"/>
      <c r="FC24" s="393"/>
      <c r="FD24" s="393"/>
      <c r="FE24" s="393"/>
      <c r="FF24" s="393"/>
      <c r="FG24" s="393"/>
      <c r="FH24" s="393"/>
      <c r="FI24" s="393"/>
      <c r="FJ24" s="393"/>
      <c r="FK24" s="393"/>
      <c r="FL24" s="393"/>
      <c r="FM24" s="393"/>
      <c r="FN24" s="393"/>
      <c r="FO24" s="393"/>
      <c r="FP24" s="393"/>
      <c r="FQ24" s="393"/>
      <c r="FR24" s="393"/>
      <c r="FS24" s="393"/>
      <c r="FT24" s="393"/>
      <c r="FU24" s="393"/>
      <c r="FV24" s="393"/>
      <c r="FW24" s="393"/>
      <c r="FX24" s="393"/>
      <c r="FY24" s="393"/>
      <c r="FZ24" s="393"/>
      <c r="GA24" s="393"/>
      <c r="GB24" s="393"/>
      <c r="GC24" s="393"/>
      <c r="GD24" s="393"/>
      <c r="GE24" s="393"/>
      <c r="GF24" s="393"/>
      <c r="GG24" s="393"/>
      <c r="GH24" s="393"/>
      <c r="GI24" s="393"/>
      <c r="GJ24" s="393"/>
      <c r="GK24" s="393"/>
      <c r="GL24" s="393"/>
      <c r="GM24" s="393"/>
      <c r="GN24" s="393"/>
      <c r="GO24" s="393"/>
      <c r="GP24" s="393"/>
      <c r="GQ24" s="393"/>
      <c r="GR24" s="393"/>
      <c r="GS24" s="393"/>
      <c r="GT24" s="393"/>
      <c r="GU24" s="393"/>
      <c r="GV24" s="393"/>
      <c r="GW24" s="393"/>
      <c r="GX24" s="393"/>
      <c r="GY24" s="393"/>
      <c r="GZ24" s="393"/>
      <c r="HA24" s="393"/>
      <c r="HB24" s="393"/>
      <c r="HC24" s="393"/>
      <c r="HD24" s="393"/>
      <c r="HE24" s="393"/>
      <c r="HF24" s="393"/>
      <c r="HG24" s="393"/>
      <c r="HH24" s="393"/>
      <c r="HI24" s="393"/>
      <c r="HJ24" s="393"/>
      <c r="HK24" s="393"/>
      <c r="HL24" s="393"/>
      <c r="HM24" s="393"/>
      <c r="HN24" s="393"/>
      <c r="HO24" s="393"/>
      <c r="HP24" s="393"/>
      <c r="HQ24" s="393"/>
      <c r="HR24" s="393"/>
      <c r="HS24" s="393"/>
      <c r="HT24" s="393"/>
      <c r="HU24" s="393"/>
      <c r="HV24" s="393"/>
      <c r="HW24" s="393"/>
      <c r="HX24" s="393"/>
      <c r="HY24" s="393"/>
      <c r="HZ24" s="393"/>
      <c r="IA24" s="393"/>
      <c r="IB24" s="393"/>
      <c r="IC24" s="393"/>
      <c r="ID24" s="393"/>
      <c r="IE24" s="393"/>
      <c r="IF24" s="393"/>
      <c r="IG24" s="393"/>
      <c r="IH24" s="393"/>
      <c r="II24" s="393"/>
      <c r="IJ24" s="393"/>
      <c r="IK24" s="393"/>
      <c r="IL24" s="393"/>
      <c r="IM24" s="393"/>
      <c r="IN24" s="393"/>
      <c r="IO24" s="393"/>
      <c r="IP24" s="393"/>
      <c r="IQ24" s="393"/>
      <c r="IR24" s="393"/>
      <c r="IS24" s="393"/>
      <c r="IT24" s="393"/>
      <c r="IU24" s="393"/>
      <c r="IV24" s="393"/>
      <c r="IW24" s="393"/>
    </row>
    <row r="25" customFormat="false" ht="12.75" hidden="false" customHeight="false" outlineLevel="0" collapsed="false">
      <c r="A25" s="390"/>
      <c r="B25" s="394" t="s">
        <v>357</v>
      </c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393"/>
      <c r="AJ25" s="393"/>
      <c r="AK25" s="393"/>
      <c r="AL25" s="393"/>
      <c r="AM25" s="393"/>
      <c r="AN25" s="393"/>
      <c r="AO25" s="393"/>
      <c r="AP25" s="393"/>
      <c r="AQ25" s="393"/>
      <c r="AR25" s="393"/>
      <c r="AS25" s="393"/>
      <c r="AT25" s="393"/>
      <c r="AU25" s="393"/>
      <c r="AV25" s="393"/>
      <c r="AW25" s="393"/>
      <c r="AX25" s="393"/>
      <c r="AY25" s="393"/>
      <c r="AZ25" s="393"/>
      <c r="BA25" s="393"/>
      <c r="BB25" s="393"/>
      <c r="BC25" s="393"/>
      <c r="BD25" s="393"/>
      <c r="BE25" s="393"/>
      <c r="BF25" s="393"/>
      <c r="BG25" s="393"/>
      <c r="BH25" s="393"/>
      <c r="BI25" s="393"/>
      <c r="BJ25" s="393"/>
      <c r="BK25" s="393"/>
      <c r="BL25" s="393"/>
      <c r="BM25" s="393"/>
      <c r="BN25" s="393"/>
      <c r="BO25" s="393"/>
      <c r="BP25" s="393"/>
      <c r="BQ25" s="393"/>
      <c r="BR25" s="393"/>
      <c r="BS25" s="393"/>
      <c r="BT25" s="393"/>
      <c r="BU25" s="393"/>
      <c r="BV25" s="393"/>
      <c r="BW25" s="393"/>
      <c r="BX25" s="393"/>
      <c r="BY25" s="393"/>
      <c r="BZ25" s="393"/>
      <c r="CA25" s="393"/>
      <c r="CB25" s="393"/>
      <c r="CC25" s="393"/>
      <c r="CD25" s="393"/>
      <c r="CE25" s="393"/>
      <c r="CF25" s="393"/>
      <c r="CG25" s="393"/>
      <c r="CH25" s="393"/>
      <c r="CI25" s="393"/>
      <c r="CJ25" s="393"/>
      <c r="CK25" s="393"/>
      <c r="CL25" s="393"/>
      <c r="CM25" s="393"/>
      <c r="CN25" s="393"/>
      <c r="CO25" s="393"/>
      <c r="CP25" s="393"/>
      <c r="CQ25" s="393"/>
      <c r="CR25" s="393"/>
      <c r="CS25" s="393"/>
      <c r="CT25" s="393"/>
      <c r="CU25" s="393"/>
      <c r="CV25" s="393"/>
      <c r="CW25" s="393"/>
      <c r="CX25" s="393"/>
      <c r="CY25" s="393"/>
      <c r="CZ25" s="393"/>
      <c r="DA25" s="393"/>
      <c r="DB25" s="393"/>
      <c r="DC25" s="393"/>
      <c r="DD25" s="393"/>
      <c r="DE25" s="393"/>
      <c r="DF25" s="393"/>
      <c r="DG25" s="393"/>
      <c r="DH25" s="393"/>
      <c r="DI25" s="393"/>
      <c r="DJ25" s="393"/>
      <c r="DK25" s="393"/>
      <c r="DL25" s="393"/>
      <c r="DM25" s="393"/>
      <c r="DN25" s="393"/>
      <c r="DO25" s="393"/>
      <c r="DP25" s="393"/>
      <c r="DQ25" s="393"/>
      <c r="DR25" s="393"/>
      <c r="DS25" s="393"/>
      <c r="DT25" s="393"/>
      <c r="DU25" s="393"/>
      <c r="DV25" s="393"/>
      <c r="DW25" s="393"/>
      <c r="DX25" s="393"/>
      <c r="DY25" s="393"/>
      <c r="DZ25" s="393"/>
      <c r="EA25" s="393"/>
      <c r="EB25" s="393"/>
      <c r="EC25" s="393"/>
      <c r="ED25" s="393"/>
      <c r="EE25" s="393"/>
      <c r="EF25" s="393"/>
      <c r="EG25" s="393"/>
      <c r="EH25" s="393"/>
      <c r="EI25" s="393"/>
      <c r="EJ25" s="393"/>
      <c r="EK25" s="393"/>
      <c r="EL25" s="393"/>
      <c r="EM25" s="393"/>
      <c r="EN25" s="393"/>
      <c r="EO25" s="393"/>
      <c r="EP25" s="393"/>
      <c r="EQ25" s="393"/>
      <c r="ER25" s="393"/>
      <c r="ES25" s="393"/>
      <c r="ET25" s="393"/>
      <c r="EU25" s="393"/>
      <c r="EV25" s="393"/>
      <c r="EW25" s="393"/>
      <c r="EX25" s="393"/>
      <c r="EY25" s="393"/>
      <c r="EZ25" s="393"/>
      <c r="FA25" s="393"/>
      <c r="FB25" s="393"/>
      <c r="FC25" s="393"/>
      <c r="FD25" s="393"/>
      <c r="FE25" s="393"/>
      <c r="FF25" s="393"/>
      <c r="FG25" s="393"/>
      <c r="FH25" s="393"/>
      <c r="FI25" s="393"/>
      <c r="FJ25" s="393"/>
      <c r="FK25" s="393"/>
      <c r="FL25" s="393"/>
      <c r="FM25" s="393"/>
      <c r="FN25" s="393"/>
      <c r="FO25" s="393"/>
      <c r="FP25" s="393"/>
      <c r="FQ25" s="393"/>
      <c r="FR25" s="393"/>
      <c r="FS25" s="393"/>
      <c r="FT25" s="393"/>
      <c r="FU25" s="393"/>
      <c r="FV25" s="393"/>
      <c r="FW25" s="393"/>
      <c r="FX25" s="393"/>
      <c r="FY25" s="393"/>
      <c r="FZ25" s="393"/>
      <c r="GA25" s="393"/>
      <c r="GB25" s="393"/>
      <c r="GC25" s="393"/>
      <c r="GD25" s="393"/>
      <c r="GE25" s="393"/>
      <c r="GF25" s="393"/>
      <c r="GG25" s="393"/>
      <c r="GH25" s="393"/>
      <c r="GI25" s="393"/>
      <c r="GJ25" s="393"/>
      <c r="GK25" s="393"/>
      <c r="GL25" s="393"/>
      <c r="GM25" s="393"/>
      <c r="GN25" s="393"/>
      <c r="GO25" s="393"/>
      <c r="GP25" s="393"/>
      <c r="GQ25" s="393"/>
      <c r="GR25" s="393"/>
      <c r="GS25" s="393"/>
      <c r="GT25" s="393"/>
      <c r="GU25" s="393"/>
      <c r="GV25" s="393"/>
      <c r="GW25" s="393"/>
      <c r="GX25" s="393"/>
      <c r="GY25" s="393"/>
      <c r="GZ25" s="393"/>
      <c r="HA25" s="393"/>
      <c r="HB25" s="393"/>
      <c r="HC25" s="393"/>
      <c r="HD25" s="393"/>
      <c r="HE25" s="393"/>
      <c r="HF25" s="393"/>
      <c r="HG25" s="393"/>
      <c r="HH25" s="393"/>
      <c r="HI25" s="393"/>
      <c r="HJ25" s="393"/>
      <c r="HK25" s="393"/>
      <c r="HL25" s="393"/>
      <c r="HM25" s="393"/>
      <c r="HN25" s="393"/>
      <c r="HO25" s="393"/>
      <c r="HP25" s="393"/>
      <c r="HQ25" s="393"/>
      <c r="HR25" s="393"/>
      <c r="HS25" s="393"/>
      <c r="HT25" s="393"/>
      <c r="HU25" s="393"/>
      <c r="HV25" s="393"/>
      <c r="HW25" s="393"/>
      <c r="HX25" s="393"/>
      <c r="HY25" s="393"/>
      <c r="HZ25" s="393"/>
      <c r="IA25" s="393"/>
      <c r="IB25" s="393"/>
      <c r="IC25" s="393"/>
      <c r="ID25" s="393"/>
      <c r="IE25" s="393"/>
      <c r="IF25" s="393"/>
      <c r="IG25" s="393"/>
      <c r="IH25" s="393"/>
      <c r="II25" s="393"/>
      <c r="IJ25" s="393"/>
      <c r="IK25" s="393"/>
      <c r="IL25" s="393"/>
      <c r="IM25" s="393"/>
      <c r="IN25" s="393"/>
      <c r="IO25" s="393"/>
      <c r="IP25" s="393"/>
      <c r="IQ25" s="393"/>
      <c r="IR25" s="393"/>
      <c r="IS25" s="393"/>
      <c r="IT25" s="393"/>
      <c r="IU25" s="393"/>
      <c r="IV25" s="393"/>
      <c r="IW25" s="393"/>
    </row>
    <row r="26" customFormat="false" ht="12.75" hidden="false" customHeight="false" outlineLevel="0" collapsed="false">
      <c r="A26" s="397" t="s">
        <v>358</v>
      </c>
      <c r="B26" s="398" t="n">
        <f aca="false">Assumptions!$N$48</f>
        <v>15</v>
      </c>
      <c r="C26" s="399"/>
      <c r="D26" s="395" t="n">
        <f aca="false">D12</f>
        <v>0.05</v>
      </c>
      <c r="E26" s="395" t="n">
        <f aca="false">E12</f>
        <v>0.095</v>
      </c>
      <c r="F26" s="395" t="n">
        <f aca="false">F12</f>
        <v>0.0855</v>
      </c>
      <c r="G26" s="395" t="n">
        <f aca="false">G12</f>
        <v>0.077</v>
      </c>
      <c r="H26" s="395" t="n">
        <f aca="false">H12</f>
        <v>0.0693</v>
      </c>
      <c r="I26" s="395" t="n">
        <f aca="false">I12</f>
        <v>0.0623</v>
      </c>
      <c r="J26" s="395" t="n">
        <f aca="false">J12</f>
        <v>0.059</v>
      </c>
      <c r="K26" s="395" t="n">
        <f aca="false">K12</f>
        <v>0.0591</v>
      </c>
      <c r="L26" s="395" t="n">
        <f aca="false">L12</f>
        <v>0.059</v>
      </c>
      <c r="M26" s="395" t="n">
        <f aca="false">M12</f>
        <v>0.0591</v>
      </c>
      <c r="N26" s="395" t="n">
        <f aca="false">N12</f>
        <v>0.059</v>
      </c>
      <c r="O26" s="395" t="n">
        <f aca="false">O12</f>
        <v>0.0591</v>
      </c>
      <c r="P26" s="395" t="n">
        <f aca="false">P12</f>
        <v>0.059</v>
      </c>
      <c r="Q26" s="395" t="n">
        <f aca="false">Q12</f>
        <v>0.0591</v>
      </c>
      <c r="R26" s="395" t="n">
        <f aca="false">R12</f>
        <v>0.059</v>
      </c>
      <c r="S26" s="395" t="n">
        <f aca="false">S12</f>
        <v>0.0295</v>
      </c>
      <c r="T26" s="395" t="n">
        <f aca="false">T12</f>
        <v>0</v>
      </c>
      <c r="U26" s="395" t="n">
        <f aca="false">U12</f>
        <v>0</v>
      </c>
      <c r="V26" s="395" t="n">
        <f aca="false">V12</f>
        <v>0</v>
      </c>
      <c r="W26" s="395" t="n">
        <f aca="false">W12</f>
        <v>0</v>
      </c>
      <c r="X26" s="395" t="n">
        <f aca="false">X12</f>
        <v>0</v>
      </c>
      <c r="Y26" s="395" t="n">
        <f aca="false">Y12</f>
        <v>0</v>
      </c>
      <c r="Z26" s="395" t="n">
        <f aca="false">Z12</f>
        <v>0</v>
      </c>
      <c r="AA26" s="395" t="n">
        <f aca="false">AA12</f>
        <v>0</v>
      </c>
      <c r="AB26" s="395" t="n">
        <f aca="false">AB12</f>
        <v>0</v>
      </c>
      <c r="AC26" s="395" t="n">
        <f aca="false">AC12</f>
        <v>0</v>
      </c>
      <c r="AD26" s="395" t="n">
        <f aca="false">AD12</f>
        <v>0</v>
      </c>
      <c r="AE26" s="395" t="n">
        <f aca="false">AE12</f>
        <v>0</v>
      </c>
      <c r="AF26" s="395" t="n">
        <f aca="false">AF12</f>
        <v>0</v>
      </c>
      <c r="AG26" s="395" t="n">
        <f aca="false">AG12</f>
        <v>0</v>
      </c>
      <c r="AH26" s="395" t="n">
        <f aca="false">AH12</f>
        <v>0</v>
      </c>
      <c r="AI26" s="393"/>
      <c r="AJ26" s="393"/>
      <c r="AK26" s="393"/>
      <c r="AL26" s="393"/>
      <c r="AM26" s="393"/>
      <c r="AN26" s="393"/>
      <c r="AO26" s="393"/>
      <c r="AP26" s="393"/>
      <c r="AQ26" s="393"/>
      <c r="AR26" s="393"/>
      <c r="AS26" s="393"/>
      <c r="AT26" s="393"/>
      <c r="AU26" s="393"/>
      <c r="AV26" s="393"/>
      <c r="AW26" s="393"/>
      <c r="AX26" s="393"/>
      <c r="AY26" s="393"/>
      <c r="AZ26" s="393"/>
      <c r="BA26" s="393"/>
      <c r="BB26" s="393"/>
      <c r="BC26" s="393"/>
      <c r="BD26" s="393"/>
      <c r="BE26" s="393"/>
      <c r="BF26" s="393"/>
      <c r="BG26" s="393"/>
      <c r="BH26" s="393"/>
      <c r="BI26" s="393"/>
      <c r="BJ26" s="393"/>
      <c r="BK26" s="393"/>
      <c r="BL26" s="393"/>
      <c r="BM26" s="393"/>
      <c r="BN26" s="393"/>
      <c r="BO26" s="393"/>
      <c r="BP26" s="393"/>
      <c r="BQ26" s="393"/>
      <c r="BR26" s="393"/>
      <c r="BS26" s="393"/>
      <c r="BT26" s="393"/>
      <c r="BU26" s="393"/>
      <c r="BV26" s="393"/>
      <c r="BW26" s="393"/>
      <c r="BX26" s="393"/>
      <c r="BY26" s="393"/>
      <c r="BZ26" s="393"/>
      <c r="CA26" s="393"/>
      <c r="CB26" s="393"/>
      <c r="CC26" s="393"/>
      <c r="CD26" s="393"/>
      <c r="CE26" s="393"/>
      <c r="CF26" s="393"/>
      <c r="CG26" s="393"/>
      <c r="CH26" s="393"/>
      <c r="CI26" s="393"/>
      <c r="CJ26" s="393"/>
      <c r="CK26" s="393"/>
      <c r="CL26" s="393"/>
      <c r="CM26" s="393"/>
      <c r="CN26" s="393"/>
      <c r="CO26" s="393"/>
      <c r="CP26" s="393"/>
      <c r="CQ26" s="393"/>
      <c r="CR26" s="393"/>
      <c r="CS26" s="393"/>
      <c r="CT26" s="393"/>
      <c r="CU26" s="393"/>
      <c r="CV26" s="393"/>
      <c r="CW26" s="393"/>
      <c r="CX26" s="393"/>
      <c r="CY26" s="393"/>
      <c r="CZ26" s="393"/>
      <c r="DA26" s="393"/>
      <c r="DB26" s="393"/>
      <c r="DC26" s="393"/>
      <c r="DD26" s="393"/>
      <c r="DE26" s="393"/>
      <c r="DF26" s="393"/>
      <c r="DG26" s="393"/>
      <c r="DH26" s="393"/>
      <c r="DI26" s="393"/>
      <c r="DJ26" s="393"/>
      <c r="DK26" s="393"/>
      <c r="DL26" s="393"/>
      <c r="DM26" s="393"/>
      <c r="DN26" s="393"/>
      <c r="DO26" s="393"/>
      <c r="DP26" s="393"/>
      <c r="DQ26" s="393"/>
      <c r="DR26" s="393"/>
      <c r="DS26" s="393"/>
      <c r="DT26" s="393"/>
      <c r="DU26" s="393"/>
      <c r="DV26" s="393"/>
      <c r="DW26" s="393"/>
      <c r="DX26" s="393"/>
      <c r="DY26" s="393"/>
      <c r="DZ26" s="393"/>
      <c r="EA26" s="393"/>
      <c r="EB26" s="393"/>
      <c r="EC26" s="393"/>
      <c r="ED26" s="393"/>
      <c r="EE26" s="393"/>
      <c r="EF26" s="393"/>
      <c r="EG26" s="393"/>
      <c r="EH26" s="393"/>
      <c r="EI26" s="393"/>
      <c r="EJ26" s="393"/>
      <c r="EK26" s="393"/>
      <c r="EL26" s="393"/>
      <c r="EM26" s="393"/>
      <c r="EN26" s="393"/>
      <c r="EO26" s="393"/>
      <c r="EP26" s="393"/>
      <c r="EQ26" s="393"/>
      <c r="ER26" s="393"/>
      <c r="ES26" s="393"/>
      <c r="ET26" s="393"/>
      <c r="EU26" s="393"/>
      <c r="EV26" s="393"/>
      <c r="EW26" s="393"/>
      <c r="EX26" s="393"/>
      <c r="EY26" s="393"/>
      <c r="EZ26" s="393"/>
      <c r="FA26" s="393"/>
      <c r="FB26" s="393"/>
      <c r="FC26" s="393"/>
      <c r="FD26" s="393"/>
      <c r="FE26" s="393"/>
      <c r="FF26" s="393"/>
      <c r="FG26" s="393"/>
      <c r="FH26" s="393"/>
      <c r="FI26" s="393"/>
      <c r="FJ26" s="393"/>
      <c r="FK26" s="393"/>
      <c r="FL26" s="393"/>
      <c r="FM26" s="393"/>
      <c r="FN26" s="393"/>
      <c r="FO26" s="393"/>
      <c r="FP26" s="393"/>
      <c r="FQ26" s="393"/>
      <c r="FR26" s="393"/>
      <c r="FS26" s="393"/>
      <c r="FT26" s="393"/>
      <c r="FU26" s="393"/>
      <c r="FV26" s="393"/>
      <c r="FW26" s="393"/>
      <c r="FX26" s="393"/>
      <c r="FY26" s="393"/>
      <c r="FZ26" s="393"/>
      <c r="GA26" s="393"/>
      <c r="GB26" s="393"/>
      <c r="GC26" s="393"/>
      <c r="GD26" s="393"/>
      <c r="GE26" s="393"/>
      <c r="GF26" s="393"/>
      <c r="GG26" s="393"/>
      <c r="GH26" s="393"/>
      <c r="GI26" s="393"/>
      <c r="GJ26" s="393"/>
      <c r="GK26" s="393"/>
      <c r="GL26" s="393"/>
      <c r="GM26" s="393"/>
      <c r="GN26" s="393"/>
      <c r="GO26" s="393"/>
      <c r="GP26" s="393"/>
      <c r="GQ26" s="393"/>
      <c r="GR26" s="393"/>
      <c r="GS26" s="393"/>
      <c r="GT26" s="393"/>
      <c r="GU26" s="393"/>
      <c r="GV26" s="393"/>
      <c r="GW26" s="393"/>
      <c r="GX26" s="393"/>
      <c r="GY26" s="393"/>
      <c r="GZ26" s="393"/>
      <c r="HA26" s="393"/>
      <c r="HB26" s="393"/>
      <c r="HC26" s="393"/>
      <c r="HD26" s="393"/>
      <c r="HE26" s="393"/>
      <c r="HF26" s="393"/>
      <c r="HG26" s="393"/>
      <c r="HH26" s="393"/>
      <c r="HI26" s="393"/>
      <c r="HJ26" s="393"/>
      <c r="HK26" s="393"/>
      <c r="HL26" s="393"/>
      <c r="HM26" s="393"/>
      <c r="HN26" s="393"/>
      <c r="HO26" s="393"/>
      <c r="HP26" s="393"/>
      <c r="HQ26" s="393"/>
      <c r="HR26" s="393"/>
      <c r="HS26" s="393"/>
      <c r="HT26" s="393"/>
      <c r="HU26" s="393"/>
      <c r="HV26" s="393"/>
      <c r="HW26" s="393"/>
      <c r="HX26" s="393"/>
      <c r="HY26" s="393"/>
      <c r="HZ26" s="393"/>
      <c r="IA26" s="393"/>
      <c r="IB26" s="393"/>
      <c r="IC26" s="393"/>
      <c r="ID26" s="393"/>
      <c r="IE26" s="393"/>
      <c r="IF26" s="393"/>
      <c r="IG26" s="393"/>
      <c r="IH26" s="393"/>
      <c r="II26" s="393"/>
      <c r="IJ26" s="393"/>
      <c r="IK26" s="393"/>
      <c r="IL26" s="393"/>
      <c r="IM26" s="393"/>
      <c r="IN26" s="393"/>
      <c r="IO26" s="393"/>
      <c r="IP26" s="393"/>
      <c r="IQ26" s="393"/>
      <c r="IR26" s="393"/>
      <c r="IS26" s="393"/>
      <c r="IT26" s="393"/>
      <c r="IU26" s="393"/>
      <c r="IV26" s="393"/>
      <c r="IW26" s="393"/>
    </row>
    <row r="27" customFormat="false" ht="12.75" hidden="false" customHeight="false" outlineLevel="0" collapsed="false">
      <c r="A27" s="397" t="s">
        <v>359</v>
      </c>
      <c r="B27" s="398" t="n">
        <f aca="false">Assumptions!$N$49</f>
        <v>5</v>
      </c>
      <c r="C27" s="399"/>
      <c r="D27" s="395" t="n">
        <f aca="false">D13</f>
        <v>0.133333333333333</v>
      </c>
      <c r="E27" s="395" t="n">
        <f aca="false">E13</f>
        <v>0.2</v>
      </c>
      <c r="F27" s="395" t="n">
        <f aca="false">F13</f>
        <v>0.2</v>
      </c>
      <c r="G27" s="395" t="n">
        <f aca="false">G13</f>
        <v>0.2</v>
      </c>
      <c r="H27" s="395" t="n">
        <f aca="false">H13</f>
        <v>0.2</v>
      </c>
      <c r="I27" s="395" t="n">
        <f aca="false">I13</f>
        <v>0.0666666666666667</v>
      </c>
      <c r="J27" s="395" t="n">
        <f aca="false">J13</f>
        <v>0</v>
      </c>
      <c r="K27" s="395" t="n">
        <f aca="false">K13</f>
        <v>0</v>
      </c>
      <c r="L27" s="395" t="n">
        <f aca="false">L13</f>
        <v>0</v>
      </c>
      <c r="M27" s="395" t="n">
        <f aca="false">M13</f>
        <v>0</v>
      </c>
      <c r="N27" s="395" t="n">
        <f aca="false">N13</f>
        <v>0</v>
      </c>
      <c r="O27" s="395" t="n">
        <f aca="false">O13</f>
        <v>0</v>
      </c>
      <c r="P27" s="395" t="n">
        <f aca="false">P13</f>
        <v>0</v>
      </c>
      <c r="Q27" s="395" t="n">
        <f aca="false">Q13</f>
        <v>0</v>
      </c>
      <c r="R27" s="395" t="n">
        <f aca="false">R13</f>
        <v>0</v>
      </c>
      <c r="S27" s="395" t="n">
        <f aca="false">S13</f>
        <v>0</v>
      </c>
      <c r="T27" s="395" t="n">
        <f aca="false">T13</f>
        <v>0</v>
      </c>
      <c r="U27" s="395" t="n">
        <f aca="false">U13</f>
        <v>0</v>
      </c>
      <c r="V27" s="395" t="n">
        <f aca="false">V13</f>
        <v>0</v>
      </c>
      <c r="W27" s="395" t="n">
        <f aca="false">W13</f>
        <v>0</v>
      </c>
      <c r="X27" s="395" t="n">
        <f aca="false">X13</f>
        <v>0</v>
      </c>
      <c r="Y27" s="395" t="n">
        <f aca="false">Y13</f>
        <v>0</v>
      </c>
      <c r="Z27" s="395" t="n">
        <f aca="false">Z13</f>
        <v>0</v>
      </c>
      <c r="AA27" s="395" t="n">
        <f aca="false">AA13</f>
        <v>0</v>
      </c>
      <c r="AB27" s="395" t="n">
        <f aca="false">AB13</f>
        <v>0</v>
      </c>
      <c r="AC27" s="395" t="n">
        <f aca="false">AC13</f>
        <v>0</v>
      </c>
      <c r="AD27" s="395" t="n">
        <f aca="false">AD13</f>
        <v>0</v>
      </c>
      <c r="AE27" s="395" t="n">
        <f aca="false">AE13</f>
        <v>0</v>
      </c>
      <c r="AF27" s="395" t="n">
        <f aca="false">AF13</f>
        <v>0</v>
      </c>
      <c r="AG27" s="395" t="n">
        <f aca="false">AG13</f>
        <v>0</v>
      </c>
      <c r="AH27" s="395" t="n">
        <f aca="false">AH13</f>
        <v>0</v>
      </c>
      <c r="AI27" s="393"/>
      <c r="AJ27" s="393"/>
      <c r="AK27" s="393"/>
      <c r="AL27" s="393"/>
      <c r="AM27" s="393"/>
      <c r="AN27" s="393"/>
      <c r="AO27" s="393"/>
      <c r="AP27" s="393"/>
      <c r="AQ27" s="393"/>
      <c r="AR27" s="393"/>
      <c r="AS27" s="393"/>
      <c r="AT27" s="393"/>
      <c r="AU27" s="393"/>
      <c r="AV27" s="393"/>
      <c r="AW27" s="393"/>
      <c r="AX27" s="393"/>
      <c r="AY27" s="393"/>
      <c r="AZ27" s="393"/>
      <c r="BA27" s="393"/>
      <c r="BB27" s="393"/>
      <c r="BC27" s="393"/>
      <c r="BD27" s="393"/>
      <c r="BE27" s="393"/>
      <c r="BF27" s="393"/>
      <c r="BG27" s="393"/>
      <c r="BH27" s="393"/>
      <c r="BI27" s="393"/>
      <c r="BJ27" s="393"/>
      <c r="BK27" s="393"/>
      <c r="BL27" s="393"/>
      <c r="BM27" s="393"/>
      <c r="BN27" s="393"/>
      <c r="BO27" s="393"/>
      <c r="BP27" s="393"/>
      <c r="BQ27" s="393"/>
      <c r="BR27" s="393"/>
      <c r="BS27" s="393"/>
      <c r="BT27" s="393"/>
      <c r="BU27" s="393"/>
      <c r="BV27" s="393"/>
      <c r="BW27" s="393"/>
      <c r="BX27" s="393"/>
      <c r="BY27" s="393"/>
      <c r="BZ27" s="393"/>
      <c r="CA27" s="393"/>
      <c r="CB27" s="393"/>
      <c r="CC27" s="393"/>
      <c r="CD27" s="393"/>
      <c r="CE27" s="393"/>
      <c r="CF27" s="393"/>
      <c r="CG27" s="393"/>
      <c r="CH27" s="393"/>
      <c r="CI27" s="393"/>
      <c r="CJ27" s="393"/>
      <c r="CK27" s="393"/>
      <c r="CL27" s="393"/>
      <c r="CM27" s="393"/>
      <c r="CN27" s="393"/>
      <c r="CO27" s="393"/>
      <c r="CP27" s="393"/>
      <c r="CQ27" s="393"/>
      <c r="CR27" s="393"/>
      <c r="CS27" s="393"/>
      <c r="CT27" s="393"/>
      <c r="CU27" s="393"/>
      <c r="CV27" s="393"/>
      <c r="CW27" s="393"/>
      <c r="CX27" s="393"/>
      <c r="CY27" s="393"/>
      <c r="CZ27" s="393"/>
      <c r="DA27" s="393"/>
      <c r="DB27" s="393"/>
      <c r="DC27" s="393"/>
      <c r="DD27" s="393"/>
      <c r="DE27" s="393"/>
      <c r="DF27" s="393"/>
      <c r="DG27" s="393"/>
      <c r="DH27" s="393"/>
      <c r="DI27" s="393"/>
      <c r="DJ27" s="393"/>
      <c r="DK27" s="393"/>
      <c r="DL27" s="393"/>
      <c r="DM27" s="393"/>
      <c r="DN27" s="393"/>
      <c r="DO27" s="393"/>
      <c r="DP27" s="393"/>
      <c r="DQ27" s="393"/>
      <c r="DR27" s="393"/>
      <c r="DS27" s="393"/>
      <c r="DT27" s="393"/>
      <c r="DU27" s="393"/>
      <c r="DV27" s="393"/>
      <c r="DW27" s="393"/>
      <c r="DX27" s="393"/>
      <c r="DY27" s="393"/>
      <c r="DZ27" s="393"/>
      <c r="EA27" s="393"/>
      <c r="EB27" s="393"/>
      <c r="EC27" s="393"/>
      <c r="ED27" s="393"/>
      <c r="EE27" s="393"/>
      <c r="EF27" s="393"/>
      <c r="EG27" s="393"/>
      <c r="EH27" s="393"/>
      <c r="EI27" s="393"/>
      <c r="EJ27" s="393"/>
      <c r="EK27" s="393"/>
      <c r="EL27" s="393"/>
      <c r="EM27" s="393"/>
      <c r="EN27" s="393"/>
      <c r="EO27" s="393"/>
      <c r="EP27" s="393"/>
      <c r="EQ27" s="393"/>
      <c r="ER27" s="393"/>
      <c r="ES27" s="393"/>
      <c r="ET27" s="393"/>
      <c r="EU27" s="393"/>
      <c r="EV27" s="393"/>
      <c r="EW27" s="393"/>
      <c r="EX27" s="393"/>
      <c r="EY27" s="393"/>
      <c r="EZ27" s="393"/>
      <c r="FA27" s="393"/>
      <c r="FB27" s="393"/>
      <c r="FC27" s="393"/>
      <c r="FD27" s="393"/>
      <c r="FE27" s="393"/>
      <c r="FF27" s="393"/>
      <c r="FG27" s="393"/>
      <c r="FH27" s="393"/>
      <c r="FI27" s="393"/>
      <c r="FJ27" s="393"/>
      <c r="FK27" s="393"/>
      <c r="FL27" s="393"/>
      <c r="FM27" s="393"/>
      <c r="FN27" s="393"/>
      <c r="FO27" s="393"/>
      <c r="FP27" s="393"/>
      <c r="FQ27" s="393"/>
      <c r="FR27" s="393"/>
      <c r="FS27" s="393"/>
      <c r="FT27" s="393"/>
      <c r="FU27" s="393"/>
      <c r="FV27" s="393"/>
      <c r="FW27" s="393"/>
      <c r="FX27" s="393"/>
      <c r="FY27" s="393"/>
      <c r="FZ27" s="393"/>
      <c r="GA27" s="393"/>
      <c r="GB27" s="393"/>
      <c r="GC27" s="393"/>
      <c r="GD27" s="393"/>
      <c r="GE27" s="393"/>
      <c r="GF27" s="393"/>
      <c r="GG27" s="393"/>
      <c r="GH27" s="393"/>
      <c r="GI27" s="393"/>
      <c r="GJ27" s="393"/>
      <c r="GK27" s="393"/>
      <c r="GL27" s="393"/>
      <c r="GM27" s="393"/>
      <c r="GN27" s="393"/>
      <c r="GO27" s="393"/>
      <c r="GP27" s="393"/>
      <c r="GQ27" s="393"/>
      <c r="GR27" s="393"/>
      <c r="GS27" s="393"/>
      <c r="GT27" s="393"/>
      <c r="GU27" s="393"/>
      <c r="GV27" s="393"/>
      <c r="GW27" s="393"/>
      <c r="GX27" s="393"/>
      <c r="GY27" s="393"/>
      <c r="GZ27" s="393"/>
      <c r="HA27" s="393"/>
      <c r="HB27" s="393"/>
      <c r="HC27" s="393"/>
      <c r="HD27" s="393"/>
      <c r="HE27" s="393"/>
      <c r="HF27" s="393"/>
      <c r="HG27" s="393"/>
      <c r="HH27" s="393"/>
      <c r="HI27" s="393"/>
      <c r="HJ27" s="393"/>
      <c r="HK27" s="393"/>
      <c r="HL27" s="393"/>
      <c r="HM27" s="393"/>
      <c r="HN27" s="393"/>
      <c r="HO27" s="393"/>
      <c r="HP27" s="393"/>
      <c r="HQ27" s="393"/>
      <c r="HR27" s="393"/>
      <c r="HS27" s="393"/>
      <c r="HT27" s="393"/>
      <c r="HU27" s="393"/>
      <c r="HV27" s="393"/>
      <c r="HW27" s="393"/>
      <c r="HX27" s="393"/>
      <c r="HY27" s="393"/>
      <c r="HZ27" s="393"/>
      <c r="IA27" s="393"/>
      <c r="IB27" s="393"/>
      <c r="IC27" s="393"/>
      <c r="ID27" s="393"/>
      <c r="IE27" s="393"/>
      <c r="IF27" s="393"/>
      <c r="IG27" s="393"/>
      <c r="IH27" s="393"/>
      <c r="II27" s="393"/>
      <c r="IJ27" s="393"/>
      <c r="IK27" s="393"/>
      <c r="IL27" s="393"/>
      <c r="IM27" s="393"/>
      <c r="IN27" s="393"/>
      <c r="IO27" s="393"/>
      <c r="IP27" s="393"/>
      <c r="IQ27" s="393"/>
      <c r="IR27" s="393"/>
      <c r="IS27" s="393"/>
      <c r="IT27" s="393"/>
      <c r="IU27" s="393"/>
      <c r="IV27" s="393"/>
      <c r="IW27" s="393"/>
    </row>
    <row r="28" customFormat="false" ht="12.75" hidden="false" customHeight="false" outlineLevel="0" collapsed="false">
      <c r="A28" s="400" t="s">
        <v>360</v>
      </c>
      <c r="B28" s="401" t="n">
        <f aca="false">Assumptions!$N$50</f>
        <v>20</v>
      </c>
      <c r="C28" s="399"/>
      <c r="D28" s="395" t="n">
        <f aca="false">D14</f>
        <v>0.0333333333333333</v>
      </c>
      <c r="E28" s="395" t="n">
        <f aca="false">E14</f>
        <v>0.05</v>
      </c>
      <c r="F28" s="395" t="n">
        <f aca="false">F14</f>
        <v>0.05</v>
      </c>
      <c r="G28" s="395" t="n">
        <f aca="false">G14</f>
        <v>0.05</v>
      </c>
      <c r="H28" s="395" t="n">
        <f aca="false">H14</f>
        <v>0.05</v>
      </c>
      <c r="I28" s="395" t="n">
        <f aca="false">I14</f>
        <v>0.05</v>
      </c>
      <c r="J28" s="395" t="n">
        <f aca="false">J14</f>
        <v>0.05</v>
      </c>
      <c r="K28" s="395" t="n">
        <f aca="false">K14</f>
        <v>0.05</v>
      </c>
      <c r="L28" s="395" t="n">
        <f aca="false">L14</f>
        <v>0.05</v>
      </c>
      <c r="M28" s="395" t="n">
        <f aca="false">M14</f>
        <v>0.05</v>
      </c>
      <c r="N28" s="395" t="n">
        <f aca="false">N14</f>
        <v>0.05</v>
      </c>
      <c r="O28" s="395" t="n">
        <f aca="false">O14</f>
        <v>0.05</v>
      </c>
      <c r="P28" s="395" t="n">
        <f aca="false">P14</f>
        <v>0.05</v>
      </c>
      <c r="Q28" s="395" t="n">
        <f aca="false">Q14</f>
        <v>0.05</v>
      </c>
      <c r="R28" s="395" t="n">
        <f aca="false">R14</f>
        <v>0.05</v>
      </c>
      <c r="S28" s="395" t="n">
        <f aca="false">S14</f>
        <v>0.05</v>
      </c>
      <c r="T28" s="395" t="n">
        <f aca="false">T14</f>
        <v>0.05</v>
      </c>
      <c r="U28" s="395" t="n">
        <f aca="false">U14</f>
        <v>0.05</v>
      </c>
      <c r="V28" s="395" t="n">
        <f aca="false">V14</f>
        <v>0.05</v>
      </c>
      <c r="W28" s="395" t="n">
        <f aca="false">W14</f>
        <v>0.05</v>
      </c>
      <c r="X28" s="395" t="n">
        <f aca="false">X14</f>
        <v>0.0166666666666667</v>
      </c>
      <c r="Y28" s="395" t="n">
        <f aca="false">Y14</f>
        <v>0</v>
      </c>
      <c r="Z28" s="395" t="n">
        <f aca="false">Z14</f>
        <v>0</v>
      </c>
      <c r="AA28" s="395" t="n">
        <f aca="false">AA14</f>
        <v>0</v>
      </c>
      <c r="AB28" s="395" t="n">
        <f aca="false">AB14</f>
        <v>0</v>
      </c>
      <c r="AC28" s="395" t="n">
        <f aca="false">AC14</f>
        <v>0</v>
      </c>
      <c r="AD28" s="395" t="n">
        <f aca="false">AD14</f>
        <v>0</v>
      </c>
      <c r="AE28" s="395" t="n">
        <f aca="false">AE14</f>
        <v>0</v>
      </c>
      <c r="AF28" s="395" t="n">
        <f aca="false">AF14</f>
        <v>0</v>
      </c>
      <c r="AG28" s="395" t="n">
        <f aca="false">AG14</f>
        <v>0</v>
      </c>
      <c r="AH28" s="395" t="n">
        <f aca="false">AH14</f>
        <v>0</v>
      </c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  <c r="BK28" s="393"/>
      <c r="BL28" s="393"/>
      <c r="BM28" s="393"/>
      <c r="BN28" s="393"/>
      <c r="BO28" s="393"/>
      <c r="BP28" s="393"/>
      <c r="BQ28" s="393"/>
      <c r="BR28" s="393"/>
      <c r="BS28" s="393"/>
      <c r="BT28" s="393"/>
      <c r="BU28" s="393"/>
      <c r="BV28" s="393"/>
      <c r="BW28" s="393"/>
      <c r="BX28" s="393"/>
      <c r="BY28" s="393"/>
      <c r="BZ28" s="393"/>
      <c r="CA28" s="393"/>
      <c r="CB28" s="393"/>
      <c r="CC28" s="393"/>
      <c r="CD28" s="393"/>
      <c r="CE28" s="393"/>
      <c r="CF28" s="393"/>
      <c r="CG28" s="393"/>
      <c r="CH28" s="393"/>
      <c r="CI28" s="393"/>
      <c r="CJ28" s="393"/>
      <c r="CK28" s="393"/>
      <c r="CL28" s="393"/>
      <c r="CM28" s="393"/>
      <c r="CN28" s="393"/>
      <c r="CO28" s="393"/>
      <c r="CP28" s="393"/>
      <c r="CQ28" s="393"/>
      <c r="CR28" s="393"/>
      <c r="CS28" s="393"/>
      <c r="CT28" s="393"/>
      <c r="CU28" s="393"/>
      <c r="CV28" s="393"/>
      <c r="CW28" s="393"/>
      <c r="CX28" s="393"/>
      <c r="CY28" s="393"/>
      <c r="CZ28" s="393"/>
      <c r="DA28" s="393"/>
      <c r="DB28" s="393"/>
      <c r="DC28" s="393"/>
      <c r="DD28" s="393"/>
      <c r="DE28" s="393"/>
      <c r="DF28" s="393"/>
      <c r="DG28" s="393"/>
      <c r="DH28" s="393"/>
      <c r="DI28" s="393"/>
      <c r="DJ28" s="393"/>
      <c r="DK28" s="393"/>
      <c r="DL28" s="393"/>
      <c r="DM28" s="393"/>
      <c r="DN28" s="393"/>
      <c r="DO28" s="393"/>
      <c r="DP28" s="393"/>
      <c r="DQ28" s="393"/>
      <c r="DR28" s="393"/>
      <c r="DS28" s="393"/>
      <c r="DT28" s="393"/>
      <c r="DU28" s="393"/>
      <c r="DV28" s="393"/>
      <c r="DW28" s="393"/>
      <c r="DX28" s="393"/>
      <c r="DY28" s="393"/>
      <c r="DZ28" s="393"/>
      <c r="EA28" s="393"/>
      <c r="EB28" s="393"/>
      <c r="EC28" s="393"/>
      <c r="ED28" s="393"/>
      <c r="EE28" s="393"/>
      <c r="EF28" s="393"/>
      <c r="EG28" s="393"/>
      <c r="EH28" s="393"/>
      <c r="EI28" s="393"/>
      <c r="EJ28" s="393"/>
      <c r="EK28" s="393"/>
      <c r="EL28" s="393"/>
      <c r="EM28" s="393"/>
      <c r="EN28" s="393"/>
      <c r="EO28" s="393"/>
      <c r="EP28" s="393"/>
      <c r="EQ28" s="393"/>
      <c r="ER28" s="393"/>
      <c r="ES28" s="393"/>
      <c r="ET28" s="393"/>
      <c r="EU28" s="393"/>
      <c r="EV28" s="393"/>
      <c r="EW28" s="393"/>
      <c r="EX28" s="393"/>
      <c r="EY28" s="393"/>
      <c r="EZ28" s="393"/>
      <c r="FA28" s="393"/>
      <c r="FB28" s="393"/>
      <c r="FC28" s="393"/>
      <c r="FD28" s="393"/>
      <c r="FE28" s="393"/>
      <c r="FF28" s="393"/>
      <c r="FG28" s="393"/>
      <c r="FH28" s="393"/>
      <c r="FI28" s="393"/>
      <c r="FJ28" s="393"/>
      <c r="FK28" s="393"/>
      <c r="FL28" s="393"/>
      <c r="FM28" s="393"/>
      <c r="FN28" s="393"/>
      <c r="FO28" s="393"/>
      <c r="FP28" s="393"/>
      <c r="FQ28" s="393"/>
      <c r="FR28" s="393"/>
      <c r="FS28" s="393"/>
      <c r="FT28" s="393"/>
      <c r="FU28" s="393"/>
      <c r="FV28" s="393"/>
      <c r="FW28" s="393"/>
      <c r="FX28" s="393"/>
      <c r="FY28" s="393"/>
      <c r="FZ28" s="393"/>
      <c r="GA28" s="393"/>
      <c r="GB28" s="393"/>
      <c r="GC28" s="393"/>
      <c r="GD28" s="393"/>
      <c r="GE28" s="393"/>
      <c r="GF28" s="393"/>
      <c r="GG28" s="393"/>
      <c r="GH28" s="393"/>
      <c r="GI28" s="393"/>
      <c r="GJ28" s="393"/>
      <c r="GK28" s="393"/>
      <c r="GL28" s="393"/>
      <c r="GM28" s="393"/>
      <c r="GN28" s="393"/>
      <c r="GO28" s="393"/>
      <c r="GP28" s="393"/>
      <c r="GQ28" s="393"/>
      <c r="GR28" s="393"/>
      <c r="GS28" s="393"/>
      <c r="GT28" s="393"/>
      <c r="GU28" s="393"/>
      <c r="GV28" s="393"/>
      <c r="GW28" s="393"/>
      <c r="GX28" s="393"/>
      <c r="GY28" s="393"/>
      <c r="GZ28" s="393"/>
      <c r="HA28" s="393"/>
      <c r="HB28" s="393"/>
      <c r="HC28" s="393"/>
      <c r="HD28" s="393"/>
      <c r="HE28" s="393"/>
      <c r="HF28" s="393"/>
      <c r="HG28" s="393"/>
      <c r="HH28" s="393"/>
      <c r="HI28" s="393"/>
      <c r="HJ28" s="393"/>
      <c r="HK28" s="393"/>
      <c r="HL28" s="393"/>
      <c r="HM28" s="393"/>
      <c r="HN28" s="393"/>
      <c r="HO28" s="393"/>
      <c r="HP28" s="393"/>
      <c r="HQ28" s="393"/>
      <c r="HR28" s="393"/>
      <c r="HS28" s="393"/>
      <c r="HT28" s="393"/>
      <c r="HU28" s="393"/>
      <c r="HV28" s="393"/>
      <c r="HW28" s="393"/>
      <c r="HX28" s="393"/>
      <c r="HY28" s="393"/>
      <c r="HZ28" s="393"/>
      <c r="IA28" s="393"/>
      <c r="IB28" s="393"/>
      <c r="IC28" s="393"/>
      <c r="ID28" s="393"/>
      <c r="IE28" s="393"/>
      <c r="IF28" s="393"/>
      <c r="IG28" s="393"/>
      <c r="IH28" s="393"/>
      <c r="II28" s="393"/>
      <c r="IJ28" s="393"/>
      <c r="IK28" s="393"/>
      <c r="IL28" s="393"/>
      <c r="IM28" s="393"/>
      <c r="IN28" s="393"/>
      <c r="IO28" s="393"/>
      <c r="IP28" s="393"/>
      <c r="IQ28" s="393"/>
      <c r="IR28" s="393"/>
      <c r="IS28" s="393"/>
      <c r="IT28" s="393"/>
      <c r="IU28" s="393"/>
      <c r="IV28" s="393"/>
      <c r="IW28" s="393"/>
    </row>
    <row r="29" customFormat="false" ht="12.75" hidden="false" customHeight="false" outlineLevel="0" collapsed="false">
      <c r="A29" s="411"/>
      <c r="B29" s="398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5"/>
      <c r="AI29" s="393"/>
      <c r="AJ29" s="393"/>
      <c r="AK29" s="393"/>
      <c r="AL29" s="393"/>
      <c r="AM29" s="393"/>
      <c r="AN29" s="393"/>
      <c r="AO29" s="393"/>
      <c r="AP29" s="393"/>
      <c r="AQ29" s="393"/>
      <c r="AR29" s="393"/>
      <c r="AS29" s="393"/>
      <c r="AT29" s="393"/>
      <c r="AU29" s="393"/>
      <c r="AV29" s="393"/>
      <c r="AW29" s="393"/>
      <c r="AX29" s="393"/>
      <c r="AY29" s="393"/>
      <c r="AZ29" s="393"/>
      <c r="BA29" s="393"/>
      <c r="BB29" s="393"/>
      <c r="BC29" s="393"/>
      <c r="BD29" s="393"/>
      <c r="BE29" s="393"/>
      <c r="BF29" s="393"/>
      <c r="BG29" s="393"/>
      <c r="BH29" s="393"/>
      <c r="BI29" s="393"/>
      <c r="BJ29" s="393"/>
      <c r="BK29" s="393"/>
      <c r="BL29" s="393"/>
      <c r="BM29" s="393"/>
      <c r="BN29" s="393"/>
      <c r="BO29" s="393"/>
      <c r="BP29" s="393"/>
      <c r="BQ29" s="393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  <c r="CC29" s="393"/>
      <c r="CD29" s="393"/>
      <c r="CE29" s="393"/>
      <c r="CF29" s="393"/>
      <c r="CG29" s="393"/>
      <c r="CH29" s="393"/>
      <c r="CI29" s="393"/>
      <c r="CJ29" s="393"/>
      <c r="CK29" s="393"/>
      <c r="CL29" s="393"/>
      <c r="CM29" s="393"/>
      <c r="CN29" s="393"/>
      <c r="CO29" s="393"/>
      <c r="CP29" s="393"/>
      <c r="CQ29" s="393"/>
      <c r="CR29" s="393"/>
      <c r="CS29" s="393"/>
      <c r="CT29" s="393"/>
      <c r="CU29" s="393"/>
      <c r="CV29" s="393"/>
      <c r="CW29" s="393"/>
      <c r="CX29" s="393"/>
      <c r="CY29" s="393"/>
      <c r="CZ29" s="393"/>
      <c r="DA29" s="393"/>
      <c r="DB29" s="393"/>
      <c r="DC29" s="393"/>
      <c r="DD29" s="393"/>
      <c r="DE29" s="393"/>
      <c r="DF29" s="393"/>
      <c r="DG29" s="393"/>
      <c r="DH29" s="393"/>
      <c r="DI29" s="393"/>
      <c r="DJ29" s="393"/>
      <c r="DK29" s="393"/>
      <c r="DL29" s="393"/>
      <c r="DM29" s="393"/>
      <c r="DN29" s="393"/>
      <c r="DO29" s="393"/>
      <c r="DP29" s="393"/>
      <c r="DQ29" s="393"/>
      <c r="DR29" s="393"/>
      <c r="DS29" s="393"/>
      <c r="DT29" s="393"/>
      <c r="DU29" s="393"/>
      <c r="DV29" s="393"/>
      <c r="DW29" s="393"/>
      <c r="DX29" s="393"/>
      <c r="DY29" s="393"/>
      <c r="DZ29" s="393"/>
      <c r="EA29" s="393"/>
      <c r="EB29" s="393"/>
      <c r="EC29" s="393"/>
      <c r="ED29" s="393"/>
      <c r="EE29" s="393"/>
      <c r="EF29" s="393"/>
      <c r="EG29" s="393"/>
      <c r="EH29" s="393"/>
      <c r="EI29" s="393"/>
      <c r="EJ29" s="393"/>
      <c r="EK29" s="393"/>
      <c r="EL29" s="393"/>
      <c r="EM29" s="393"/>
      <c r="EN29" s="393"/>
      <c r="EO29" s="393"/>
      <c r="EP29" s="393"/>
      <c r="EQ29" s="393"/>
      <c r="ER29" s="393"/>
      <c r="ES29" s="393"/>
      <c r="ET29" s="393"/>
      <c r="EU29" s="393"/>
      <c r="EV29" s="393"/>
      <c r="EW29" s="393"/>
      <c r="EX29" s="393"/>
      <c r="EY29" s="393"/>
      <c r="EZ29" s="393"/>
      <c r="FA29" s="393"/>
      <c r="FB29" s="393"/>
      <c r="FC29" s="393"/>
      <c r="FD29" s="393"/>
      <c r="FE29" s="393"/>
      <c r="FF29" s="393"/>
      <c r="FG29" s="393"/>
      <c r="FH29" s="393"/>
      <c r="FI29" s="393"/>
      <c r="FJ29" s="393"/>
      <c r="FK29" s="393"/>
      <c r="FL29" s="393"/>
      <c r="FM29" s="393"/>
      <c r="FN29" s="393"/>
      <c r="FO29" s="393"/>
      <c r="FP29" s="393"/>
      <c r="FQ29" s="393"/>
      <c r="FR29" s="393"/>
      <c r="FS29" s="393"/>
      <c r="FT29" s="393"/>
      <c r="FU29" s="393"/>
      <c r="FV29" s="393"/>
      <c r="FW29" s="393"/>
      <c r="FX29" s="393"/>
      <c r="FY29" s="393"/>
      <c r="FZ29" s="393"/>
      <c r="GA29" s="393"/>
      <c r="GB29" s="393"/>
      <c r="GC29" s="393"/>
      <c r="GD29" s="393"/>
      <c r="GE29" s="393"/>
      <c r="GF29" s="393"/>
      <c r="GG29" s="393"/>
      <c r="GH29" s="393"/>
      <c r="GI29" s="393"/>
      <c r="GJ29" s="393"/>
      <c r="GK29" s="393"/>
      <c r="GL29" s="393"/>
      <c r="GM29" s="393"/>
      <c r="GN29" s="393"/>
      <c r="GO29" s="393"/>
      <c r="GP29" s="393"/>
      <c r="GQ29" s="393"/>
      <c r="GR29" s="393"/>
      <c r="GS29" s="393"/>
      <c r="GT29" s="393"/>
      <c r="GU29" s="393"/>
      <c r="GV29" s="393"/>
      <c r="GW29" s="393"/>
      <c r="GX29" s="393"/>
      <c r="GY29" s="393"/>
      <c r="GZ29" s="393"/>
      <c r="HA29" s="393"/>
      <c r="HB29" s="393"/>
      <c r="HC29" s="393"/>
      <c r="HD29" s="393"/>
      <c r="HE29" s="393"/>
      <c r="HF29" s="393"/>
      <c r="HG29" s="393"/>
      <c r="HH29" s="393"/>
      <c r="HI29" s="393"/>
      <c r="HJ29" s="393"/>
      <c r="HK29" s="393"/>
      <c r="HL29" s="393"/>
      <c r="HM29" s="393"/>
      <c r="HN29" s="393"/>
      <c r="HO29" s="393"/>
      <c r="HP29" s="393"/>
      <c r="HQ29" s="393"/>
      <c r="HR29" s="393"/>
      <c r="HS29" s="393"/>
      <c r="HT29" s="393"/>
      <c r="HU29" s="393"/>
      <c r="HV29" s="393"/>
      <c r="HW29" s="393"/>
      <c r="HX29" s="393"/>
      <c r="HY29" s="393"/>
      <c r="HZ29" s="393"/>
      <c r="IA29" s="393"/>
      <c r="IB29" s="393"/>
      <c r="IC29" s="393"/>
      <c r="ID29" s="393"/>
      <c r="IE29" s="393"/>
      <c r="IF29" s="393"/>
      <c r="IG29" s="393"/>
      <c r="IH29" s="393"/>
      <c r="II29" s="393"/>
      <c r="IJ29" s="393"/>
      <c r="IK29" s="393"/>
      <c r="IL29" s="393"/>
      <c r="IM29" s="393"/>
      <c r="IN29" s="393"/>
      <c r="IO29" s="393"/>
      <c r="IP29" s="393"/>
      <c r="IQ29" s="393"/>
      <c r="IR29" s="393"/>
      <c r="IS29" s="393"/>
      <c r="IT29" s="393"/>
      <c r="IU29" s="393"/>
      <c r="IV29" s="393"/>
      <c r="IW29" s="393"/>
    </row>
    <row r="30" customFormat="false" ht="12.75" hidden="false" customHeight="false" outlineLevel="0" collapsed="false">
      <c r="B30" s="394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393"/>
      <c r="BD30" s="393"/>
      <c r="BE30" s="393"/>
      <c r="BF30" s="393"/>
      <c r="BG30" s="393"/>
      <c r="BH30" s="393"/>
      <c r="BI30" s="393"/>
      <c r="BJ30" s="393"/>
      <c r="BK30" s="393"/>
      <c r="BL30" s="393"/>
      <c r="BM30" s="393"/>
      <c r="BN30" s="393"/>
      <c r="BO30" s="393"/>
      <c r="BP30" s="393"/>
      <c r="BQ30" s="393"/>
      <c r="BR30" s="393"/>
      <c r="BS30" s="393"/>
      <c r="BT30" s="393"/>
      <c r="BU30" s="393"/>
      <c r="BV30" s="393"/>
      <c r="BW30" s="393"/>
      <c r="BX30" s="393"/>
      <c r="BY30" s="393"/>
      <c r="BZ30" s="393"/>
      <c r="CA30" s="393"/>
      <c r="CB30" s="393"/>
      <c r="CC30" s="393"/>
      <c r="CD30" s="393"/>
      <c r="CE30" s="393"/>
      <c r="CF30" s="393"/>
      <c r="CG30" s="393"/>
      <c r="CH30" s="393"/>
      <c r="CI30" s="393"/>
      <c r="CJ30" s="393"/>
      <c r="CK30" s="393"/>
      <c r="CL30" s="393"/>
      <c r="CM30" s="393"/>
      <c r="CN30" s="393"/>
      <c r="CO30" s="393"/>
      <c r="CP30" s="393"/>
      <c r="CQ30" s="393"/>
      <c r="CR30" s="393"/>
      <c r="CS30" s="393"/>
      <c r="CT30" s="393"/>
      <c r="CU30" s="393"/>
      <c r="CV30" s="393"/>
      <c r="CW30" s="393"/>
      <c r="CX30" s="393"/>
      <c r="CY30" s="393"/>
      <c r="CZ30" s="393"/>
      <c r="DA30" s="393"/>
      <c r="DB30" s="393"/>
      <c r="DC30" s="393"/>
      <c r="DD30" s="393"/>
      <c r="DE30" s="393"/>
      <c r="DF30" s="393"/>
      <c r="DG30" s="393"/>
      <c r="DH30" s="393"/>
      <c r="DI30" s="393"/>
      <c r="DJ30" s="393"/>
      <c r="DK30" s="393"/>
      <c r="DL30" s="393"/>
      <c r="DM30" s="393"/>
      <c r="DN30" s="393"/>
      <c r="DO30" s="393"/>
      <c r="DP30" s="393"/>
      <c r="DQ30" s="393"/>
      <c r="DR30" s="393"/>
      <c r="DS30" s="393"/>
      <c r="DT30" s="393"/>
      <c r="DU30" s="393"/>
      <c r="DV30" s="393"/>
      <c r="DW30" s="393"/>
      <c r="DX30" s="393"/>
      <c r="DY30" s="393"/>
      <c r="DZ30" s="393"/>
      <c r="EA30" s="393"/>
      <c r="EB30" s="393"/>
      <c r="EC30" s="393"/>
      <c r="ED30" s="393"/>
      <c r="EE30" s="393"/>
      <c r="EF30" s="393"/>
      <c r="EG30" s="393"/>
      <c r="EH30" s="393"/>
      <c r="EI30" s="393"/>
      <c r="EJ30" s="393"/>
      <c r="EK30" s="393"/>
      <c r="EL30" s="393"/>
      <c r="EM30" s="393"/>
      <c r="EN30" s="393"/>
      <c r="EO30" s="393"/>
      <c r="EP30" s="393"/>
      <c r="EQ30" s="393"/>
      <c r="ER30" s="393"/>
      <c r="ES30" s="393"/>
      <c r="ET30" s="393"/>
      <c r="EU30" s="393"/>
      <c r="EV30" s="393"/>
      <c r="EW30" s="393"/>
      <c r="EX30" s="393"/>
      <c r="EY30" s="393"/>
      <c r="EZ30" s="393"/>
      <c r="FA30" s="393"/>
      <c r="FB30" s="393"/>
      <c r="FC30" s="393"/>
      <c r="FD30" s="393"/>
      <c r="FE30" s="393"/>
      <c r="FF30" s="393"/>
      <c r="FG30" s="393"/>
      <c r="FH30" s="393"/>
      <c r="FI30" s="393"/>
      <c r="FJ30" s="393"/>
      <c r="FK30" s="393"/>
      <c r="FL30" s="393"/>
      <c r="FM30" s="393"/>
      <c r="FN30" s="393"/>
      <c r="FO30" s="393"/>
      <c r="FP30" s="393"/>
      <c r="FQ30" s="393"/>
      <c r="FR30" s="393"/>
      <c r="FS30" s="393"/>
      <c r="FT30" s="393"/>
      <c r="FU30" s="393"/>
      <c r="FV30" s="393"/>
      <c r="FW30" s="393"/>
      <c r="FX30" s="393"/>
      <c r="FY30" s="393"/>
      <c r="FZ30" s="393"/>
      <c r="GA30" s="393"/>
      <c r="GB30" s="393"/>
      <c r="GC30" s="393"/>
      <c r="GD30" s="393"/>
      <c r="GE30" s="393"/>
      <c r="GF30" s="393"/>
      <c r="GG30" s="393"/>
      <c r="GH30" s="393"/>
      <c r="GI30" s="393"/>
      <c r="GJ30" s="393"/>
      <c r="GK30" s="393"/>
      <c r="GL30" s="393"/>
      <c r="GM30" s="393"/>
      <c r="GN30" s="393"/>
      <c r="GO30" s="393"/>
      <c r="GP30" s="393"/>
      <c r="GQ30" s="393"/>
      <c r="GR30" s="393"/>
      <c r="GS30" s="393"/>
      <c r="GT30" s="393"/>
      <c r="GU30" s="393"/>
      <c r="GV30" s="393"/>
      <c r="GW30" s="393"/>
      <c r="GX30" s="393"/>
      <c r="GY30" s="393"/>
      <c r="GZ30" s="393"/>
      <c r="HA30" s="393"/>
      <c r="HB30" s="393"/>
      <c r="HC30" s="393"/>
      <c r="HD30" s="393"/>
      <c r="HE30" s="393"/>
      <c r="HF30" s="393"/>
      <c r="HG30" s="393"/>
      <c r="HH30" s="393"/>
      <c r="HI30" s="393"/>
      <c r="HJ30" s="393"/>
      <c r="HK30" s="393"/>
      <c r="HL30" s="393"/>
      <c r="HM30" s="393"/>
      <c r="HN30" s="393"/>
      <c r="HO30" s="393"/>
      <c r="HP30" s="393"/>
      <c r="HQ30" s="393"/>
      <c r="HR30" s="393"/>
      <c r="HS30" s="393"/>
      <c r="HT30" s="393"/>
      <c r="HU30" s="393"/>
      <c r="HV30" s="393"/>
      <c r="HW30" s="393"/>
      <c r="HX30" s="393"/>
      <c r="HY30" s="393"/>
      <c r="HZ30" s="393"/>
      <c r="IA30" s="393"/>
      <c r="IB30" s="393"/>
      <c r="IC30" s="393"/>
      <c r="ID30" s="393"/>
      <c r="IE30" s="393"/>
      <c r="IF30" s="393"/>
      <c r="IG30" s="393"/>
      <c r="IH30" s="393"/>
      <c r="II30" s="393"/>
      <c r="IJ30" s="393"/>
      <c r="IK30" s="393"/>
      <c r="IL30" s="393"/>
      <c r="IM30" s="393"/>
      <c r="IN30" s="393"/>
      <c r="IO30" s="393"/>
      <c r="IP30" s="393"/>
      <c r="IQ30" s="393"/>
      <c r="IR30" s="393"/>
      <c r="IS30" s="393"/>
      <c r="IT30" s="393"/>
      <c r="IU30" s="393"/>
      <c r="IV30" s="393"/>
      <c r="IW30" s="393"/>
    </row>
    <row r="31" customFormat="false" ht="12.75" hidden="false" customHeight="false" outlineLevel="0" collapsed="false">
      <c r="A31" s="397" t="s">
        <v>358</v>
      </c>
      <c r="B31" s="183" t="n">
        <f aca="false">B16</f>
        <v>75730.1347347428</v>
      </c>
      <c r="C31" s="405"/>
      <c r="D31" s="183" t="n">
        <f aca="false">$B$31*D26</f>
        <v>3786.50673673714</v>
      </c>
      <c r="E31" s="183" t="n">
        <f aca="false">$B$31*E26</f>
        <v>7194.36279980056</v>
      </c>
      <c r="F31" s="183" t="n">
        <f aca="false">$B$31*F26</f>
        <v>6474.92651982051</v>
      </c>
      <c r="G31" s="183" t="n">
        <f aca="false">$B$31*G26</f>
        <v>5831.22037457519</v>
      </c>
      <c r="H31" s="183" t="n">
        <f aca="false">$B$31*H26</f>
        <v>5248.09833711767</v>
      </c>
      <c r="I31" s="183" t="n">
        <f aca="false">$B$31*I26</f>
        <v>4717.98739397448</v>
      </c>
      <c r="J31" s="183" t="n">
        <f aca="false">$B$31*J26</f>
        <v>4468.07794934982</v>
      </c>
      <c r="K31" s="183" t="n">
        <f aca="false">$B$31*K26</f>
        <v>4475.6509628233</v>
      </c>
      <c r="L31" s="183" t="n">
        <f aca="false">$B$31*L26</f>
        <v>4468.07794934982</v>
      </c>
      <c r="M31" s="183" t="n">
        <f aca="false">$B$31*M26</f>
        <v>4475.6509628233</v>
      </c>
      <c r="N31" s="183" t="n">
        <f aca="false">$B$31*N26</f>
        <v>4468.07794934982</v>
      </c>
      <c r="O31" s="183" t="n">
        <f aca="false">$B$31*O26</f>
        <v>4475.6509628233</v>
      </c>
      <c r="P31" s="183" t="n">
        <f aca="false">$B$31*P26</f>
        <v>4468.07794934982</v>
      </c>
      <c r="Q31" s="183" t="n">
        <f aca="false">$B$31*Q26</f>
        <v>4475.6509628233</v>
      </c>
      <c r="R31" s="183" t="n">
        <f aca="false">$B$31*R26</f>
        <v>4468.07794934982</v>
      </c>
      <c r="S31" s="183" t="n">
        <f aca="false">$B$31*S26</f>
        <v>2234.03897467491</v>
      </c>
      <c r="T31" s="183" t="n">
        <f aca="false">$B$31*T26</f>
        <v>0</v>
      </c>
      <c r="U31" s="183" t="n">
        <f aca="false">$B$31*U26</f>
        <v>0</v>
      </c>
      <c r="V31" s="183" t="n">
        <f aca="false">$B$31*V26</f>
        <v>0</v>
      </c>
      <c r="W31" s="183" t="n">
        <f aca="false">$B$31*W26</f>
        <v>0</v>
      </c>
      <c r="X31" s="183" t="n">
        <f aca="false">$B$31*X26</f>
        <v>0</v>
      </c>
      <c r="Y31" s="183" t="n">
        <f aca="false">$B$31*Y26</f>
        <v>0</v>
      </c>
      <c r="Z31" s="183" t="n">
        <f aca="false">$B$31*Z26</f>
        <v>0</v>
      </c>
      <c r="AA31" s="183" t="n">
        <f aca="false">$B$31*AA26</f>
        <v>0</v>
      </c>
      <c r="AB31" s="183" t="n">
        <f aca="false">$B$31*AB26</f>
        <v>0</v>
      </c>
      <c r="AC31" s="183" t="n">
        <f aca="false">$B$31*AC26</f>
        <v>0</v>
      </c>
      <c r="AD31" s="183" t="n">
        <f aca="false">$B$31*AD26</f>
        <v>0</v>
      </c>
      <c r="AE31" s="183" t="n">
        <f aca="false">$B$31*AE26</f>
        <v>0</v>
      </c>
      <c r="AF31" s="183" t="n">
        <f aca="false">$B$31*AF26</f>
        <v>0</v>
      </c>
      <c r="AG31" s="183" t="n">
        <f aca="false">$B$31*AG26</f>
        <v>0</v>
      </c>
      <c r="AH31" s="183" t="n">
        <f aca="false">$B$31*AH26</f>
        <v>0</v>
      </c>
      <c r="AI31" s="415"/>
      <c r="AJ31" s="415"/>
      <c r="AK31" s="415"/>
      <c r="AL31" s="415"/>
      <c r="AM31" s="415"/>
      <c r="AN31" s="415"/>
      <c r="AO31" s="415"/>
      <c r="AP31" s="415"/>
      <c r="AQ31" s="415"/>
      <c r="AR31" s="415"/>
      <c r="AS31" s="415"/>
      <c r="AT31" s="415"/>
      <c r="AU31" s="415"/>
      <c r="AV31" s="415"/>
      <c r="AW31" s="415"/>
      <c r="AX31" s="415"/>
      <c r="AY31" s="415"/>
      <c r="AZ31" s="415"/>
      <c r="BA31" s="415"/>
      <c r="BB31" s="415"/>
      <c r="BC31" s="415"/>
      <c r="BD31" s="415"/>
      <c r="BE31" s="415"/>
      <c r="BF31" s="415"/>
      <c r="BG31" s="415"/>
      <c r="BH31" s="415"/>
      <c r="BI31" s="415"/>
      <c r="BJ31" s="415"/>
      <c r="BK31" s="415"/>
      <c r="BL31" s="415"/>
      <c r="BM31" s="415"/>
      <c r="BN31" s="415"/>
      <c r="BO31" s="415"/>
      <c r="BP31" s="415"/>
      <c r="BQ31" s="415"/>
      <c r="BR31" s="415"/>
      <c r="BS31" s="415"/>
      <c r="BT31" s="415"/>
      <c r="BU31" s="415"/>
      <c r="BV31" s="415"/>
      <c r="BW31" s="415"/>
      <c r="BX31" s="415"/>
      <c r="BY31" s="415"/>
      <c r="BZ31" s="415"/>
      <c r="CA31" s="415"/>
      <c r="CB31" s="415"/>
      <c r="CC31" s="415"/>
      <c r="CD31" s="415"/>
      <c r="CE31" s="415"/>
      <c r="CF31" s="415"/>
      <c r="CG31" s="415"/>
      <c r="CH31" s="415"/>
      <c r="CI31" s="415"/>
      <c r="CJ31" s="415"/>
      <c r="CK31" s="415"/>
      <c r="CL31" s="415"/>
      <c r="CM31" s="415"/>
      <c r="CN31" s="415"/>
      <c r="CO31" s="415"/>
      <c r="CP31" s="415"/>
      <c r="CQ31" s="415"/>
      <c r="CR31" s="415"/>
      <c r="CS31" s="415"/>
      <c r="CT31" s="415"/>
      <c r="CU31" s="415"/>
      <c r="CV31" s="415"/>
      <c r="CW31" s="415"/>
      <c r="CX31" s="415"/>
      <c r="CY31" s="415"/>
      <c r="CZ31" s="415"/>
      <c r="DA31" s="415"/>
      <c r="DB31" s="415"/>
      <c r="DC31" s="415"/>
      <c r="DD31" s="415"/>
      <c r="DE31" s="415"/>
      <c r="DF31" s="415"/>
      <c r="DG31" s="415"/>
      <c r="DH31" s="415"/>
      <c r="DI31" s="415"/>
      <c r="DJ31" s="415"/>
      <c r="DK31" s="415"/>
      <c r="DL31" s="415"/>
      <c r="DM31" s="415"/>
      <c r="DN31" s="415"/>
      <c r="DO31" s="415"/>
      <c r="DP31" s="415"/>
      <c r="DQ31" s="415"/>
      <c r="DR31" s="415"/>
      <c r="DS31" s="415"/>
      <c r="DT31" s="415"/>
      <c r="DU31" s="415"/>
      <c r="DV31" s="415"/>
      <c r="DW31" s="415"/>
      <c r="DX31" s="415"/>
      <c r="DY31" s="415"/>
      <c r="DZ31" s="415"/>
      <c r="EA31" s="415"/>
      <c r="EB31" s="415"/>
      <c r="EC31" s="415"/>
      <c r="ED31" s="415"/>
      <c r="EE31" s="415"/>
      <c r="EF31" s="415"/>
      <c r="EG31" s="415"/>
      <c r="EH31" s="415"/>
      <c r="EI31" s="415"/>
      <c r="EJ31" s="415"/>
      <c r="EK31" s="415"/>
      <c r="EL31" s="415"/>
      <c r="EM31" s="415"/>
      <c r="EN31" s="415"/>
      <c r="EO31" s="415"/>
      <c r="EP31" s="415"/>
      <c r="EQ31" s="415"/>
      <c r="ER31" s="415"/>
      <c r="ES31" s="415"/>
      <c r="ET31" s="415"/>
      <c r="EU31" s="415"/>
      <c r="EV31" s="415"/>
      <c r="EW31" s="415"/>
      <c r="EX31" s="415"/>
      <c r="EY31" s="415"/>
      <c r="EZ31" s="415"/>
      <c r="FA31" s="415"/>
      <c r="FB31" s="415"/>
      <c r="FC31" s="415"/>
      <c r="FD31" s="415"/>
      <c r="FE31" s="415"/>
      <c r="FF31" s="415"/>
      <c r="FG31" s="415"/>
      <c r="FH31" s="415"/>
      <c r="FI31" s="415"/>
      <c r="FJ31" s="415"/>
      <c r="FK31" s="415"/>
      <c r="FL31" s="415"/>
      <c r="FM31" s="415"/>
      <c r="FN31" s="415"/>
      <c r="FO31" s="415"/>
      <c r="FP31" s="415"/>
      <c r="FQ31" s="415"/>
      <c r="FR31" s="415"/>
      <c r="FS31" s="415"/>
      <c r="FT31" s="415"/>
      <c r="FU31" s="415"/>
      <c r="FV31" s="415"/>
      <c r="FW31" s="415"/>
      <c r="FX31" s="415"/>
      <c r="FY31" s="415"/>
      <c r="FZ31" s="415"/>
      <c r="GA31" s="415"/>
      <c r="GB31" s="415"/>
      <c r="GC31" s="415"/>
      <c r="GD31" s="415"/>
      <c r="GE31" s="415"/>
      <c r="GF31" s="415"/>
      <c r="GG31" s="415"/>
      <c r="GH31" s="415"/>
      <c r="GI31" s="415"/>
      <c r="GJ31" s="415"/>
      <c r="GK31" s="415"/>
      <c r="GL31" s="415"/>
      <c r="GM31" s="415"/>
      <c r="GN31" s="415"/>
      <c r="GO31" s="415"/>
      <c r="GP31" s="415"/>
      <c r="GQ31" s="415"/>
      <c r="GR31" s="415"/>
      <c r="GS31" s="415"/>
      <c r="GT31" s="415"/>
      <c r="GU31" s="415"/>
      <c r="GV31" s="415"/>
      <c r="GW31" s="415"/>
      <c r="GX31" s="415"/>
      <c r="GY31" s="415"/>
      <c r="GZ31" s="415"/>
      <c r="HA31" s="415"/>
      <c r="HB31" s="415"/>
      <c r="HC31" s="415"/>
      <c r="HD31" s="415"/>
      <c r="HE31" s="415"/>
      <c r="HF31" s="415"/>
      <c r="HG31" s="415"/>
      <c r="HH31" s="415"/>
      <c r="HI31" s="415"/>
      <c r="HJ31" s="415"/>
      <c r="HK31" s="415"/>
      <c r="HL31" s="415"/>
      <c r="HM31" s="415"/>
      <c r="HN31" s="415"/>
      <c r="HO31" s="415"/>
      <c r="HP31" s="415"/>
      <c r="HQ31" s="415"/>
      <c r="HR31" s="415"/>
      <c r="HS31" s="415"/>
      <c r="HT31" s="415"/>
      <c r="HU31" s="415"/>
      <c r="HV31" s="415"/>
      <c r="HW31" s="415"/>
      <c r="HX31" s="415"/>
      <c r="HY31" s="415"/>
      <c r="HZ31" s="415"/>
      <c r="IA31" s="415"/>
      <c r="IB31" s="415"/>
      <c r="IC31" s="415"/>
      <c r="ID31" s="415"/>
      <c r="IE31" s="415"/>
      <c r="IF31" s="415"/>
      <c r="IG31" s="415"/>
      <c r="IH31" s="415"/>
      <c r="II31" s="415"/>
      <c r="IJ31" s="415"/>
      <c r="IK31" s="415"/>
      <c r="IL31" s="415"/>
      <c r="IM31" s="415"/>
      <c r="IN31" s="415"/>
      <c r="IO31" s="415"/>
      <c r="IP31" s="415"/>
      <c r="IQ31" s="415"/>
      <c r="IR31" s="415"/>
      <c r="IS31" s="415"/>
      <c r="IT31" s="415"/>
      <c r="IU31" s="415"/>
      <c r="IV31" s="415"/>
      <c r="IW31" s="415"/>
    </row>
    <row r="32" customFormat="false" ht="12.75" hidden="false" customHeight="false" outlineLevel="0" collapsed="false">
      <c r="A32" s="397" t="s">
        <v>359</v>
      </c>
      <c r="B32" s="406" t="n">
        <f aca="false">B17</f>
        <v>3380.08</v>
      </c>
      <c r="C32" s="405"/>
      <c r="D32" s="183" t="n">
        <f aca="false">D27*$B$32</f>
        <v>450.677333333333</v>
      </c>
      <c r="E32" s="183" t="n">
        <f aca="false">E27*$B$32</f>
        <v>676.016</v>
      </c>
      <c r="F32" s="183" t="n">
        <f aca="false">F27*$B$32</f>
        <v>676.016</v>
      </c>
      <c r="G32" s="183" t="n">
        <f aca="false">G27*$B$32</f>
        <v>676.016</v>
      </c>
      <c r="H32" s="183" t="n">
        <f aca="false">H27*$B$32</f>
        <v>676.016</v>
      </c>
      <c r="I32" s="183" t="n">
        <f aca="false">I27*$B$32</f>
        <v>225.338666666667</v>
      </c>
      <c r="J32" s="183" t="n">
        <f aca="false">J27*$B$32</f>
        <v>0</v>
      </c>
      <c r="K32" s="183" t="n">
        <f aca="false">K27*$B$32</f>
        <v>0</v>
      </c>
      <c r="L32" s="183" t="n">
        <f aca="false">L27*$B$32</f>
        <v>0</v>
      </c>
      <c r="M32" s="183" t="n">
        <f aca="false">M27*$B$32</f>
        <v>0</v>
      </c>
      <c r="N32" s="183" t="n">
        <f aca="false">N27*$B$32</f>
        <v>0</v>
      </c>
      <c r="O32" s="183" t="n">
        <f aca="false">O27*$B$32</f>
        <v>0</v>
      </c>
      <c r="P32" s="183" t="n">
        <f aca="false">P27*$B$32</f>
        <v>0</v>
      </c>
      <c r="Q32" s="183" t="n">
        <f aca="false">Q27*$B$32</f>
        <v>0</v>
      </c>
      <c r="R32" s="183" t="n">
        <f aca="false">R27*$B$32</f>
        <v>0</v>
      </c>
      <c r="S32" s="183" t="n">
        <f aca="false">S27*$B$32</f>
        <v>0</v>
      </c>
      <c r="T32" s="183" t="n">
        <f aca="false">T27*$B$32</f>
        <v>0</v>
      </c>
      <c r="U32" s="183" t="n">
        <f aca="false">U27*$B$32</f>
        <v>0</v>
      </c>
      <c r="V32" s="183" t="n">
        <f aca="false">V27*$B$32</f>
        <v>0</v>
      </c>
      <c r="W32" s="183" t="n">
        <f aca="false">W27*$B$32</f>
        <v>0</v>
      </c>
      <c r="X32" s="183" t="n">
        <f aca="false">X27*$B$32</f>
        <v>0</v>
      </c>
      <c r="Y32" s="183" t="n">
        <f aca="false">Y27*$B$32</f>
        <v>0</v>
      </c>
      <c r="Z32" s="183" t="n">
        <f aca="false">Z27*$B$32</f>
        <v>0</v>
      </c>
      <c r="AA32" s="183" t="n">
        <f aca="false">AA27*$B$32</f>
        <v>0</v>
      </c>
      <c r="AB32" s="183" t="n">
        <f aca="false">AB27*$B$32</f>
        <v>0</v>
      </c>
      <c r="AC32" s="183" t="n">
        <f aca="false">AC27*$B$32</f>
        <v>0</v>
      </c>
      <c r="AD32" s="183" t="n">
        <f aca="false">AD27*$B$32</f>
        <v>0</v>
      </c>
      <c r="AE32" s="183" t="n">
        <f aca="false">AE27*$B$32</f>
        <v>0</v>
      </c>
      <c r="AF32" s="183" t="n">
        <f aca="false">AF27*$B$32</f>
        <v>0</v>
      </c>
      <c r="AG32" s="183" t="n">
        <f aca="false">AG27*$B$32</f>
        <v>0</v>
      </c>
      <c r="AH32" s="183" t="n">
        <f aca="false">AH27*$B$32</f>
        <v>0</v>
      </c>
      <c r="AI32" s="393"/>
      <c r="AJ32" s="393"/>
      <c r="AK32" s="393"/>
      <c r="AL32" s="393"/>
      <c r="AM32" s="393"/>
      <c r="AN32" s="393"/>
      <c r="AO32" s="393"/>
      <c r="AP32" s="393"/>
      <c r="AQ32" s="393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  <c r="BO32" s="393"/>
      <c r="BP32" s="393"/>
      <c r="BQ32" s="393"/>
      <c r="BR32" s="393"/>
      <c r="BS32" s="393"/>
      <c r="BT32" s="393"/>
      <c r="BU32" s="393"/>
      <c r="BV32" s="393"/>
      <c r="BW32" s="393"/>
      <c r="BX32" s="393"/>
      <c r="BY32" s="393"/>
      <c r="BZ32" s="393"/>
      <c r="CA32" s="393"/>
      <c r="CB32" s="393"/>
      <c r="CC32" s="393"/>
      <c r="CD32" s="393"/>
      <c r="CE32" s="393"/>
      <c r="CF32" s="393"/>
      <c r="CG32" s="393"/>
      <c r="CH32" s="393"/>
      <c r="CI32" s="393"/>
      <c r="CJ32" s="393"/>
      <c r="CK32" s="393"/>
      <c r="CL32" s="393"/>
      <c r="CM32" s="393"/>
      <c r="CN32" s="393"/>
      <c r="CO32" s="393"/>
      <c r="CP32" s="393"/>
      <c r="CQ32" s="393"/>
      <c r="CR32" s="393"/>
      <c r="CS32" s="393"/>
      <c r="CT32" s="393"/>
      <c r="CU32" s="393"/>
      <c r="CV32" s="393"/>
      <c r="CW32" s="393"/>
      <c r="CX32" s="393"/>
      <c r="CY32" s="393"/>
      <c r="CZ32" s="393"/>
      <c r="DA32" s="393"/>
      <c r="DB32" s="393"/>
      <c r="DC32" s="393"/>
      <c r="DD32" s="393"/>
      <c r="DE32" s="393"/>
      <c r="DF32" s="393"/>
      <c r="DG32" s="393"/>
      <c r="DH32" s="393"/>
      <c r="DI32" s="393"/>
      <c r="DJ32" s="393"/>
      <c r="DK32" s="393"/>
      <c r="DL32" s="393"/>
      <c r="DM32" s="393"/>
      <c r="DN32" s="393"/>
      <c r="DO32" s="393"/>
      <c r="DP32" s="393"/>
      <c r="DQ32" s="393"/>
      <c r="DR32" s="393"/>
      <c r="DS32" s="393"/>
      <c r="DT32" s="393"/>
      <c r="DU32" s="393"/>
      <c r="DV32" s="393"/>
      <c r="DW32" s="393"/>
      <c r="DX32" s="393"/>
      <c r="DY32" s="393"/>
      <c r="DZ32" s="393"/>
      <c r="EA32" s="393"/>
      <c r="EB32" s="393"/>
      <c r="EC32" s="393"/>
      <c r="ED32" s="393"/>
      <c r="EE32" s="393"/>
      <c r="EF32" s="393"/>
      <c r="EG32" s="393"/>
      <c r="EH32" s="393"/>
      <c r="EI32" s="393"/>
      <c r="EJ32" s="393"/>
      <c r="EK32" s="393"/>
      <c r="EL32" s="393"/>
      <c r="EM32" s="393"/>
      <c r="EN32" s="393"/>
      <c r="EO32" s="393"/>
      <c r="EP32" s="393"/>
      <c r="EQ32" s="393"/>
      <c r="ER32" s="393"/>
      <c r="ES32" s="393"/>
      <c r="ET32" s="393"/>
      <c r="EU32" s="393"/>
      <c r="EV32" s="393"/>
      <c r="EW32" s="393"/>
      <c r="EX32" s="393"/>
      <c r="EY32" s="393"/>
      <c r="EZ32" s="393"/>
      <c r="FA32" s="393"/>
      <c r="FB32" s="393"/>
      <c r="FC32" s="393"/>
      <c r="FD32" s="393"/>
      <c r="FE32" s="393"/>
      <c r="FF32" s="393"/>
      <c r="FG32" s="393"/>
      <c r="FH32" s="393"/>
      <c r="FI32" s="393"/>
      <c r="FJ32" s="393"/>
      <c r="FK32" s="393"/>
      <c r="FL32" s="393"/>
      <c r="FM32" s="393"/>
      <c r="FN32" s="393"/>
      <c r="FO32" s="393"/>
      <c r="FP32" s="393"/>
      <c r="FQ32" s="393"/>
      <c r="FR32" s="393"/>
      <c r="FS32" s="393"/>
      <c r="FT32" s="393"/>
      <c r="FU32" s="393"/>
      <c r="FV32" s="393"/>
      <c r="FW32" s="393"/>
      <c r="FX32" s="393"/>
      <c r="FY32" s="393"/>
      <c r="FZ32" s="393"/>
      <c r="GA32" s="393"/>
      <c r="GB32" s="393"/>
      <c r="GC32" s="393"/>
      <c r="GD32" s="393"/>
      <c r="GE32" s="393"/>
      <c r="GF32" s="393"/>
      <c r="GG32" s="393"/>
      <c r="GH32" s="393"/>
      <c r="GI32" s="393"/>
      <c r="GJ32" s="393"/>
      <c r="GK32" s="393"/>
      <c r="GL32" s="393"/>
      <c r="GM32" s="393"/>
      <c r="GN32" s="393"/>
      <c r="GO32" s="393"/>
      <c r="GP32" s="393"/>
      <c r="GQ32" s="393"/>
      <c r="GR32" s="393"/>
      <c r="GS32" s="393"/>
      <c r="GT32" s="393"/>
      <c r="GU32" s="393"/>
      <c r="GV32" s="393"/>
      <c r="GW32" s="393"/>
      <c r="GX32" s="393"/>
      <c r="GY32" s="393"/>
      <c r="GZ32" s="393"/>
      <c r="HA32" s="393"/>
      <c r="HB32" s="393"/>
      <c r="HC32" s="393"/>
      <c r="HD32" s="393"/>
      <c r="HE32" s="393"/>
      <c r="HF32" s="393"/>
      <c r="HG32" s="393"/>
      <c r="HH32" s="393"/>
      <c r="HI32" s="393"/>
      <c r="HJ32" s="393"/>
      <c r="HK32" s="393"/>
      <c r="HL32" s="393"/>
      <c r="HM32" s="393"/>
      <c r="HN32" s="393"/>
      <c r="HO32" s="393"/>
      <c r="HP32" s="393"/>
      <c r="HQ32" s="393"/>
      <c r="HR32" s="393"/>
      <c r="HS32" s="393"/>
      <c r="HT32" s="393"/>
      <c r="HU32" s="393"/>
      <c r="HV32" s="393"/>
      <c r="HW32" s="393"/>
      <c r="HX32" s="393"/>
      <c r="HY32" s="393"/>
      <c r="HZ32" s="393"/>
      <c r="IA32" s="393"/>
      <c r="IB32" s="393"/>
      <c r="IC32" s="393"/>
      <c r="ID32" s="393"/>
      <c r="IE32" s="393"/>
      <c r="IF32" s="393"/>
      <c r="IG32" s="393"/>
      <c r="IH32" s="393"/>
      <c r="II32" s="393"/>
      <c r="IJ32" s="393"/>
      <c r="IK32" s="393"/>
      <c r="IL32" s="393"/>
      <c r="IM32" s="393"/>
      <c r="IN32" s="393"/>
      <c r="IO32" s="393"/>
      <c r="IP32" s="393"/>
      <c r="IQ32" s="393"/>
      <c r="IR32" s="393"/>
      <c r="IS32" s="393"/>
      <c r="IT32" s="393"/>
      <c r="IU32" s="393"/>
      <c r="IV32" s="393"/>
      <c r="IW32" s="393"/>
    </row>
    <row r="33" customFormat="false" ht="15" hidden="false" customHeight="false" outlineLevel="0" collapsed="false">
      <c r="A33" s="400" t="s">
        <v>360</v>
      </c>
      <c r="B33" s="308" t="n">
        <f aca="false">B18</f>
        <v>0</v>
      </c>
      <c r="C33" s="405"/>
      <c r="D33" s="308" t="n">
        <f aca="false">$B33*D28</f>
        <v>0</v>
      </c>
      <c r="E33" s="308" t="n">
        <f aca="false">$B33*E28</f>
        <v>0</v>
      </c>
      <c r="F33" s="308" t="n">
        <f aca="false">$B33*F28</f>
        <v>0</v>
      </c>
      <c r="G33" s="308" t="n">
        <f aca="false">$B33*G28</f>
        <v>0</v>
      </c>
      <c r="H33" s="308" t="n">
        <f aca="false">$B33*H28</f>
        <v>0</v>
      </c>
      <c r="I33" s="308" t="n">
        <f aca="false">$B33*I28</f>
        <v>0</v>
      </c>
      <c r="J33" s="308" t="n">
        <f aca="false">$B33*J28</f>
        <v>0</v>
      </c>
      <c r="K33" s="308" t="n">
        <f aca="false">$B33*K28</f>
        <v>0</v>
      </c>
      <c r="L33" s="308" t="n">
        <f aca="false">$B33*L28</f>
        <v>0</v>
      </c>
      <c r="M33" s="308" t="n">
        <f aca="false">$B33*M28</f>
        <v>0</v>
      </c>
      <c r="N33" s="308" t="n">
        <f aca="false">$B33*N28</f>
        <v>0</v>
      </c>
      <c r="O33" s="308" t="n">
        <f aca="false">$B33*O28</f>
        <v>0</v>
      </c>
      <c r="P33" s="308" t="n">
        <f aca="false">$B33*P28</f>
        <v>0</v>
      </c>
      <c r="Q33" s="308" t="n">
        <f aca="false">$B33*Q28</f>
        <v>0</v>
      </c>
      <c r="R33" s="308" t="n">
        <f aca="false">$B33*R28</f>
        <v>0</v>
      </c>
      <c r="S33" s="308" t="n">
        <f aca="false">$B33*S28</f>
        <v>0</v>
      </c>
      <c r="T33" s="308" t="n">
        <f aca="false">$B33*T28</f>
        <v>0</v>
      </c>
      <c r="U33" s="308" t="n">
        <f aca="false">$B33*U28</f>
        <v>0</v>
      </c>
      <c r="V33" s="308" t="n">
        <f aca="false">$B33*V28</f>
        <v>0</v>
      </c>
      <c r="W33" s="308" t="n">
        <f aca="false">$B33*W28</f>
        <v>0</v>
      </c>
      <c r="X33" s="308" t="n">
        <f aca="false">$B33*X28</f>
        <v>0</v>
      </c>
      <c r="Y33" s="308" t="n">
        <f aca="false">$B33*Y28</f>
        <v>0</v>
      </c>
      <c r="Z33" s="308" t="n">
        <f aca="false">$B33*Z28</f>
        <v>0</v>
      </c>
      <c r="AA33" s="308" t="n">
        <f aca="false">$B33*AA28</f>
        <v>0</v>
      </c>
      <c r="AB33" s="308" t="n">
        <f aca="false">$B33*AB28</f>
        <v>0</v>
      </c>
      <c r="AC33" s="308" t="n">
        <f aca="false">$B33*AC28</f>
        <v>0</v>
      </c>
      <c r="AD33" s="308" t="n">
        <f aca="false">$B33*AD28</f>
        <v>0</v>
      </c>
      <c r="AE33" s="308" t="n">
        <f aca="false">$B33*AE28</f>
        <v>0</v>
      </c>
      <c r="AF33" s="308" t="n">
        <f aca="false">$B33*AF28</f>
        <v>0</v>
      </c>
      <c r="AG33" s="308" t="n">
        <f aca="false">$B33*AG28</f>
        <v>0</v>
      </c>
      <c r="AH33" s="308" t="n">
        <f aca="false">$B33*AH28</f>
        <v>0</v>
      </c>
      <c r="AI33" s="393"/>
      <c r="AJ33" s="393"/>
      <c r="AK33" s="393"/>
      <c r="AL33" s="393"/>
      <c r="AM33" s="393"/>
      <c r="AN33" s="393"/>
      <c r="AO33" s="393"/>
      <c r="AP33" s="393"/>
      <c r="AQ33" s="393"/>
      <c r="AR33" s="393"/>
      <c r="AS33" s="393"/>
      <c r="AT33" s="393"/>
      <c r="AU33" s="393"/>
      <c r="AV33" s="393"/>
      <c r="AW33" s="393"/>
      <c r="AX33" s="393"/>
      <c r="AY33" s="393"/>
      <c r="AZ33" s="393"/>
      <c r="BA33" s="393"/>
      <c r="BB33" s="393"/>
      <c r="BC33" s="393"/>
      <c r="BD33" s="393"/>
      <c r="BE33" s="393"/>
      <c r="BF33" s="393"/>
      <c r="BG33" s="393"/>
      <c r="BH33" s="393"/>
      <c r="BI33" s="393"/>
      <c r="BJ33" s="393"/>
      <c r="BK33" s="393"/>
      <c r="BL33" s="393"/>
      <c r="BM33" s="393"/>
      <c r="BN33" s="393"/>
      <c r="BO33" s="393"/>
      <c r="BP33" s="393"/>
      <c r="BQ33" s="393"/>
      <c r="BR33" s="393"/>
      <c r="BS33" s="393"/>
      <c r="BT33" s="393"/>
      <c r="BU33" s="393"/>
      <c r="BV33" s="393"/>
      <c r="BW33" s="393"/>
      <c r="BX33" s="393"/>
      <c r="BY33" s="393"/>
      <c r="BZ33" s="393"/>
      <c r="CA33" s="393"/>
      <c r="CB33" s="393"/>
      <c r="CC33" s="393"/>
      <c r="CD33" s="393"/>
      <c r="CE33" s="393"/>
      <c r="CF33" s="393"/>
      <c r="CG33" s="393"/>
      <c r="CH33" s="393"/>
      <c r="CI33" s="393"/>
      <c r="CJ33" s="393"/>
      <c r="CK33" s="393"/>
      <c r="CL33" s="393"/>
      <c r="CM33" s="393"/>
      <c r="CN33" s="393"/>
      <c r="CO33" s="393"/>
      <c r="CP33" s="393"/>
      <c r="CQ33" s="393"/>
      <c r="CR33" s="393"/>
      <c r="CS33" s="393"/>
      <c r="CT33" s="393"/>
      <c r="CU33" s="393"/>
      <c r="CV33" s="393"/>
      <c r="CW33" s="393"/>
      <c r="CX33" s="393"/>
      <c r="CY33" s="393"/>
      <c r="CZ33" s="393"/>
      <c r="DA33" s="393"/>
      <c r="DB33" s="393"/>
      <c r="DC33" s="393"/>
      <c r="DD33" s="393"/>
      <c r="DE33" s="393"/>
      <c r="DF33" s="393"/>
      <c r="DG33" s="393"/>
      <c r="DH33" s="393"/>
      <c r="DI33" s="393"/>
      <c r="DJ33" s="393"/>
      <c r="DK33" s="393"/>
      <c r="DL33" s="393"/>
      <c r="DM33" s="393"/>
      <c r="DN33" s="393"/>
      <c r="DO33" s="393"/>
      <c r="DP33" s="393"/>
      <c r="DQ33" s="393"/>
      <c r="DR33" s="393"/>
      <c r="DS33" s="393"/>
      <c r="DT33" s="393"/>
      <c r="DU33" s="393"/>
      <c r="DV33" s="393"/>
      <c r="DW33" s="393"/>
      <c r="DX33" s="393"/>
      <c r="DY33" s="393"/>
      <c r="DZ33" s="393"/>
      <c r="EA33" s="393"/>
      <c r="EB33" s="393"/>
      <c r="EC33" s="393"/>
      <c r="ED33" s="393"/>
      <c r="EE33" s="393"/>
      <c r="EF33" s="393"/>
      <c r="EG33" s="393"/>
      <c r="EH33" s="393"/>
      <c r="EI33" s="393"/>
      <c r="EJ33" s="393"/>
      <c r="EK33" s="393"/>
      <c r="EL33" s="393"/>
      <c r="EM33" s="393"/>
      <c r="EN33" s="393"/>
      <c r="EO33" s="393"/>
      <c r="EP33" s="393"/>
      <c r="EQ33" s="393"/>
      <c r="ER33" s="393"/>
      <c r="ES33" s="393"/>
      <c r="ET33" s="393"/>
      <c r="EU33" s="393"/>
      <c r="EV33" s="393"/>
      <c r="EW33" s="393"/>
      <c r="EX33" s="393"/>
      <c r="EY33" s="393"/>
      <c r="EZ33" s="393"/>
      <c r="FA33" s="393"/>
      <c r="FB33" s="393"/>
      <c r="FC33" s="393"/>
      <c r="FD33" s="393"/>
      <c r="FE33" s="393"/>
      <c r="FF33" s="393"/>
      <c r="FG33" s="393"/>
      <c r="FH33" s="393"/>
      <c r="FI33" s="393"/>
      <c r="FJ33" s="393"/>
      <c r="FK33" s="393"/>
      <c r="FL33" s="393"/>
      <c r="FM33" s="393"/>
      <c r="FN33" s="393"/>
      <c r="FO33" s="393"/>
      <c r="FP33" s="393"/>
      <c r="FQ33" s="393"/>
      <c r="FR33" s="393"/>
      <c r="FS33" s="393"/>
      <c r="FT33" s="393"/>
      <c r="FU33" s="393"/>
      <c r="FV33" s="393"/>
      <c r="FW33" s="393"/>
      <c r="FX33" s="393"/>
      <c r="FY33" s="393"/>
      <c r="FZ33" s="393"/>
      <c r="GA33" s="393"/>
      <c r="GB33" s="393"/>
      <c r="GC33" s="393"/>
      <c r="GD33" s="393"/>
      <c r="GE33" s="393"/>
      <c r="GF33" s="393"/>
      <c r="GG33" s="393"/>
      <c r="GH33" s="393"/>
      <c r="GI33" s="393"/>
      <c r="GJ33" s="393"/>
      <c r="GK33" s="393"/>
      <c r="GL33" s="393"/>
      <c r="GM33" s="393"/>
      <c r="GN33" s="393"/>
      <c r="GO33" s="393"/>
      <c r="GP33" s="393"/>
      <c r="GQ33" s="393"/>
      <c r="GR33" s="393"/>
      <c r="GS33" s="393"/>
      <c r="GT33" s="393"/>
      <c r="GU33" s="393"/>
      <c r="GV33" s="393"/>
      <c r="GW33" s="393"/>
      <c r="GX33" s="393"/>
      <c r="GY33" s="393"/>
      <c r="GZ33" s="393"/>
      <c r="HA33" s="393"/>
      <c r="HB33" s="393"/>
      <c r="HC33" s="393"/>
      <c r="HD33" s="393"/>
      <c r="HE33" s="393"/>
      <c r="HF33" s="393"/>
      <c r="HG33" s="393"/>
      <c r="HH33" s="393"/>
      <c r="HI33" s="393"/>
      <c r="HJ33" s="393"/>
      <c r="HK33" s="393"/>
      <c r="HL33" s="393"/>
      <c r="HM33" s="393"/>
      <c r="HN33" s="393"/>
      <c r="HO33" s="393"/>
      <c r="HP33" s="393"/>
      <c r="HQ33" s="393"/>
      <c r="HR33" s="393"/>
      <c r="HS33" s="393"/>
      <c r="HT33" s="393"/>
      <c r="HU33" s="393"/>
      <c r="HV33" s="393"/>
      <c r="HW33" s="393"/>
      <c r="HX33" s="393"/>
      <c r="HY33" s="393"/>
      <c r="HZ33" s="393"/>
      <c r="IA33" s="393"/>
      <c r="IB33" s="393"/>
      <c r="IC33" s="393"/>
      <c r="ID33" s="393"/>
      <c r="IE33" s="393"/>
      <c r="IF33" s="393"/>
      <c r="IG33" s="393"/>
      <c r="IH33" s="393"/>
      <c r="II33" s="393"/>
      <c r="IJ33" s="393"/>
      <c r="IK33" s="393"/>
      <c r="IL33" s="393"/>
      <c r="IM33" s="393"/>
      <c r="IN33" s="393"/>
      <c r="IO33" s="393"/>
      <c r="IP33" s="393"/>
      <c r="IQ33" s="393"/>
      <c r="IR33" s="393"/>
      <c r="IS33" s="393"/>
      <c r="IT33" s="393"/>
      <c r="IU33" s="393"/>
      <c r="IV33" s="393"/>
      <c r="IW33" s="393"/>
    </row>
    <row r="34" customFormat="false" ht="12.75" hidden="false" customHeight="false" outlineLevel="0" collapsed="false">
      <c r="A34" s="411" t="s">
        <v>361</v>
      </c>
      <c r="B34" s="183" t="n">
        <f aca="false">SUM(B31:B33)</f>
        <v>79110.2147347428</v>
      </c>
      <c r="C34" s="405"/>
      <c r="D34" s="183" t="n">
        <f aca="false">SUM(D31:D33)</f>
        <v>4237.18407007047</v>
      </c>
      <c r="E34" s="183" t="n">
        <f aca="false">SUM(E31:E33)</f>
        <v>7870.37879980056</v>
      </c>
      <c r="F34" s="183" t="n">
        <f aca="false">SUM(F31:F33)</f>
        <v>7150.94251982051</v>
      </c>
      <c r="G34" s="183" t="n">
        <f aca="false">SUM(G31:G33)</f>
        <v>6507.23637457519</v>
      </c>
      <c r="H34" s="183" t="n">
        <f aca="false">SUM(H31:H33)</f>
        <v>5924.11433711767</v>
      </c>
      <c r="I34" s="183" t="n">
        <f aca="false">SUM(I31:I33)</f>
        <v>4943.32606064114</v>
      </c>
      <c r="J34" s="183" t="n">
        <f aca="false">SUM(J31:J33)</f>
        <v>4468.07794934982</v>
      </c>
      <c r="K34" s="183" t="n">
        <f aca="false">SUM(K31:K33)</f>
        <v>4475.6509628233</v>
      </c>
      <c r="L34" s="183" t="n">
        <f aca="false">SUM(L31:L33)</f>
        <v>4468.07794934982</v>
      </c>
      <c r="M34" s="183" t="n">
        <f aca="false">SUM(M31:M33)</f>
        <v>4475.6509628233</v>
      </c>
      <c r="N34" s="183" t="n">
        <f aca="false">SUM(N31:N33)</f>
        <v>4468.07794934982</v>
      </c>
      <c r="O34" s="183" t="n">
        <f aca="false">SUM(O31:O33)</f>
        <v>4475.6509628233</v>
      </c>
      <c r="P34" s="183" t="n">
        <f aca="false">SUM(P31:P33)</f>
        <v>4468.07794934982</v>
      </c>
      <c r="Q34" s="183" t="n">
        <f aca="false">SUM(Q31:Q33)</f>
        <v>4475.6509628233</v>
      </c>
      <c r="R34" s="183" t="n">
        <f aca="false">SUM(R31:R33)</f>
        <v>4468.07794934982</v>
      </c>
      <c r="S34" s="183" t="n">
        <f aca="false">SUM(S31:S33)</f>
        <v>2234.03897467491</v>
      </c>
      <c r="T34" s="183" t="n">
        <f aca="false">SUM(T31:T33)</f>
        <v>0</v>
      </c>
      <c r="U34" s="183" t="n">
        <f aca="false">SUM(U31:U33)</f>
        <v>0</v>
      </c>
      <c r="V34" s="183" t="n">
        <f aca="false">SUM(V31:V33)</f>
        <v>0</v>
      </c>
      <c r="W34" s="183" t="n">
        <f aca="false">SUM(W31:W33)</f>
        <v>0</v>
      </c>
      <c r="X34" s="183" t="n">
        <f aca="false">SUM(X31:X33)</f>
        <v>0</v>
      </c>
      <c r="Y34" s="183" t="n">
        <f aca="false">SUM(Y31:Y33)</f>
        <v>0</v>
      </c>
      <c r="Z34" s="183" t="n">
        <f aca="false">SUM(Z31:Z33)</f>
        <v>0</v>
      </c>
      <c r="AA34" s="183" t="n">
        <f aca="false">SUM(AA31:AA33)</f>
        <v>0</v>
      </c>
      <c r="AB34" s="183" t="n">
        <f aca="false">SUM(AB31:AB33)</f>
        <v>0</v>
      </c>
      <c r="AC34" s="183" t="n">
        <f aca="false">SUM(AC31:AC33)</f>
        <v>0</v>
      </c>
      <c r="AD34" s="183" t="n">
        <f aca="false">SUM(AD31:AD33)</f>
        <v>0</v>
      </c>
      <c r="AE34" s="183" t="n">
        <f aca="false">SUM(AE31:AE33)</f>
        <v>0</v>
      </c>
      <c r="AF34" s="183" t="n">
        <f aca="false">SUM(AF31:AF33)</f>
        <v>0</v>
      </c>
      <c r="AG34" s="183" t="n">
        <f aca="false">SUM(AG31:AG33)</f>
        <v>0</v>
      </c>
      <c r="AH34" s="183" t="n">
        <f aca="false">SUM(AH31:AH33)</f>
        <v>0</v>
      </c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393"/>
      <c r="BJ34" s="393"/>
      <c r="BK34" s="393"/>
      <c r="BL34" s="393"/>
      <c r="BM34" s="393"/>
      <c r="BN34" s="393"/>
      <c r="BO34" s="393"/>
      <c r="BP34" s="393"/>
      <c r="BQ34" s="393"/>
      <c r="BR34" s="393"/>
      <c r="BS34" s="393"/>
      <c r="BT34" s="393"/>
      <c r="BU34" s="393"/>
      <c r="BV34" s="393"/>
      <c r="BW34" s="393"/>
      <c r="BX34" s="393"/>
      <c r="BY34" s="393"/>
      <c r="BZ34" s="393"/>
      <c r="CA34" s="393"/>
      <c r="CB34" s="393"/>
      <c r="CC34" s="393"/>
      <c r="CD34" s="393"/>
      <c r="CE34" s="393"/>
      <c r="CF34" s="393"/>
      <c r="CG34" s="393"/>
      <c r="CH34" s="393"/>
      <c r="CI34" s="393"/>
      <c r="CJ34" s="393"/>
      <c r="CK34" s="393"/>
      <c r="CL34" s="393"/>
      <c r="CM34" s="393"/>
      <c r="CN34" s="393"/>
      <c r="CO34" s="393"/>
      <c r="CP34" s="393"/>
      <c r="CQ34" s="393"/>
      <c r="CR34" s="393"/>
      <c r="CS34" s="393"/>
      <c r="CT34" s="393"/>
      <c r="CU34" s="393"/>
      <c r="CV34" s="393"/>
      <c r="CW34" s="393"/>
      <c r="CX34" s="393"/>
      <c r="CY34" s="393"/>
      <c r="CZ34" s="393"/>
      <c r="DA34" s="393"/>
      <c r="DB34" s="393"/>
      <c r="DC34" s="393"/>
      <c r="DD34" s="393"/>
      <c r="DE34" s="393"/>
      <c r="DF34" s="393"/>
      <c r="DG34" s="393"/>
      <c r="DH34" s="393"/>
      <c r="DI34" s="393"/>
      <c r="DJ34" s="393"/>
      <c r="DK34" s="393"/>
      <c r="DL34" s="393"/>
      <c r="DM34" s="393"/>
      <c r="DN34" s="393"/>
      <c r="DO34" s="393"/>
      <c r="DP34" s="393"/>
      <c r="DQ34" s="393"/>
      <c r="DR34" s="393"/>
      <c r="DS34" s="393"/>
      <c r="DT34" s="393"/>
      <c r="DU34" s="393"/>
      <c r="DV34" s="393"/>
      <c r="DW34" s="393"/>
      <c r="DX34" s="393"/>
      <c r="DY34" s="393"/>
      <c r="DZ34" s="393"/>
      <c r="EA34" s="393"/>
      <c r="EB34" s="393"/>
      <c r="EC34" s="393"/>
      <c r="ED34" s="393"/>
      <c r="EE34" s="393"/>
      <c r="EF34" s="393"/>
      <c r="EG34" s="393"/>
      <c r="EH34" s="393"/>
      <c r="EI34" s="393"/>
      <c r="EJ34" s="393"/>
      <c r="EK34" s="393"/>
      <c r="EL34" s="393"/>
      <c r="EM34" s="393"/>
      <c r="EN34" s="393"/>
      <c r="EO34" s="393"/>
      <c r="EP34" s="393"/>
      <c r="EQ34" s="393"/>
      <c r="ER34" s="393"/>
      <c r="ES34" s="393"/>
      <c r="ET34" s="393"/>
      <c r="EU34" s="393"/>
      <c r="EV34" s="393"/>
      <c r="EW34" s="393"/>
      <c r="EX34" s="393"/>
      <c r="EY34" s="393"/>
      <c r="EZ34" s="393"/>
      <c r="FA34" s="393"/>
      <c r="FB34" s="393"/>
      <c r="FC34" s="393"/>
      <c r="FD34" s="393"/>
      <c r="FE34" s="393"/>
      <c r="FF34" s="393"/>
      <c r="FG34" s="393"/>
      <c r="FH34" s="393"/>
      <c r="FI34" s="393"/>
      <c r="FJ34" s="393"/>
      <c r="FK34" s="393"/>
      <c r="FL34" s="393"/>
      <c r="FM34" s="393"/>
      <c r="FN34" s="393"/>
      <c r="FO34" s="393"/>
      <c r="FP34" s="393"/>
      <c r="FQ34" s="393"/>
      <c r="FR34" s="393"/>
      <c r="FS34" s="393"/>
      <c r="FT34" s="393"/>
      <c r="FU34" s="393"/>
      <c r="FV34" s="393"/>
      <c r="FW34" s="393"/>
      <c r="FX34" s="393"/>
      <c r="FY34" s="393"/>
      <c r="FZ34" s="393"/>
      <c r="GA34" s="393"/>
      <c r="GB34" s="393"/>
      <c r="GC34" s="393"/>
      <c r="GD34" s="393"/>
      <c r="GE34" s="393"/>
      <c r="GF34" s="393"/>
      <c r="GG34" s="393"/>
      <c r="GH34" s="393"/>
      <c r="GI34" s="393"/>
      <c r="GJ34" s="393"/>
      <c r="GK34" s="393"/>
      <c r="GL34" s="393"/>
      <c r="GM34" s="393"/>
      <c r="GN34" s="393"/>
      <c r="GO34" s="393"/>
      <c r="GP34" s="393"/>
      <c r="GQ34" s="393"/>
      <c r="GR34" s="393"/>
      <c r="GS34" s="393"/>
      <c r="GT34" s="393"/>
      <c r="GU34" s="393"/>
      <c r="GV34" s="393"/>
      <c r="GW34" s="393"/>
      <c r="GX34" s="393"/>
      <c r="GY34" s="393"/>
      <c r="GZ34" s="393"/>
      <c r="HA34" s="393"/>
      <c r="HB34" s="393"/>
      <c r="HC34" s="393"/>
      <c r="HD34" s="393"/>
      <c r="HE34" s="393"/>
      <c r="HF34" s="393"/>
      <c r="HG34" s="393"/>
      <c r="HH34" s="393"/>
      <c r="HI34" s="393"/>
      <c r="HJ34" s="393"/>
      <c r="HK34" s="393"/>
      <c r="HL34" s="393"/>
      <c r="HM34" s="393"/>
      <c r="HN34" s="393"/>
      <c r="HO34" s="393"/>
      <c r="HP34" s="393"/>
      <c r="HQ34" s="393"/>
      <c r="HR34" s="393"/>
      <c r="HS34" s="393"/>
      <c r="HT34" s="393"/>
      <c r="HU34" s="393"/>
      <c r="HV34" s="393"/>
      <c r="HW34" s="393"/>
      <c r="HX34" s="393"/>
      <c r="HY34" s="393"/>
      <c r="HZ34" s="393"/>
      <c r="IA34" s="393"/>
      <c r="IB34" s="393"/>
      <c r="IC34" s="393"/>
      <c r="ID34" s="393"/>
      <c r="IE34" s="393"/>
      <c r="IF34" s="393"/>
      <c r="IG34" s="393"/>
      <c r="IH34" s="393"/>
      <c r="II34" s="393"/>
      <c r="IJ34" s="393"/>
      <c r="IK34" s="393"/>
      <c r="IL34" s="393"/>
      <c r="IM34" s="393"/>
      <c r="IN34" s="393"/>
      <c r="IO34" s="393"/>
      <c r="IP34" s="393"/>
      <c r="IQ34" s="393"/>
      <c r="IR34" s="393"/>
      <c r="IS34" s="393"/>
      <c r="IT34" s="393"/>
      <c r="IU34" s="393"/>
      <c r="IV34" s="393"/>
      <c r="IW34" s="393"/>
    </row>
    <row r="35" customFormat="false" ht="12.75" hidden="false" customHeight="false" outlineLevel="0" collapsed="false">
      <c r="A35" s="411"/>
      <c r="B35" s="183"/>
      <c r="C35" s="405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393"/>
      <c r="AJ35" s="393"/>
      <c r="AK35" s="393"/>
      <c r="AL35" s="393"/>
      <c r="AM35" s="393"/>
      <c r="AN35" s="393"/>
      <c r="AO35" s="393"/>
      <c r="AP35" s="393"/>
      <c r="AQ35" s="393"/>
      <c r="AR35" s="393"/>
      <c r="AS35" s="393"/>
      <c r="AT35" s="393"/>
      <c r="AU35" s="393"/>
      <c r="AV35" s="393"/>
      <c r="AW35" s="393"/>
      <c r="AX35" s="393"/>
      <c r="AY35" s="393"/>
      <c r="AZ35" s="393"/>
      <c r="BA35" s="393"/>
      <c r="BB35" s="393"/>
      <c r="BC35" s="393"/>
      <c r="BD35" s="393"/>
      <c r="BE35" s="393"/>
      <c r="BF35" s="393"/>
      <c r="BG35" s="393"/>
      <c r="BH35" s="393"/>
      <c r="BI35" s="393"/>
      <c r="BJ35" s="393"/>
      <c r="BK35" s="393"/>
      <c r="BL35" s="393"/>
      <c r="BM35" s="393"/>
      <c r="BN35" s="393"/>
      <c r="BO35" s="393"/>
      <c r="BP35" s="393"/>
      <c r="BQ35" s="393"/>
      <c r="BR35" s="393"/>
      <c r="BS35" s="393"/>
      <c r="BT35" s="393"/>
      <c r="BU35" s="393"/>
      <c r="BV35" s="393"/>
      <c r="BW35" s="393"/>
      <c r="BX35" s="393"/>
      <c r="BY35" s="393"/>
      <c r="BZ35" s="393"/>
      <c r="CA35" s="393"/>
      <c r="CB35" s="393"/>
      <c r="CC35" s="393"/>
      <c r="CD35" s="393"/>
      <c r="CE35" s="393"/>
      <c r="CF35" s="393"/>
      <c r="CG35" s="393"/>
      <c r="CH35" s="393"/>
      <c r="CI35" s="393"/>
      <c r="CJ35" s="393"/>
      <c r="CK35" s="393"/>
      <c r="CL35" s="393"/>
      <c r="CM35" s="393"/>
      <c r="CN35" s="393"/>
      <c r="CO35" s="393"/>
      <c r="CP35" s="393"/>
      <c r="CQ35" s="393"/>
      <c r="CR35" s="393"/>
      <c r="CS35" s="393"/>
      <c r="CT35" s="393"/>
      <c r="CU35" s="393"/>
      <c r="CV35" s="393"/>
      <c r="CW35" s="393"/>
      <c r="CX35" s="393"/>
      <c r="CY35" s="393"/>
      <c r="CZ35" s="393"/>
      <c r="DA35" s="393"/>
      <c r="DB35" s="393"/>
      <c r="DC35" s="393"/>
      <c r="DD35" s="393"/>
      <c r="DE35" s="393"/>
      <c r="DF35" s="393"/>
      <c r="DG35" s="393"/>
      <c r="DH35" s="393"/>
      <c r="DI35" s="393"/>
      <c r="DJ35" s="393"/>
      <c r="DK35" s="393"/>
      <c r="DL35" s="393"/>
      <c r="DM35" s="393"/>
      <c r="DN35" s="393"/>
      <c r="DO35" s="393"/>
      <c r="DP35" s="393"/>
      <c r="DQ35" s="393"/>
      <c r="DR35" s="393"/>
      <c r="DS35" s="393"/>
      <c r="DT35" s="393"/>
      <c r="DU35" s="393"/>
      <c r="DV35" s="393"/>
      <c r="DW35" s="393"/>
      <c r="DX35" s="393"/>
      <c r="DY35" s="393"/>
      <c r="DZ35" s="393"/>
      <c r="EA35" s="393"/>
      <c r="EB35" s="393"/>
      <c r="EC35" s="393"/>
      <c r="ED35" s="393"/>
      <c r="EE35" s="393"/>
      <c r="EF35" s="393"/>
      <c r="EG35" s="393"/>
      <c r="EH35" s="393"/>
      <c r="EI35" s="393"/>
      <c r="EJ35" s="393"/>
      <c r="EK35" s="393"/>
      <c r="EL35" s="393"/>
      <c r="EM35" s="393"/>
      <c r="EN35" s="393"/>
      <c r="EO35" s="393"/>
      <c r="EP35" s="393"/>
      <c r="EQ35" s="393"/>
      <c r="ER35" s="393"/>
      <c r="ES35" s="393"/>
      <c r="ET35" s="393"/>
      <c r="EU35" s="393"/>
      <c r="EV35" s="393"/>
      <c r="EW35" s="393"/>
      <c r="EX35" s="393"/>
      <c r="EY35" s="393"/>
      <c r="EZ35" s="393"/>
      <c r="FA35" s="393"/>
      <c r="FB35" s="393"/>
      <c r="FC35" s="393"/>
      <c r="FD35" s="393"/>
      <c r="FE35" s="393"/>
      <c r="FF35" s="393"/>
      <c r="FG35" s="393"/>
      <c r="FH35" s="393"/>
      <c r="FI35" s="393"/>
      <c r="FJ35" s="393"/>
      <c r="FK35" s="393"/>
      <c r="FL35" s="393"/>
      <c r="FM35" s="393"/>
      <c r="FN35" s="393"/>
      <c r="FO35" s="393"/>
      <c r="FP35" s="393"/>
      <c r="FQ35" s="393"/>
      <c r="FR35" s="393"/>
      <c r="FS35" s="393"/>
      <c r="FT35" s="393"/>
      <c r="FU35" s="393"/>
      <c r="FV35" s="393"/>
      <c r="FW35" s="393"/>
      <c r="FX35" s="393"/>
      <c r="FY35" s="393"/>
      <c r="FZ35" s="393"/>
      <c r="GA35" s="393"/>
      <c r="GB35" s="393"/>
      <c r="GC35" s="393"/>
      <c r="GD35" s="393"/>
      <c r="GE35" s="393"/>
      <c r="GF35" s="393"/>
      <c r="GG35" s="393"/>
      <c r="GH35" s="393"/>
      <c r="GI35" s="393"/>
      <c r="GJ35" s="393"/>
      <c r="GK35" s="393"/>
      <c r="GL35" s="393"/>
      <c r="GM35" s="393"/>
      <c r="GN35" s="393"/>
      <c r="GO35" s="393"/>
      <c r="GP35" s="393"/>
      <c r="GQ35" s="393"/>
      <c r="GR35" s="393"/>
      <c r="GS35" s="393"/>
      <c r="GT35" s="393"/>
      <c r="GU35" s="393"/>
      <c r="GV35" s="393"/>
      <c r="GW35" s="393"/>
      <c r="GX35" s="393"/>
      <c r="GY35" s="393"/>
      <c r="GZ35" s="393"/>
      <c r="HA35" s="393"/>
      <c r="HB35" s="393"/>
      <c r="HC35" s="393"/>
      <c r="HD35" s="393"/>
      <c r="HE35" s="393"/>
      <c r="HF35" s="393"/>
      <c r="HG35" s="393"/>
      <c r="HH35" s="393"/>
      <c r="HI35" s="393"/>
      <c r="HJ35" s="393"/>
      <c r="HK35" s="393"/>
      <c r="HL35" s="393"/>
      <c r="HM35" s="393"/>
      <c r="HN35" s="393"/>
      <c r="HO35" s="393"/>
      <c r="HP35" s="393"/>
      <c r="HQ35" s="393"/>
      <c r="HR35" s="393"/>
      <c r="HS35" s="393"/>
      <c r="HT35" s="393"/>
      <c r="HU35" s="393"/>
      <c r="HV35" s="393"/>
      <c r="HW35" s="393"/>
      <c r="HX35" s="393"/>
      <c r="HY35" s="393"/>
      <c r="HZ35" s="393"/>
      <c r="IA35" s="393"/>
      <c r="IB35" s="393"/>
      <c r="IC35" s="393"/>
      <c r="ID35" s="393"/>
      <c r="IE35" s="393"/>
      <c r="IF35" s="393"/>
      <c r="IG35" s="393"/>
      <c r="IH35" s="393"/>
      <c r="II35" s="393"/>
      <c r="IJ35" s="393"/>
      <c r="IK35" s="393"/>
      <c r="IL35" s="393"/>
      <c r="IM35" s="393"/>
      <c r="IN35" s="393"/>
      <c r="IO35" s="393"/>
      <c r="IP35" s="393"/>
      <c r="IQ35" s="393"/>
      <c r="IR35" s="393"/>
      <c r="IS35" s="393"/>
      <c r="IT35" s="393"/>
      <c r="IU35" s="393"/>
      <c r="IV35" s="393"/>
      <c r="IW35" s="393"/>
    </row>
    <row r="36" customFormat="false" ht="12.75" hidden="false" customHeight="false" outlineLevel="0" collapsed="false">
      <c r="A36" s="279" t="s">
        <v>362</v>
      </c>
      <c r="B36" s="309" t="n">
        <f aca="false">B34</f>
        <v>79110.2147347428</v>
      </c>
      <c r="C36" s="407"/>
      <c r="D36" s="309" t="n">
        <f aca="false">B34-D34</f>
        <v>74873.0306646723</v>
      </c>
      <c r="E36" s="309" t="n">
        <f aca="false">D36-E34</f>
        <v>67002.6518648717</v>
      </c>
      <c r="F36" s="309" t="n">
        <f aca="false">E36-F34</f>
        <v>59851.7093450512</v>
      </c>
      <c r="G36" s="309" t="n">
        <f aca="false">F36-G34</f>
        <v>53344.472970476</v>
      </c>
      <c r="H36" s="309" t="n">
        <f aca="false">G36-H34</f>
        <v>47420.3586333584</v>
      </c>
      <c r="I36" s="309" t="n">
        <f aca="false">H36-I34</f>
        <v>42477.0325727172</v>
      </c>
      <c r="J36" s="309" t="n">
        <f aca="false">I36-J34</f>
        <v>38008.9546233674</v>
      </c>
      <c r="K36" s="309" t="n">
        <f aca="false">J36-K34</f>
        <v>33533.3036605441</v>
      </c>
      <c r="L36" s="309" t="n">
        <f aca="false">K36-L34</f>
        <v>29065.2257111943</v>
      </c>
      <c r="M36" s="309" t="n">
        <f aca="false">L36-M34</f>
        <v>24589.574748371</v>
      </c>
      <c r="N36" s="309" t="n">
        <f aca="false">M36-N34</f>
        <v>20121.4967990212</v>
      </c>
      <c r="O36" s="309" t="n">
        <f aca="false">N36-O34</f>
        <v>15645.8458361979</v>
      </c>
      <c r="P36" s="309" t="n">
        <f aca="false">O36-P34</f>
        <v>11177.767886848</v>
      </c>
      <c r="Q36" s="309" t="n">
        <f aca="false">P36-Q34</f>
        <v>6702.11692402474</v>
      </c>
      <c r="R36" s="309" t="n">
        <f aca="false">Q36-R34</f>
        <v>2234.03897467491</v>
      </c>
      <c r="S36" s="309" t="n">
        <f aca="false">R36-S34</f>
        <v>0</v>
      </c>
      <c r="T36" s="309" t="n">
        <f aca="false">S36-T34</f>
        <v>0</v>
      </c>
      <c r="U36" s="309" t="n">
        <f aca="false">T36-U34</f>
        <v>0</v>
      </c>
      <c r="V36" s="309" t="n">
        <f aca="false">U36-V34</f>
        <v>0</v>
      </c>
      <c r="W36" s="309" t="n">
        <f aca="false">V36-W34</f>
        <v>0</v>
      </c>
      <c r="X36" s="309" t="n">
        <f aca="false">W36-X34</f>
        <v>0</v>
      </c>
      <c r="Y36" s="309" t="n">
        <f aca="false">X36-Y34</f>
        <v>0</v>
      </c>
      <c r="Z36" s="309" t="n">
        <f aca="false">Y36-Z34</f>
        <v>0</v>
      </c>
      <c r="AA36" s="309" t="n">
        <f aca="false">Z36-AA34</f>
        <v>0</v>
      </c>
      <c r="AB36" s="309" t="n">
        <f aca="false">AA36-AB34</f>
        <v>0</v>
      </c>
      <c r="AC36" s="309" t="n">
        <f aca="false">AB36-AC34</f>
        <v>0</v>
      </c>
      <c r="AD36" s="309" t="n">
        <f aca="false">AC36-AD34</f>
        <v>0</v>
      </c>
      <c r="AE36" s="309" t="n">
        <f aca="false">AD36-AE34</f>
        <v>0</v>
      </c>
      <c r="AF36" s="309" t="n">
        <f aca="false">AE36-AF34</f>
        <v>0</v>
      </c>
      <c r="AG36" s="309" t="n">
        <f aca="false">AF36-AG34</f>
        <v>0</v>
      </c>
      <c r="AH36" s="309" t="n">
        <f aca="false">AG36-AH34</f>
        <v>0</v>
      </c>
      <c r="AI36" s="408"/>
      <c r="AJ36" s="408"/>
      <c r="AK36" s="393"/>
      <c r="AL36" s="393"/>
      <c r="AM36" s="393"/>
      <c r="AN36" s="393"/>
      <c r="AO36" s="393"/>
      <c r="AP36" s="393"/>
      <c r="AQ36" s="393"/>
      <c r="AR36" s="393"/>
      <c r="AS36" s="393"/>
      <c r="AT36" s="393"/>
      <c r="AU36" s="393"/>
      <c r="AV36" s="393"/>
      <c r="AW36" s="393"/>
      <c r="AX36" s="393"/>
      <c r="AY36" s="393"/>
      <c r="AZ36" s="393"/>
      <c r="BA36" s="393"/>
      <c r="BB36" s="393"/>
      <c r="BC36" s="393"/>
      <c r="BD36" s="393"/>
      <c r="BE36" s="393"/>
      <c r="BF36" s="393"/>
      <c r="BG36" s="393"/>
      <c r="BH36" s="393"/>
      <c r="BI36" s="393"/>
      <c r="BJ36" s="393"/>
      <c r="BK36" s="393"/>
      <c r="BL36" s="393"/>
      <c r="BM36" s="393"/>
      <c r="BN36" s="393"/>
      <c r="BO36" s="393"/>
      <c r="BP36" s="393"/>
      <c r="BQ36" s="393"/>
      <c r="BR36" s="393"/>
      <c r="BS36" s="393"/>
      <c r="BT36" s="393"/>
      <c r="BU36" s="393"/>
      <c r="BV36" s="393"/>
      <c r="BW36" s="393"/>
      <c r="BX36" s="393"/>
      <c r="BY36" s="393"/>
      <c r="BZ36" s="393"/>
      <c r="CA36" s="393"/>
      <c r="CB36" s="393"/>
      <c r="CC36" s="393"/>
      <c r="CD36" s="393"/>
      <c r="CE36" s="393"/>
      <c r="CF36" s="393"/>
      <c r="CG36" s="393"/>
      <c r="CH36" s="393"/>
      <c r="CI36" s="393"/>
      <c r="CJ36" s="393"/>
      <c r="CK36" s="393"/>
      <c r="CL36" s="393"/>
      <c r="CM36" s="393"/>
      <c r="CN36" s="393"/>
      <c r="CO36" s="393"/>
      <c r="CP36" s="393"/>
      <c r="CQ36" s="393"/>
      <c r="CR36" s="393"/>
      <c r="CS36" s="393"/>
      <c r="CT36" s="393"/>
      <c r="CU36" s="393"/>
      <c r="CV36" s="393"/>
      <c r="CW36" s="393"/>
      <c r="CX36" s="393"/>
      <c r="CY36" s="393"/>
      <c r="CZ36" s="393"/>
      <c r="DA36" s="393"/>
      <c r="DB36" s="393"/>
      <c r="DC36" s="393"/>
      <c r="DD36" s="393"/>
      <c r="DE36" s="393"/>
      <c r="DF36" s="393"/>
      <c r="DG36" s="393"/>
      <c r="DH36" s="393"/>
      <c r="DI36" s="393"/>
      <c r="DJ36" s="393"/>
      <c r="DK36" s="393"/>
      <c r="DL36" s="393"/>
      <c r="DM36" s="393"/>
      <c r="DN36" s="393"/>
      <c r="DO36" s="393"/>
      <c r="DP36" s="393"/>
      <c r="DQ36" s="393"/>
      <c r="DR36" s="393"/>
      <c r="DS36" s="393"/>
      <c r="DT36" s="393"/>
      <c r="DU36" s="393"/>
      <c r="DV36" s="393"/>
      <c r="DW36" s="393"/>
      <c r="DX36" s="393"/>
      <c r="DY36" s="393"/>
      <c r="DZ36" s="393"/>
      <c r="EA36" s="393"/>
      <c r="EB36" s="393"/>
      <c r="EC36" s="393"/>
      <c r="ED36" s="393"/>
      <c r="EE36" s="393"/>
      <c r="EF36" s="393"/>
      <c r="EG36" s="393"/>
      <c r="EH36" s="393"/>
      <c r="EI36" s="393"/>
      <c r="EJ36" s="393"/>
      <c r="EK36" s="393"/>
      <c r="EL36" s="393"/>
      <c r="EM36" s="393"/>
      <c r="EN36" s="393"/>
      <c r="EO36" s="393"/>
      <c r="EP36" s="393"/>
      <c r="EQ36" s="393"/>
      <c r="ER36" s="393"/>
      <c r="ES36" s="393"/>
      <c r="ET36" s="393"/>
      <c r="EU36" s="393"/>
      <c r="EV36" s="393"/>
      <c r="EW36" s="393"/>
      <c r="EX36" s="393"/>
      <c r="EY36" s="393"/>
      <c r="EZ36" s="393"/>
      <c r="FA36" s="393"/>
      <c r="FB36" s="393"/>
      <c r="FC36" s="393"/>
      <c r="FD36" s="393"/>
      <c r="FE36" s="393"/>
      <c r="FF36" s="393"/>
      <c r="FG36" s="393"/>
      <c r="FH36" s="393"/>
      <c r="FI36" s="393"/>
      <c r="FJ36" s="393"/>
      <c r="FK36" s="393"/>
      <c r="FL36" s="393"/>
      <c r="FM36" s="393"/>
      <c r="FN36" s="393"/>
      <c r="FO36" s="393"/>
      <c r="FP36" s="393"/>
      <c r="FQ36" s="393"/>
      <c r="FR36" s="393"/>
      <c r="FS36" s="393"/>
      <c r="FT36" s="393"/>
      <c r="FU36" s="393"/>
      <c r="FV36" s="393"/>
      <c r="FW36" s="393"/>
      <c r="FX36" s="393"/>
      <c r="FY36" s="393"/>
      <c r="FZ36" s="393"/>
      <c r="GA36" s="393"/>
      <c r="GB36" s="393"/>
      <c r="GC36" s="393"/>
      <c r="GD36" s="393"/>
      <c r="GE36" s="393"/>
      <c r="GF36" s="393"/>
      <c r="GG36" s="393"/>
      <c r="GH36" s="393"/>
      <c r="GI36" s="393"/>
      <c r="GJ36" s="393"/>
      <c r="GK36" s="393"/>
      <c r="GL36" s="393"/>
      <c r="GM36" s="393"/>
      <c r="GN36" s="393"/>
      <c r="GO36" s="393"/>
      <c r="GP36" s="393"/>
      <c r="GQ36" s="393"/>
      <c r="GR36" s="393"/>
      <c r="GS36" s="393"/>
      <c r="GT36" s="393"/>
      <c r="GU36" s="393"/>
      <c r="GV36" s="393"/>
      <c r="GW36" s="393"/>
      <c r="GX36" s="393"/>
      <c r="GY36" s="393"/>
      <c r="GZ36" s="393"/>
      <c r="HA36" s="393"/>
      <c r="HB36" s="393"/>
      <c r="HC36" s="393"/>
      <c r="HD36" s="393"/>
      <c r="HE36" s="393"/>
      <c r="HF36" s="393"/>
      <c r="HG36" s="393"/>
      <c r="HH36" s="393"/>
      <c r="HI36" s="393"/>
      <c r="HJ36" s="393"/>
      <c r="HK36" s="393"/>
      <c r="HL36" s="393"/>
      <c r="HM36" s="393"/>
      <c r="HN36" s="393"/>
      <c r="HO36" s="393"/>
      <c r="HP36" s="393"/>
      <c r="HQ36" s="393"/>
      <c r="HR36" s="393"/>
      <c r="HS36" s="393"/>
      <c r="HT36" s="393"/>
      <c r="HU36" s="393"/>
      <c r="HV36" s="393"/>
      <c r="HW36" s="393"/>
      <c r="HX36" s="393"/>
      <c r="HY36" s="393"/>
      <c r="HZ36" s="393"/>
      <c r="IA36" s="393"/>
      <c r="IB36" s="393"/>
      <c r="IC36" s="393"/>
      <c r="ID36" s="393"/>
      <c r="IE36" s="393"/>
      <c r="IF36" s="393"/>
      <c r="IG36" s="393"/>
      <c r="IH36" s="393"/>
      <c r="II36" s="393"/>
      <c r="IJ36" s="393"/>
      <c r="IK36" s="393"/>
      <c r="IL36" s="393"/>
      <c r="IM36" s="393"/>
      <c r="IN36" s="393"/>
      <c r="IO36" s="393"/>
      <c r="IP36" s="393"/>
      <c r="IQ36" s="393"/>
      <c r="IR36" s="393"/>
      <c r="IS36" s="393"/>
      <c r="IT36" s="393"/>
      <c r="IU36" s="393"/>
      <c r="IV36" s="393"/>
      <c r="IW36" s="393"/>
    </row>
    <row r="37" customFormat="false" ht="12.75" hidden="false" customHeight="false" outlineLevel="0" collapsed="false">
      <c r="D37" s="416"/>
      <c r="AI37" s="393"/>
      <c r="AJ37" s="393"/>
      <c r="AK37" s="393"/>
      <c r="AL37" s="393"/>
      <c r="AM37" s="393"/>
      <c r="AN37" s="393"/>
      <c r="AO37" s="393"/>
      <c r="AP37" s="393"/>
      <c r="AQ37" s="393"/>
      <c r="AR37" s="393"/>
      <c r="AS37" s="393"/>
      <c r="AT37" s="393"/>
      <c r="AU37" s="393"/>
      <c r="AV37" s="393"/>
      <c r="AW37" s="393"/>
      <c r="AX37" s="393"/>
      <c r="AY37" s="393"/>
      <c r="AZ37" s="393"/>
      <c r="BA37" s="393"/>
      <c r="BB37" s="393"/>
      <c r="BC37" s="393"/>
      <c r="BD37" s="393"/>
      <c r="BE37" s="393"/>
      <c r="BF37" s="393"/>
      <c r="BG37" s="393"/>
      <c r="BH37" s="393"/>
      <c r="BI37" s="393"/>
      <c r="BJ37" s="393"/>
      <c r="BK37" s="393"/>
      <c r="BL37" s="393"/>
      <c r="BM37" s="393"/>
      <c r="BN37" s="393"/>
      <c r="BO37" s="393"/>
      <c r="BP37" s="393"/>
      <c r="BQ37" s="393"/>
      <c r="BR37" s="393"/>
      <c r="BS37" s="393"/>
      <c r="BT37" s="393"/>
      <c r="BU37" s="393"/>
      <c r="BV37" s="393"/>
      <c r="BW37" s="393"/>
      <c r="BX37" s="393"/>
      <c r="BY37" s="393"/>
      <c r="BZ37" s="393"/>
      <c r="CA37" s="393"/>
      <c r="CB37" s="393"/>
      <c r="CC37" s="393"/>
      <c r="CD37" s="393"/>
      <c r="CE37" s="393"/>
      <c r="CF37" s="393"/>
      <c r="CG37" s="393"/>
      <c r="CH37" s="393"/>
      <c r="CI37" s="393"/>
      <c r="CJ37" s="393"/>
      <c r="CK37" s="393"/>
      <c r="CL37" s="393"/>
      <c r="CM37" s="393"/>
      <c r="CN37" s="393"/>
      <c r="CO37" s="393"/>
      <c r="CP37" s="393"/>
      <c r="CQ37" s="393"/>
      <c r="CR37" s="393"/>
      <c r="CS37" s="393"/>
      <c r="CT37" s="393"/>
      <c r="CU37" s="393"/>
      <c r="CV37" s="393"/>
      <c r="CW37" s="393"/>
      <c r="CX37" s="393"/>
      <c r="CY37" s="393"/>
      <c r="CZ37" s="393"/>
      <c r="DA37" s="393"/>
      <c r="DB37" s="393"/>
      <c r="DC37" s="393"/>
      <c r="DD37" s="393"/>
      <c r="DE37" s="393"/>
      <c r="DF37" s="393"/>
      <c r="DG37" s="393"/>
      <c r="DH37" s="393"/>
      <c r="DI37" s="393"/>
      <c r="DJ37" s="393"/>
      <c r="DK37" s="393"/>
      <c r="DL37" s="393"/>
      <c r="DM37" s="393"/>
      <c r="DN37" s="393"/>
      <c r="DO37" s="393"/>
      <c r="DP37" s="393"/>
      <c r="DQ37" s="393"/>
      <c r="DR37" s="393"/>
      <c r="DS37" s="393"/>
      <c r="DT37" s="393"/>
      <c r="DU37" s="393"/>
      <c r="DV37" s="393"/>
      <c r="DW37" s="393"/>
      <c r="DX37" s="393"/>
      <c r="DY37" s="393"/>
      <c r="DZ37" s="393"/>
      <c r="EA37" s="393"/>
      <c r="EB37" s="393"/>
      <c r="EC37" s="393"/>
      <c r="ED37" s="393"/>
      <c r="EE37" s="393"/>
      <c r="EF37" s="393"/>
      <c r="EG37" s="393"/>
      <c r="EH37" s="393"/>
      <c r="EI37" s="393"/>
      <c r="EJ37" s="393"/>
      <c r="EK37" s="393"/>
      <c r="EL37" s="393"/>
      <c r="EM37" s="393"/>
      <c r="EN37" s="393"/>
      <c r="EO37" s="393"/>
      <c r="EP37" s="393"/>
      <c r="EQ37" s="393"/>
      <c r="ER37" s="393"/>
      <c r="ES37" s="393"/>
      <c r="ET37" s="393"/>
      <c r="EU37" s="393"/>
      <c r="EV37" s="393"/>
      <c r="EW37" s="393"/>
      <c r="EX37" s="393"/>
      <c r="EY37" s="393"/>
      <c r="EZ37" s="393"/>
      <c r="FA37" s="393"/>
      <c r="FB37" s="393"/>
      <c r="FC37" s="393"/>
      <c r="FD37" s="393"/>
      <c r="FE37" s="393"/>
      <c r="FF37" s="393"/>
      <c r="FG37" s="393"/>
      <c r="FH37" s="393"/>
      <c r="FI37" s="393"/>
      <c r="FJ37" s="393"/>
      <c r="FK37" s="393"/>
      <c r="FL37" s="393"/>
      <c r="FM37" s="393"/>
      <c r="FN37" s="393"/>
      <c r="FO37" s="393"/>
      <c r="FP37" s="393"/>
      <c r="FQ37" s="393"/>
      <c r="FR37" s="393"/>
      <c r="FS37" s="393"/>
      <c r="FT37" s="393"/>
      <c r="FU37" s="393"/>
      <c r="FV37" s="393"/>
      <c r="FW37" s="393"/>
      <c r="FX37" s="393"/>
      <c r="FY37" s="393"/>
      <c r="FZ37" s="393"/>
      <c r="GA37" s="393"/>
      <c r="GB37" s="393"/>
      <c r="GC37" s="393"/>
      <c r="GD37" s="393"/>
      <c r="GE37" s="393"/>
      <c r="GF37" s="393"/>
      <c r="GG37" s="393"/>
      <c r="GH37" s="393"/>
      <c r="GI37" s="393"/>
      <c r="GJ37" s="393"/>
      <c r="GK37" s="393"/>
      <c r="GL37" s="393"/>
      <c r="GM37" s="393"/>
      <c r="GN37" s="393"/>
      <c r="GO37" s="393"/>
      <c r="GP37" s="393"/>
      <c r="GQ37" s="393"/>
      <c r="GR37" s="393"/>
      <c r="GS37" s="393"/>
      <c r="GT37" s="393"/>
      <c r="GU37" s="393"/>
      <c r="GV37" s="393"/>
      <c r="GW37" s="393"/>
      <c r="GX37" s="393"/>
      <c r="GY37" s="393"/>
      <c r="GZ37" s="393"/>
      <c r="HA37" s="393"/>
      <c r="HB37" s="393"/>
      <c r="HC37" s="393"/>
      <c r="HD37" s="393"/>
      <c r="HE37" s="393"/>
      <c r="HF37" s="393"/>
      <c r="HG37" s="393"/>
      <c r="HH37" s="393"/>
      <c r="HI37" s="393"/>
      <c r="HJ37" s="393"/>
      <c r="HK37" s="393"/>
      <c r="HL37" s="393"/>
      <c r="HM37" s="393"/>
      <c r="HN37" s="393"/>
      <c r="HO37" s="393"/>
      <c r="HP37" s="393"/>
      <c r="HQ37" s="393"/>
      <c r="HR37" s="393"/>
      <c r="HS37" s="393"/>
      <c r="HT37" s="393"/>
      <c r="HU37" s="393"/>
      <c r="HV37" s="393"/>
      <c r="HW37" s="393"/>
      <c r="HX37" s="393"/>
      <c r="HY37" s="393"/>
      <c r="HZ37" s="393"/>
      <c r="IA37" s="393"/>
      <c r="IB37" s="393"/>
      <c r="IC37" s="393"/>
      <c r="ID37" s="393"/>
      <c r="IE37" s="393"/>
      <c r="IF37" s="393"/>
      <c r="IG37" s="393"/>
      <c r="IH37" s="393"/>
      <c r="II37" s="393"/>
      <c r="IJ37" s="393"/>
      <c r="IK37" s="393"/>
      <c r="IL37" s="393"/>
      <c r="IM37" s="393"/>
      <c r="IN37" s="393"/>
      <c r="IO37" s="393"/>
      <c r="IP37" s="393"/>
      <c r="IQ37" s="393"/>
      <c r="IR37" s="393"/>
      <c r="IS37" s="393"/>
      <c r="IT37" s="393"/>
      <c r="IU37" s="393"/>
      <c r="IV37" s="393"/>
      <c r="IW37" s="393"/>
    </row>
    <row r="38" customFormat="false" ht="12.75" hidden="false" customHeight="false" outlineLevel="0" collapsed="false">
      <c r="B38" s="393"/>
      <c r="C38" s="393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393"/>
      <c r="AJ38" s="393"/>
      <c r="AK38" s="393"/>
      <c r="AL38" s="393"/>
      <c r="AM38" s="393"/>
      <c r="AN38" s="393"/>
      <c r="AO38" s="393"/>
      <c r="AP38" s="393"/>
      <c r="AQ38" s="393"/>
      <c r="AR38" s="393"/>
      <c r="AS38" s="393"/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  <c r="BM38" s="393"/>
      <c r="BN38" s="393"/>
      <c r="BO38" s="393"/>
      <c r="BP38" s="393"/>
      <c r="BQ38" s="393"/>
      <c r="BR38" s="393"/>
      <c r="BS38" s="393"/>
      <c r="BT38" s="393"/>
      <c r="BU38" s="393"/>
      <c r="BV38" s="393"/>
      <c r="BW38" s="393"/>
      <c r="BX38" s="393"/>
      <c r="BY38" s="393"/>
      <c r="BZ38" s="393"/>
      <c r="CA38" s="393"/>
      <c r="CB38" s="393"/>
      <c r="CC38" s="393"/>
      <c r="CD38" s="393"/>
      <c r="CE38" s="393"/>
      <c r="CF38" s="393"/>
      <c r="CG38" s="393"/>
      <c r="CH38" s="393"/>
      <c r="CI38" s="393"/>
      <c r="CJ38" s="393"/>
      <c r="CK38" s="393"/>
      <c r="CL38" s="393"/>
      <c r="CM38" s="393"/>
      <c r="CN38" s="393"/>
      <c r="CO38" s="393"/>
      <c r="CP38" s="393"/>
      <c r="CQ38" s="393"/>
      <c r="CR38" s="393"/>
      <c r="CS38" s="393"/>
      <c r="CT38" s="393"/>
      <c r="CU38" s="393"/>
      <c r="CV38" s="393"/>
      <c r="CW38" s="393"/>
      <c r="CX38" s="393"/>
      <c r="CY38" s="393"/>
      <c r="CZ38" s="393"/>
      <c r="DA38" s="393"/>
      <c r="DB38" s="393"/>
      <c r="DC38" s="393"/>
      <c r="DD38" s="393"/>
      <c r="DE38" s="393"/>
      <c r="DF38" s="393"/>
      <c r="DG38" s="393"/>
      <c r="DH38" s="393"/>
      <c r="DI38" s="393"/>
      <c r="DJ38" s="393"/>
      <c r="DK38" s="393"/>
      <c r="DL38" s="393"/>
      <c r="DM38" s="393"/>
      <c r="DN38" s="393"/>
      <c r="DO38" s="393"/>
      <c r="DP38" s="393"/>
      <c r="DQ38" s="393"/>
      <c r="DR38" s="393"/>
      <c r="DS38" s="393"/>
      <c r="DT38" s="393"/>
      <c r="DU38" s="393"/>
      <c r="DV38" s="393"/>
      <c r="DW38" s="393"/>
      <c r="DX38" s="393"/>
      <c r="DY38" s="393"/>
      <c r="DZ38" s="393"/>
      <c r="EA38" s="393"/>
      <c r="EB38" s="393"/>
      <c r="EC38" s="393"/>
      <c r="ED38" s="393"/>
      <c r="EE38" s="393"/>
      <c r="EF38" s="393"/>
      <c r="EG38" s="393"/>
      <c r="EH38" s="393"/>
      <c r="EI38" s="393"/>
      <c r="EJ38" s="393"/>
      <c r="EK38" s="393"/>
      <c r="EL38" s="393"/>
      <c r="EM38" s="393"/>
      <c r="EN38" s="393"/>
      <c r="EO38" s="393"/>
      <c r="EP38" s="393"/>
      <c r="EQ38" s="393"/>
      <c r="ER38" s="393"/>
      <c r="ES38" s="393"/>
      <c r="ET38" s="393"/>
      <c r="EU38" s="393"/>
      <c r="EV38" s="393"/>
      <c r="EW38" s="393"/>
      <c r="EX38" s="393"/>
      <c r="EY38" s="393"/>
      <c r="EZ38" s="393"/>
      <c r="FA38" s="393"/>
      <c r="FB38" s="393"/>
      <c r="FC38" s="393"/>
      <c r="FD38" s="393"/>
      <c r="FE38" s="393"/>
      <c r="FF38" s="393"/>
      <c r="FG38" s="393"/>
      <c r="FH38" s="393"/>
      <c r="FI38" s="393"/>
      <c r="FJ38" s="393"/>
      <c r="FK38" s="393"/>
      <c r="FL38" s="393"/>
      <c r="FM38" s="393"/>
      <c r="FN38" s="393"/>
      <c r="FO38" s="393"/>
      <c r="FP38" s="393"/>
      <c r="FQ38" s="393"/>
      <c r="FR38" s="393"/>
      <c r="FS38" s="393"/>
      <c r="FT38" s="393"/>
      <c r="FU38" s="393"/>
      <c r="FV38" s="393"/>
      <c r="FW38" s="393"/>
      <c r="FX38" s="393"/>
      <c r="FY38" s="393"/>
      <c r="FZ38" s="393"/>
      <c r="GA38" s="393"/>
      <c r="GB38" s="393"/>
      <c r="GC38" s="393"/>
      <c r="GD38" s="393"/>
      <c r="GE38" s="393"/>
      <c r="GF38" s="393"/>
      <c r="GG38" s="393"/>
      <c r="GH38" s="393"/>
      <c r="GI38" s="393"/>
      <c r="GJ38" s="393"/>
      <c r="GK38" s="393"/>
      <c r="GL38" s="393"/>
      <c r="GM38" s="393"/>
      <c r="GN38" s="393"/>
      <c r="GO38" s="393"/>
      <c r="GP38" s="393"/>
      <c r="GQ38" s="393"/>
      <c r="GR38" s="393"/>
      <c r="GS38" s="393"/>
      <c r="GT38" s="393"/>
      <c r="GU38" s="393"/>
      <c r="GV38" s="393"/>
      <c r="GW38" s="393"/>
      <c r="GX38" s="393"/>
      <c r="GY38" s="393"/>
      <c r="GZ38" s="393"/>
      <c r="HA38" s="393"/>
      <c r="HB38" s="393"/>
      <c r="HC38" s="393"/>
      <c r="HD38" s="393"/>
      <c r="HE38" s="393"/>
      <c r="HF38" s="393"/>
      <c r="HG38" s="393"/>
      <c r="HH38" s="393"/>
      <c r="HI38" s="393"/>
      <c r="HJ38" s="393"/>
      <c r="HK38" s="393"/>
      <c r="HL38" s="393"/>
      <c r="HM38" s="393"/>
      <c r="HN38" s="393"/>
      <c r="HO38" s="393"/>
      <c r="HP38" s="393"/>
      <c r="HQ38" s="393"/>
      <c r="HR38" s="393"/>
      <c r="HS38" s="393"/>
      <c r="HT38" s="393"/>
      <c r="HU38" s="393"/>
      <c r="HV38" s="393"/>
      <c r="HW38" s="393"/>
      <c r="HX38" s="393"/>
      <c r="HY38" s="393"/>
      <c r="HZ38" s="393"/>
      <c r="IA38" s="393"/>
      <c r="IB38" s="393"/>
      <c r="IC38" s="393"/>
      <c r="ID38" s="393"/>
      <c r="IE38" s="393"/>
      <c r="IF38" s="393"/>
      <c r="IG38" s="393"/>
      <c r="IH38" s="393"/>
      <c r="II38" s="393"/>
      <c r="IJ38" s="393"/>
      <c r="IK38" s="393"/>
      <c r="IL38" s="393"/>
      <c r="IM38" s="393"/>
      <c r="IN38" s="393"/>
      <c r="IO38" s="393"/>
      <c r="IP38" s="393"/>
      <c r="IQ38" s="393"/>
      <c r="IR38" s="393"/>
      <c r="IS38" s="393"/>
      <c r="IT38" s="393"/>
      <c r="IU38" s="393"/>
      <c r="IV38" s="393"/>
      <c r="IW38" s="393"/>
    </row>
    <row r="39" customFormat="false" ht="12.75" hidden="false" customHeight="false" outlineLevel="0" collapsed="false">
      <c r="A39" s="390" t="s">
        <v>364</v>
      </c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393"/>
      <c r="AK39" s="393"/>
      <c r="AL39" s="393"/>
      <c r="AM39" s="393"/>
      <c r="AN39" s="393"/>
      <c r="AO39" s="393"/>
      <c r="AP39" s="393"/>
      <c r="AQ39" s="393"/>
      <c r="AR39" s="393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393"/>
      <c r="BN39" s="393"/>
      <c r="BO39" s="393"/>
      <c r="BP39" s="393"/>
      <c r="BQ39" s="393"/>
      <c r="BR39" s="393"/>
      <c r="BS39" s="393"/>
      <c r="BT39" s="393"/>
      <c r="BU39" s="393"/>
      <c r="BV39" s="393"/>
      <c r="BW39" s="393"/>
      <c r="BX39" s="393"/>
      <c r="BY39" s="393"/>
      <c r="BZ39" s="393"/>
      <c r="CA39" s="393"/>
      <c r="CB39" s="393"/>
      <c r="CC39" s="393"/>
      <c r="CD39" s="393"/>
      <c r="CE39" s="393"/>
      <c r="CF39" s="393"/>
      <c r="CG39" s="393"/>
      <c r="CH39" s="393"/>
      <c r="CI39" s="393"/>
      <c r="CJ39" s="393"/>
      <c r="CK39" s="393"/>
      <c r="CL39" s="393"/>
      <c r="CM39" s="393"/>
      <c r="CN39" s="393"/>
      <c r="CO39" s="393"/>
      <c r="CP39" s="393"/>
      <c r="CQ39" s="393"/>
      <c r="CR39" s="393"/>
      <c r="CS39" s="393"/>
      <c r="CT39" s="393"/>
      <c r="CU39" s="393"/>
      <c r="CV39" s="393"/>
      <c r="CW39" s="393"/>
      <c r="CX39" s="393"/>
      <c r="CY39" s="393"/>
      <c r="CZ39" s="393"/>
      <c r="DA39" s="393"/>
      <c r="DB39" s="393"/>
      <c r="DC39" s="393"/>
      <c r="DD39" s="393"/>
      <c r="DE39" s="393"/>
      <c r="DF39" s="393"/>
      <c r="DG39" s="393"/>
      <c r="DH39" s="393"/>
      <c r="DI39" s="393"/>
      <c r="DJ39" s="393"/>
      <c r="DK39" s="393"/>
      <c r="DL39" s="393"/>
      <c r="DM39" s="393"/>
      <c r="DN39" s="393"/>
      <c r="DO39" s="393"/>
      <c r="DP39" s="393"/>
      <c r="DQ39" s="393"/>
      <c r="DR39" s="393"/>
      <c r="DS39" s="393"/>
      <c r="DT39" s="393"/>
      <c r="DU39" s="393"/>
      <c r="DV39" s="393"/>
      <c r="DW39" s="393"/>
      <c r="DX39" s="393"/>
      <c r="DY39" s="393"/>
      <c r="DZ39" s="393"/>
      <c r="EA39" s="393"/>
      <c r="EB39" s="393"/>
      <c r="EC39" s="393"/>
      <c r="ED39" s="393"/>
      <c r="EE39" s="393"/>
      <c r="EF39" s="393"/>
      <c r="EG39" s="393"/>
      <c r="EH39" s="393"/>
      <c r="EI39" s="393"/>
      <c r="EJ39" s="393"/>
      <c r="EK39" s="393"/>
      <c r="EL39" s="393"/>
      <c r="EM39" s="393"/>
      <c r="EN39" s="393"/>
      <c r="EO39" s="393"/>
      <c r="EP39" s="393"/>
      <c r="EQ39" s="393"/>
      <c r="ER39" s="393"/>
      <c r="ES39" s="393"/>
      <c r="ET39" s="393"/>
      <c r="EU39" s="393"/>
      <c r="EV39" s="393"/>
      <c r="EW39" s="393"/>
      <c r="EX39" s="393"/>
      <c r="EY39" s="393"/>
      <c r="EZ39" s="393"/>
      <c r="FA39" s="393"/>
      <c r="FB39" s="393"/>
      <c r="FC39" s="393"/>
      <c r="FD39" s="393"/>
      <c r="FE39" s="393"/>
      <c r="FF39" s="393"/>
      <c r="FG39" s="393"/>
      <c r="FH39" s="393"/>
      <c r="FI39" s="393"/>
      <c r="FJ39" s="393"/>
      <c r="FK39" s="393"/>
      <c r="FL39" s="393"/>
      <c r="FM39" s="393"/>
      <c r="FN39" s="393"/>
      <c r="FO39" s="393"/>
      <c r="FP39" s="393"/>
      <c r="FQ39" s="393"/>
      <c r="FR39" s="393"/>
      <c r="FS39" s="393"/>
      <c r="FT39" s="393"/>
      <c r="FU39" s="393"/>
      <c r="FV39" s="393"/>
      <c r="FW39" s="393"/>
      <c r="FX39" s="393"/>
      <c r="FY39" s="393"/>
      <c r="FZ39" s="393"/>
      <c r="GA39" s="393"/>
      <c r="GB39" s="393"/>
      <c r="GC39" s="393"/>
      <c r="GD39" s="393"/>
      <c r="GE39" s="393"/>
      <c r="GF39" s="393"/>
      <c r="GG39" s="393"/>
      <c r="GH39" s="393"/>
      <c r="GI39" s="393"/>
      <c r="GJ39" s="393"/>
      <c r="GK39" s="393"/>
      <c r="GL39" s="393"/>
      <c r="GM39" s="393"/>
      <c r="GN39" s="393"/>
      <c r="GO39" s="393"/>
      <c r="GP39" s="393"/>
      <c r="GQ39" s="393"/>
      <c r="GR39" s="393"/>
      <c r="GS39" s="393"/>
      <c r="GT39" s="393"/>
      <c r="GU39" s="393"/>
      <c r="GV39" s="393"/>
      <c r="GW39" s="393"/>
      <c r="GX39" s="393"/>
      <c r="GY39" s="393"/>
      <c r="GZ39" s="393"/>
      <c r="HA39" s="393"/>
      <c r="HB39" s="393"/>
      <c r="HC39" s="393"/>
      <c r="HD39" s="393"/>
      <c r="HE39" s="393"/>
      <c r="HF39" s="393"/>
      <c r="HG39" s="393"/>
      <c r="HH39" s="393"/>
      <c r="HI39" s="393"/>
      <c r="HJ39" s="393"/>
      <c r="HK39" s="393"/>
      <c r="HL39" s="393"/>
      <c r="HM39" s="393"/>
      <c r="HN39" s="393"/>
      <c r="HO39" s="393"/>
      <c r="HP39" s="393"/>
      <c r="HQ39" s="393"/>
      <c r="HR39" s="393"/>
      <c r="HS39" s="393"/>
      <c r="HT39" s="393"/>
      <c r="HU39" s="393"/>
      <c r="HV39" s="393"/>
      <c r="HW39" s="393"/>
      <c r="HX39" s="393"/>
      <c r="HY39" s="393"/>
      <c r="HZ39" s="393"/>
      <c r="IA39" s="393"/>
      <c r="IB39" s="393"/>
      <c r="IC39" s="393"/>
      <c r="ID39" s="393"/>
      <c r="IE39" s="393"/>
      <c r="IF39" s="393"/>
      <c r="IG39" s="393"/>
      <c r="IH39" s="393"/>
      <c r="II39" s="393"/>
      <c r="IJ39" s="393"/>
      <c r="IK39" s="393"/>
      <c r="IL39" s="393"/>
      <c r="IM39" s="393"/>
      <c r="IN39" s="393"/>
      <c r="IO39" s="393"/>
      <c r="IP39" s="393"/>
      <c r="IQ39" s="393"/>
      <c r="IR39" s="393"/>
      <c r="IS39" s="393"/>
      <c r="IT39" s="393"/>
      <c r="IU39" s="393"/>
      <c r="IV39" s="393"/>
      <c r="IW39" s="393"/>
    </row>
    <row r="40" customFormat="false" ht="12.75" hidden="false" customHeight="false" outlineLevel="0" collapsed="false">
      <c r="A40" s="390"/>
      <c r="B40" s="394" t="s">
        <v>357</v>
      </c>
      <c r="C40" s="418" t="s">
        <v>365</v>
      </c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393"/>
      <c r="AK40" s="393"/>
      <c r="AL40" s="393"/>
      <c r="AM40" s="393"/>
      <c r="AN40" s="393"/>
      <c r="AO40" s="393"/>
      <c r="AP40" s="393"/>
      <c r="AQ40" s="393"/>
      <c r="AR40" s="393"/>
      <c r="AS40" s="393"/>
      <c r="AT40" s="393"/>
      <c r="AU40" s="393"/>
      <c r="AV40" s="393"/>
      <c r="AW40" s="393"/>
      <c r="AX40" s="393"/>
      <c r="AY40" s="393"/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  <c r="BO40" s="393"/>
      <c r="BP40" s="393"/>
      <c r="BQ40" s="393"/>
      <c r="BR40" s="393"/>
      <c r="BS40" s="393"/>
      <c r="BT40" s="393"/>
      <c r="BU40" s="393"/>
      <c r="BV40" s="393"/>
      <c r="BW40" s="393"/>
      <c r="BX40" s="393"/>
      <c r="BY40" s="393"/>
      <c r="BZ40" s="393"/>
      <c r="CA40" s="393"/>
      <c r="CB40" s="393"/>
      <c r="CC40" s="393"/>
      <c r="CD40" s="393"/>
      <c r="CE40" s="393"/>
      <c r="CF40" s="393"/>
      <c r="CG40" s="393"/>
      <c r="CH40" s="393"/>
      <c r="CI40" s="393"/>
      <c r="CJ40" s="393"/>
      <c r="CK40" s="393"/>
      <c r="CL40" s="393"/>
      <c r="CM40" s="393"/>
      <c r="CN40" s="393"/>
      <c r="CO40" s="393"/>
      <c r="CP40" s="393"/>
      <c r="CQ40" s="393"/>
      <c r="CR40" s="393"/>
      <c r="CS40" s="393"/>
      <c r="CT40" s="393"/>
      <c r="CU40" s="393"/>
      <c r="CV40" s="393"/>
      <c r="CW40" s="393"/>
      <c r="CX40" s="393"/>
      <c r="CY40" s="393"/>
      <c r="CZ40" s="393"/>
      <c r="DA40" s="393"/>
      <c r="DB40" s="393"/>
      <c r="DC40" s="393"/>
      <c r="DD40" s="393"/>
      <c r="DE40" s="393"/>
      <c r="DF40" s="393"/>
      <c r="DG40" s="393"/>
      <c r="DH40" s="393"/>
      <c r="DI40" s="393"/>
      <c r="DJ40" s="393"/>
      <c r="DK40" s="393"/>
      <c r="DL40" s="393"/>
      <c r="DM40" s="393"/>
      <c r="DN40" s="393"/>
      <c r="DO40" s="393"/>
      <c r="DP40" s="393"/>
      <c r="DQ40" s="393"/>
      <c r="DR40" s="393"/>
      <c r="DS40" s="393"/>
      <c r="DT40" s="393"/>
      <c r="DU40" s="393"/>
      <c r="DV40" s="393"/>
      <c r="DW40" s="393"/>
      <c r="DX40" s="393"/>
      <c r="DY40" s="393"/>
      <c r="DZ40" s="393"/>
      <c r="EA40" s="393"/>
      <c r="EB40" s="393"/>
      <c r="EC40" s="393"/>
      <c r="ED40" s="393"/>
      <c r="EE40" s="393"/>
      <c r="EF40" s="393"/>
      <c r="EG40" s="393"/>
      <c r="EH40" s="393"/>
      <c r="EI40" s="393"/>
      <c r="EJ40" s="393"/>
      <c r="EK40" s="393"/>
      <c r="EL40" s="393"/>
      <c r="EM40" s="393"/>
      <c r="EN40" s="393"/>
      <c r="EO40" s="393"/>
      <c r="EP40" s="393"/>
      <c r="EQ40" s="393"/>
      <c r="ER40" s="393"/>
      <c r="ES40" s="393"/>
      <c r="ET40" s="393"/>
      <c r="EU40" s="393"/>
      <c r="EV40" s="393"/>
      <c r="EW40" s="393"/>
      <c r="EX40" s="393"/>
      <c r="EY40" s="393"/>
      <c r="EZ40" s="393"/>
      <c r="FA40" s="393"/>
      <c r="FB40" s="393"/>
      <c r="FC40" s="393"/>
      <c r="FD40" s="393"/>
      <c r="FE40" s="393"/>
      <c r="FF40" s="393"/>
      <c r="FG40" s="393"/>
      <c r="FH40" s="393"/>
      <c r="FI40" s="393"/>
      <c r="FJ40" s="393"/>
      <c r="FK40" s="393"/>
      <c r="FL40" s="393"/>
      <c r="FM40" s="393"/>
      <c r="FN40" s="393"/>
      <c r="FO40" s="393"/>
      <c r="FP40" s="393"/>
      <c r="FQ40" s="393"/>
      <c r="FR40" s="393"/>
      <c r="FS40" s="393"/>
      <c r="FT40" s="393"/>
      <c r="FU40" s="393"/>
      <c r="FV40" s="393"/>
      <c r="FW40" s="393"/>
      <c r="FX40" s="393"/>
      <c r="FY40" s="393"/>
      <c r="FZ40" s="393"/>
      <c r="GA40" s="393"/>
      <c r="GB40" s="393"/>
      <c r="GC40" s="393"/>
      <c r="GD40" s="393"/>
      <c r="GE40" s="393"/>
      <c r="GF40" s="393"/>
      <c r="GG40" s="393"/>
      <c r="GH40" s="393"/>
      <c r="GI40" s="393"/>
      <c r="GJ40" s="393"/>
      <c r="GK40" s="393"/>
      <c r="GL40" s="393"/>
      <c r="GM40" s="393"/>
      <c r="GN40" s="393"/>
      <c r="GO40" s="393"/>
      <c r="GP40" s="393"/>
      <c r="GQ40" s="393"/>
      <c r="GR40" s="393"/>
      <c r="GS40" s="393"/>
      <c r="GT40" s="393"/>
      <c r="GU40" s="393"/>
      <c r="GV40" s="393"/>
      <c r="GW40" s="393"/>
      <c r="GX40" s="393"/>
      <c r="GY40" s="393"/>
      <c r="GZ40" s="393"/>
      <c r="HA40" s="393"/>
      <c r="HB40" s="393"/>
      <c r="HC40" s="393"/>
      <c r="HD40" s="393"/>
      <c r="HE40" s="393"/>
      <c r="HF40" s="393"/>
      <c r="HG40" s="393"/>
      <c r="HH40" s="393"/>
      <c r="HI40" s="393"/>
      <c r="HJ40" s="393"/>
      <c r="HK40" s="393"/>
      <c r="HL40" s="393"/>
      <c r="HM40" s="393"/>
      <c r="HN40" s="393"/>
      <c r="HO40" s="393"/>
      <c r="HP40" s="393"/>
      <c r="HQ40" s="393"/>
      <c r="HR40" s="393"/>
      <c r="HS40" s="393"/>
      <c r="HT40" s="393"/>
      <c r="HU40" s="393"/>
      <c r="HV40" s="393"/>
      <c r="HW40" s="393"/>
      <c r="HX40" s="393"/>
      <c r="HY40" s="393"/>
      <c r="HZ40" s="393"/>
      <c r="IA40" s="393"/>
      <c r="IB40" s="393"/>
      <c r="IC40" s="393"/>
      <c r="ID40" s="393"/>
      <c r="IE40" s="393"/>
      <c r="IF40" s="393"/>
      <c r="IG40" s="393"/>
      <c r="IH40" s="393"/>
      <c r="II40" s="393"/>
      <c r="IJ40" s="393"/>
      <c r="IK40" s="393"/>
      <c r="IL40" s="393"/>
      <c r="IM40" s="393"/>
      <c r="IN40" s="393"/>
      <c r="IO40" s="393"/>
      <c r="IP40" s="393"/>
      <c r="IQ40" s="393"/>
      <c r="IR40" s="393"/>
      <c r="IS40" s="393"/>
      <c r="IT40" s="393"/>
      <c r="IU40" s="393"/>
      <c r="IV40" s="393"/>
      <c r="IW40" s="393"/>
    </row>
    <row r="41" customFormat="false" ht="12.75" hidden="false" customHeight="false" outlineLevel="0" collapsed="false">
      <c r="A41" s="397" t="s">
        <v>358</v>
      </c>
      <c r="B41" s="398" t="n">
        <f aca="false">Assumptions!$N$53</f>
        <v>30</v>
      </c>
      <c r="C41" s="419" t="n">
        <f aca="false">Assumptions!P53</f>
        <v>0.1</v>
      </c>
      <c r="D41" s="395" t="n">
        <f aca="false">1/Assumptions!$N$53*D6*(1-$C$41)</f>
        <v>0.02</v>
      </c>
      <c r="E41" s="395" t="n">
        <f aca="false">IF(AND(E6&gt;=Assumptions!$N$53,D6&lt;Assumptions!$N$53),1/Assumptions!$N$53*(1-$C$41)-Depreciation!$D$41,IF(AND(D6&gt;Assumptions!$N$53,E6&lt;Assumptions!$N$53),0,1/Assumptions!$N$53*(1-$C$41)))</f>
        <v>0.03</v>
      </c>
      <c r="F41" s="395" t="n">
        <f aca="false">IF(AND(F6&gt;=Assumptions!$N$53,E6&lt;Assumptions!$N$53),1/Assumptions!$N$53*(1-$C$41)-Depreciation!$D$41,IF(AND(E6&gt;Assumptions!$N$53,F6&lt;Assumptions!$N$53),0,1/Assumptions!$N$53*(1-$C$41)))</f>
        <v>0.03</v>
      </c>
      <c r="G41" s="395" t="n">
        <f aca="false">IF(AND(G6&gt;=Assumptions!$N$53,F6&lt;Assumptions!$N$53),1/Assumptions!$N$53*(1-$C$41)-Depreciation!$D$41,IF(AND(F6&gt;Assumptions!$N$53,G6&lt;Assumptions!$N$53),0,1/Assumptions!$N$53*(1-$C$41)))</f>
        <v>0.03</v>
      </c>
      <c r="H41" s="395" t="n">
        <f aca="false">IF(AND(H6&gt;=Assumptions!$N$53,G6&lt;Assumptions!$N$53),1/Assumptions!$N$53*(1-$C$41)-Depreciation!$D$41,IF(AND(G6&gt;Assumptions!$N$53,H6&lt;Assumptions!$N$53),0,1/Assumptions!$N$53*(1-$C$41)))</f>
        <v>0.03</v>
      </c>
      <c r="I41" s="395" t="n">
        <f aca="false">IF(AND(I6&gt;=Assumptions!$N$53,H6&lt;Assumptions!$N$53),1/Assumptions!$N$53*(1-$C$41)-Depreciation!$D$41,IF(AND(H6&gt;Assumptions!$N$53,I6&lt;Assumptions!$N$53),0,1/Assumptions!$N$53*(1-$C$41)))</f>
        <v>0.03</v>
      </c>
      <c r="J41" s="395" t="n">
        <f aca="false">IF(AND(J6&gt;=Assumptions!$N$53,I6&lt;Assumptions!$N$53),1/Assumptions!$N$53*(1-$C$41)-Depreciation!$D$41,IF(AND(I6&gt;Assumptions!$N$53,J6&lt;Assumptions!$N$53),0,1/Assumptions!$N$53*(1-$C$41)))</f>
        <v>0.03</v>
      </c>
      <c r="K41" s="395" t="n">
        <f aca="false">IF(AND(K6&gt;=Assumptions!$N$53,J6&lt;Assumptions!$N$53),1/Assumptions!$N$53*(1-$C$41)-Depreciation!$D$41,IF(AND(J6&gt;Assumptions!$N$53,K6&lt;Assumptions!$N$53),0,1/Assumptions!$N$53*(1-$C$41)))</f>
        <v>0.03</v>
      </c>
      <c r="L41" s="395" t="n">
        <f aca="false">IF(AND(L6&gt;=Assumptions!$N$53,K6&lt;Assumptions!$N$53),1/Assumptions!$N$53*(1-$C$41)-Depreciation!$D$41,IF(AND(K6&gt;Assumptions!$N$53,L6&lt;Assumptions!$N$53),0,1/Assumptions!$N$53*(1-$C$41)))</f>
        <v>0.03</v>
      </c>
      <c r="M41" s="395" t="n">
        <f aca="false">IF(AND(M6&gt;=Assumptions!$N$53,L6&lt;Assumptions!$N$53),1/Assumptions!$N$53*(1-$C$41)-Depreciation!$D$41,IF(AND(L6&gt;Assumptions!$N$53,M6&lt;Assumptions!$N$53),0,1/Assumptions!$N$53*(1-$C$41)))</f>
        <v>0.03</v>
      </c>
      <c r="N41" s="395" t="n">
        <f aca="false">IF(AND(N6&gt;=Assumptions!$N$53,M6&lt;Assumptions!$N$53),1/Assumptions!$N$53*(1-$C$41)-Depreciation!$D$41,IF(AND(M6&gt;Assumptions!$N$53,N6&lt;Assumptions!$N$53),0,1/Assumptions!$N$53*(1-$C$41)))</f>
        <v>0.03</v>
      </c>
      <c r="O41" s="395" t="n">
        <f aca="false">IF(AND(O6&gt;=Assumptions!$N$53,N6&lt;Assumptions!$N$53),1/Assumptions!$N$53*(1-$C$41)-Depreciation!$D$41,IF(AND(N6&gt;Assumptions!$N$53,O6&lt;Assumptions!$N$53),0,1/Assumptions!$N$53*(1-$C$41)))</f>
        <v>0.03</v>
      </c>
      <c r="P41" s="395" t="n">
        <f aca="false">IF(AND(P6&gt;=Assumptions!$N$53,O6&lt;Assumptions!$N$53),1/Assumptions!$N$53*(1-$C$41)-Depreciation!$D$41,IF(AND(O6&gt;Assumptions!$N$53,P6&lt;Assumptions!$N$53),0,1/Assumptions!$N$53*(1-$C$41)))</f>
        <v>0.03</v>
      </c>
      <c r="Q41" s="395" t="n">
        <f aca="false">IF(AND(Q6&gt;=Assumptions!$N$53,P6&lt;Assumptions!$N$53),1/Assumptions!$N$53*(1-$C$41)-Depreciation!$D$41,IF(AND(P6&gt;Assumptions!$N$53,Q6&lt;Assumptions!$N$53),0,1/Assumptions!$N$53*(1-$C$41)))</f>
        <v>0.03</v>
      </c>
      <c r="R41" s="395" t="n">
        <f aca="false">IF(AND(R6&gt;=Assumptions!$N$53,Q6&lt;Assumptions!$N$53),1/Assumptions!$N$53*(1-$C$41)-Depreciation!$D$41,IF(AND(Q6&gt;Assumptions!$N$53,R6&lt;Assumptions!$N$53),0,1/Assumptions!$N$53*(1-$C$41)))</f>
        <v>0.03</v>
      </c>
      <c r="S41" s="395" t="n">
        <f aca="false">IF(AND(S6&gt;=Assumptions!$N$53,R6&lt;Assumptions!$N$53),1/Assumptions!$N$53*(1-$C$41)-Depreciation!$D$41,IF(AND(R6&gt;Assumptions!$N$53,S6&lt;Assumptions!$N$53),0,1/Assumptions!$N$53*(1-$C$41)))</f>
        <v>0.03</v>
      </c>
      <c r="T41" s="395" t="n">
        <f aca="false">IF(AND(T6&gt;=Assumptions!$N$53,S6&lt;Assumptions!$N$53),1/Assumptions!$N$53*(1-$C$41)-Depreciation!$D$41,IF(AND(S6&gt;Assumptions!$N$53,T6&lt;Assumptions!$N$53),0,1/Assumptions!$N$53*(1-$C$41)))</f>
        <v>0.03</v>
      </c>
      <c r="U41" s="395" t="n">
        <f aca="false">IF(AND(U6&gt;=Assumptions!$N$53,T6&lt;Assumptions!$N$53),1/Assumptions!$N$53*(1-$C$41)-Depreciation!$D$41,IF(AND(T6&gt;Assumptions!$N$53,U6&lt;Assumptions!$N$53),0,1/Assumptions!$N$53*(1-$C$41)))</f>
        <v>0.03</v>
      </c>
      <c r="V41" s="395" t="n">
        <f aca="false">IF(AND(V6&gt;=Assumptions!$N$53,U6&lt;Assumptions!$N$53),1/Assumptions!$N$53*(1-$C$41)-Depreciation!$D$41,IF(AND(U6&gt;Assumptions!$N$53,V6&lt;Assumptions!$N$53),0,1/Assumptions!$N$53*(1-$C$41)))</f>
        <v>0.03</v>
      </c>
      <c r="W41" s="395" t="n">
        <f aca="false">IF(AND(W6&gt;=Assumptions!$N$53,V6&lt;Assumptions!$N$53),1/Assumptions!$N$53*(1-$C$41)-Depreciation!$D$41,IF(AND(V6&gt;Assumptions!$N$53,W6&lt;Assumptions!$N$53),0,1/Assumptions!$N$53*(1-$C$41)))</f>
        <v>0.03</v>
      </c>
      <c r="X41" s="395" t="n">
        <f aca="false">IF(AND(X6&gt;=Assumptions!$N$53,W6&lt;Assumptions!$N$53),1/Assumptions!$N$53*(1-$C$41)-Depreciation!$D$41,IF(AND(W6&gt;Assumptions!$N$53,X6&lt;Assumptions!$N$53),0,1/Assumptions!$N$53*(1-$C$41)))</f>
        <v>0.03</v>
      </c>
      <c r="Y41" s="395" t="n">
        <f aca="false">IF(AND(Y6&gt;=Assumptions!$N$53,X6&lt;Assumptions!$N$53),1/Assumptions!$N$53*(1-$C$41)-Depreciation!$D$41,IF(AND(X6&gt;Assumptions!$N$53,Y6&lt;Assumptions!$N$53),0,1/Assumptions!$N$53*(1-$C$41)))</f>
        <v>0.03</v>
      </c>
      <c r="Z41" s="395" t="n">
        <f aca="false">IF(AND(Z6&gt;=Assumptions!$N$53,Y6&lt;Assumptions!$N$53),1/Assumptions!$N$53*(1-$C$41)-Depreciation!$D$41,IF(AND(Y6&gt;Assumptions!$N$53,Z6&lt;Assumptions!$N$53),0,1/Assumptions!$N$53*(1-$C$41)))</f>
        <v>0.03</v>
      </c>
      <c r="AA41" s="395" t="n">
        <f aca="false">IF(AND(AA6&gt;=Assumptions!$N$53,Z6&lt;Assumptions!$N$53),1/Assumptions!$N$53*(1-$C$41)-Depreciation!$D$41,IF(AND(Z6&gt;Assumptions!$N$53,AA6&lt;Assumptions!$N$53),0,1/Assumptions!$N$53*(1-$C$41)))</f>
        <v>0.03</v>
      </c>
      <c r="AB41" s="395" t="n">
        <f aca="false">IF(AND(AB6&gt;=Assumptions!$N$53,AA6&lt;Assumptions!$N$53),1/Assumptions!$N$53*(1-$C$41)-Depreciation!$D$41,IF(AND(AA6&gt;Assumptions!$N$53,AB6&lt;Assumptions!$N$53),0,1/Assumptions!$N$53*(1-$C$41)))</f>
        <v>0.03</v>
      </c>
      <c r="AC41" s="395" t="n">
        <f aca="false">IF(AND(AC6&gt;=Assumptions!$N$53,AB6&lt;Assumptions!$N$53),1/Assumptions!$N$53*(1-$C$41)-Depreciation!$D$41,IF(AND(AB6&gt;Assumptions!$N$53,AC6&lt;Assumptions!$N$53),0,1/Assumptions!$N$53*(1-$C$41)))</f>
        <v>0.03</v>
      </c>
      <c r="AD41" s="395" t="n">
        <f aca="false">IF(AND(AD6&gt;=Assumptions!$N$53,AC6&lt;Assumptions!$N$53),1/Assumptions!$N$53*(1-$C$41)-Depreciation!$D$41,IF(AND(AC6&gt;Assumptions!$N$53,AD6&lt;Assumptions!$N$53),0,1/Assumptions!$N$53*(1-$C$41)))</f>
        <v>0.03</v>
      </c>
      <c r="AE41" s="395" t="n">
        <f aca="false">IF(AND(AE6&gt;=Assumptions!$N$53,AD6&lt;Assumptions!$N$53),1/Assumptions!$N$53*(1-$C$41)-Depreciation!$D$41,IF(AND(AD6&gt;Assumptions!$N$53,AE6&lt;Assumptions!$N$53),0,1/Assumptions!$N$53*(1-$C$41)))</f>
        <v>0.03</v>
      </c>
      <c r="AF41" s="395" t="n">
        <f aca="false">IF(AND(AF6&gt;=Assumptions!$N$53,AE6&lt;Assumptions!$N$53),1/Assumptions!$N$53*(1-$C$41)-Depreciation!$D$41,IF(AND(AE6&gt;Assumptions!$N$53,AF6&lt;Assumptions!$N$53),0,1/Assumptions!$N$53*(1-$C$41)))</f>
        <v>0.03</v>
      </c>
      <c r="AG41" s="395" t="n">
        <f aca="false">IF(AND(AG6&gt;=Assumptions!$N$53,AF6&lt;Assumptions!$N$53),1/Assumptions!$N$53*(1-$C$41)-Depreciation!$D$41,IF(AND(AF6&gt;Assumptions!$N$53,AG6&lt;Assumptions!$N$53),0,1/Assumptions!$N$53*(1-$C$41)))</f>
        <v>0.03</v>
      </c>
      <c r="AH41" s="395" t="n">
        <f aca="false">IF(AND(AH6&gt;=Assumptions!$N$53,AG6&lt;Assumptions!$N$53),1/Assumptions!$N$53*(1-$C$41)-Depreciation!$D$41,IF(AND(AG6&gt;Assumptions!$N$53,AH6&lt;Assumptions!$N$53),0,1/Assumptions!$N$53*(1-$C$41)))</f>
        <v>0.01</v>
      </c>
      <c r="AI41" s="393"/>
      <c r="AJ41" s="393"/>
      <c r="AK41" s="393"/>
      <c r="AL41" s="393"/>
      <c r="AM41" s="393"/>
      <c r="AN41" s="393"/>
      <c r="AO41" s="393"/>
      <c r="AP41" s="393"/>
      <c r="AQ41" s="393"/>
      <c r="AR41" s="393"/>
      <c r="AS41" s="393"/>
      <c r="AT41" s="393"/>
      <c r="AU41" s="393"/>
      <c r="AV41" s="393"/>
      <c r="AW41" s="393"/>
      <c r="AX41" s="393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  <c r="BO41" s="393"/>
      <c r="BP41" s="393"/>
      <c r="BQ41" s="393"/>
      <c r="BR41" s="393"/>
      <c r="BS41" s="393"/>
      <c r="BT41" s="393"/>
      <c r="BU41" s="393"/>
      <c r="BV41" s="393"/>
      <c r="BW41" s="393"/>
      <c r="BX41" s="393"/>
      <c r="BY41" s="393"/>
      <c r="BZ41" s="393"/>
      <c r="CA41" s="393"/>
      <c r="CB41" s="393"/>
      <c r="CC41" s="393"/>
      <c r="CD41" s="393"/>
      <c r="CE41" s="393"/>
      <c r="CF41" s="393"/>
      <c r="CG41" s="393"/>
      <c r="CH41" s="393"/>
      <c r="CI41" s="393"/>
      <c r="CJ41" s="393"/>
      <c r="CK41" s="393"/>
      <c r="CL41" s="393"/>
      <c r="CM41" s="393"/>
      <c r="CN41" s="393"/>
      <c r="CO41" s="393"/>
      <c r="CP41" s="393"/>
      <c r="CQ41" s="393"/>
      <c r="CR41" s="393"/>
      <c r="CS41" s="393"/>
      <c r="CT41" s="393"/>
      <c r="CU41" s="393"/>
      <c r="CV41" s="393"/>
      <c r="CW41" s="393"/>
      <c r="CX41" s="393"/>
      <c r="CY41" s="393"/>
      <c r="CZ41" s="393"/>
      <c r="DA41" s="393"/>
      <c r="DB41" s="393"/>
      <c r="DC41" s="393"/>
      <c r="DD41" s="393"/>
      <c r="DE41" s="393"/>
      <c r="DF41" s="393"/>
      <c r="DG41" s="393"/>
      <c r="DH41" s="393"/>
      <c r="DI41" s="393"/>
      <c r="DJ41" s="393"/>
      <c r="DK41" s="393"/>
      <c r="DL41" s="393"/>
      <c r="DM41" s="393"/>
      <c r="DN41" s="393"/>
      <c r="DO41" s="393"/>
      <c r="DP41" s="393"/>
      <c r="DQ41" s="393"/>
      <c r="DR41" s="393"/>
      <c r="DS41" s="393"/>
      <c r="DT41" s="393"/>
      <c r="DU41" s="393"/>
      <c r="DV41" s="393"/>
      <c r="DW41" s="393"/>
      <c r="DX41" s="393"/>
      <c r="DY41" s="393"/>
      <c r="DZ41" s="393"/>
      <c r="EA41" s="393"/>
      <c r="EB41" s="393"/>
      <c r="EC41" s="393"/>
      <c r="ED41" s="393"/>
      <c r="EE41" s="393"/>
      <c r="EF41" s="393"/>
      <c r="EG41" s="393"/>
      <c r="EH41" s="393"/>
      <c r="EI41" s="393"/>
      <c r="EJ41" s="393"/>
      <c r="EK41" s="393"/>
      <c r="EL41" s="393"/>
      <c r="EM41" s="393"/>
      <c r="EN41" s="393"/>
      <c r="EO41" s="393"/>
      <c r="EP41" s="393"/>
      <c r="EQ41" s="393"/>
      <c r="ER41" s="393"/>
      <c r="ES41" s="393"/>
      <c r="ET41" s="393"/>
      <c r="EU41" s="393"/>
      <c r="EV41" s="393"/>
      <c r="EW41" s="393"/>
      <c r="EX41" s="393"/>
      <c r="EY41" s="393"/>
      <c r="EZ41" s="393"/>
      <c r="FA41" s="393"/>
      <c r="FB41" s="393"/>
      <c r="FC41" s="393"/>
      <c r="FD41" s="393"/>
      <c r="FE41" s="393"/>
      <c r="FF41" s="393"/>
      <c r="FG41" s="393"/>
      <c r="FH41" s="393"/>
      <c r="FI41" s="393"/>
      <c r="FJ41" s="393"/>
      <c r="FK41" s="393"/>
      <c r="FL41" s="393"/>
      <c r="FM41" s="393"/>
      <c r="FN41" s="393"/>
      <c r="FO41" s="393"/>
      <c r="FP41" s="393"/>
      <c r="FQ41" s="393"/>
      <c r="FR41" s="393"/>
      <c r="FS41" s="393"/>
      <c r="FT41" s="393"/>
      <c r="FU41" s="393"/>
      <c r="FV41" s="393"/>
      <c r="FW41" s="393"/>
      <c r="FX41" s="393"/>
      <c r="FY41" s="393"/>
      <c r="FZ41" s="393"/>
      <c r="GA41" s="393"/>
      <c r="GB41" s="393"/>
      <c r="GC41" s="393"/>
      <c r="GD41" s="393"/>
      <c r="GE41" s="393"/>
      <c r="GF41" s="393"/>
      <c r="GG41" s="393"/>
      <c r="GH41" s="393"/>
      <c r="GI41" s="393"/>
      <c r="GJ41" s="393"/>
      <c r="GK41" s="393"/>
      <c r="GL41" s="393"/>
      <c r="GM41" s="393"/>
      <c r="GN41" s="393"/>
      <c r="GO41" s="393"/>
      <c r="GP41" s="393"/>
      <c r="GQ41" s="393"/>
      <c r="GR41" s="393"/>
      <c r="GS41" s="393"/>
      <c r="GT41" s="393"/>
      <c r="GU41" s="393"/>
      <c r="GV41" s="393"/>
      <c r="GW41" s="393"/>
      <c r="GX41" s="393"/>
      <c r="GY41" s="393"/>
      <c r="GZ41" s="393"/>
      <c r="HA41" s="393"/>
      <c r="HB41" s="393"/>
      <c r="HC41" s="393"/>
      <c r="HD41" s="393"/>
      <c r="HE41" s="393"/>
      <c r="HF41" s="393"/>
      <c r="HG41" s="393"/>
      <c r="HH41" s="393"/>
      <c r="HI41" s="393"/>
      <c r="HJ41" s="393"/>
      <c r="HK41" s="393"/>
      <c r="HL41" s="393"/>
      <c r="HM41" s="393"/>
      <c r="HN41" s="393"/>
      <c r="HO41" s="393"/>
      <c r="HP41" s="393"/>
      <c r="HQ41" s="393"/>
      <c r="HR41" s="393"/>
      <c r="HS41" s="393"/>
      <c r="HT41" s="393"/>
      <c r="HU41" s="393"/>
      <c r="HV41" s="393"/>
      <c r="HW41" s="393"/>
      <c r="HX41" s="393"/>
      <c r="HY41" s="393"/>
      <c r="HZ41" s="393"/>
      <c r="IA41" s="393"/>
      <c r="IB41" s="393"/>
      <c r="IC41" s="393"/>
      <c r="ID41" s="393"/>
      <c r="IE41" s="393"/>
      <c r="IF41" s="393"/>
      <c r="IG41" s="393"/>
      <c r="IH41" s="393"/>
      <c r="II41" s="393"/>
      <c r="IJ41" s="393"/>
      <c r="IK41" s="393"/>
      <c r="IL41" s="393"/>
      <c r="IM41" s="393"/>
      <c r="IN41" s="393"/>
      <c r="IO41" s="393"/>
      <c r="IP41" s="393"/>
      <c r="IQ41" s="393"/>
      <c r="IR41" s="393"/>
      <c r="IS41" s="393"/>
      <c r="IT41" s="393"/>
      <c r="IU41" s="393"/>
      <c r="IV41" s="393"/>
      <c r="IW41" s="393"/>
    </row>
    <row r="42" customFormat="false" ht="12.75" hidden="false" customHeight="false" outlineLevel="0" collapsed="false">
      <c r="A42" s="397" t="s">
        <v>359</v>
      </c>
      <c r="B42" s="398" t="n">
        <f aca="false">Assumptions!$N$49</f>
        <v>5</v>
      </c>
      <c r="C42" s="399"/>
      <c r="D42" s="395" t="n">
        <f aca="false">D13</f>
        <v>0.133333333333333</v>
      </c>
      <c r="E42" s="395" t="n">
        <f aca="false">E13</f>
        <v>0.2</v>
      </c>
      <c r="F42" s="395" t="n">
        <f aca="false">F13</f>
        <v>0.2</v>
      </c>
      <c r="G42" s="395" t="n">
        <f aca="false">G13</f>
        <v>0.2</v>
      </c>
      <c r="H42" s="395" t="n">
        <f aca="false">H13</f>
        <v>0.2</v>
      </c>
      <c r="I42" s="395" t="n">
        <f aca="false">I13</f>
        <v>0.0666666666666667</v>
      </c>
      <c r="J42" s="395" t="n">
        <f aca="false">J13</f>
        <v>0</v>
      </c>
      <c r="K42" s="395" t="n">
        <f aca="false">K13</f>
        <v>0</v>
      </c>
      <c r="L42" s="395" t="n">
        <f aca="false">L13</f>
        <v>0</v>
      </c>
      <c r="M42" s="395" t="n">
        <f aca="false">M13</f>
        <v>0</v>
      </c>
      <c r="N42" s="395" t="n">
        <f aca="false">N13</f>
        <v>0</v>
      </c>
      <c r="O42" s="395" t="n">
        <f aca="false">O13</f>
        <v>0</v>
      </c>
      <c r="P42" s="395" t="n">
        <f aca="false">P13</f>
        <v>0</v>
      </c>
      <c r="Q42" s="395" t="n">
        <f aca="false">Q13</f>
        <v>0</v>
      </c>
      <c r="R42" s="395" t="n">
        <f aca="false">R13</f>
        <v>0</v>
      </c>
      <c r="S42" s="395" t="n">
        <f aca="false">S13</f>
        <v>0</v>
      </c>
      <c r="T42" s="395" t="n">
        <f aca="false">T13</f>
        <v>0</v>
      </c>
      <c r="U42" s="395" t="n">
        <f aca="false">U13</f>
        <v>0</v>
      </c>
      <c r="V42" s="395" t="n">
        <f aca="false">V13</f>
        <v>0</v>
      </c>
      <c r="W42" s="395" t="n">
        <f aca="false">W13</f>
        <v>0</v>
      </c>
      <c r="X42" s="395" t="n">
        <f aca="false">X13</f>
        <v>0</v>
      </c>
      <c r="Y42" s="395" t="n">
        <f aca="false">Y13</f>
        <v>0</v>
      </c>
      <c r="Z42" s="395" t="n">
        <f aca="false">Z13</f>
        <v>0</v>
      </c>
      <c r="AA42" s="395" t="n">
        <f aca="false">AA13</f>
        <v>0</v>
      </c>
      <c r="AB42" s="395" t="n">
        <f aca="false">AB13</f>
        <v>0</v>
      </c>
      <c r="AC42" s="395" t="n">
        <f aca="false">AC13</f>
        <v>0</v>
      </c>
      <c r="AD42" s="395" t="n">
        <f aca="false">AD13</f>
        <v>0</v>
      </c>
      <c r="AE42" s="395" t="n">
        <f aca="false">AE13</f>
        <v>0</v>
      </c>
      <c r="AF42" s="395" t="n">
        <f aca="false">AF13</f>
        <v>0</v>
      </c>
      <c r="AG42" s="395" t="n">
        <f aca="false">AG13</f>
        <v>0</v>
      </c>
      <c r="AH42" s="395" t="n">
        <f aca="false">AH13</f>
        <v>0</v>
      </c>
      <c r="AI42" s="393"/>
      <c r="AJ42" s="393"/>
      <c r="AK42" s="393"/>
      <c r="AL42" s="393"/>
      <c r="AM42" s="393"/>
      <c r="AN42" s="393"/>
      <c r="AO42" s="393"/>
      <c r="AP42" s="393"/>
      <c r="AQ42" s="393"/>
      <c r="AR42" s="393"/>
      <c r="AS42" s="393"/>
      <c r="AT42" s="393"/>
      <c r="AU42" s="393"/>
      <c r="AV42" s="393"/>
      <c r="AW42" s="393"/>
      <c r="AX42" s="393"/>
      <c r="AY42" s="393"/>
      <c r="AZ42" s="393"/>
      <c r="BA42" s="393"/>
      <c r="BB42" s="393"/>
      <c r="BC42" s="393"/>
      <c r="BD42" s="393"/>
      <c r="BE42" s="393"/>
      <c r="BF42" s="393"/>
      <c r="BG42" s="393"/>
      <c r="BH42" s="393"/>
      <c r="BI42" s="393"/>
      <c r="BJ42" s="393"/>
      <c r="BK42" s="393"/>
      <c r="BL42" s="393"/>
      <c r="BM42" s="393"/>
      <c r="BN42" s="393"/>
      <c r="BO42" s="393"/>
      <c r="BP42" s="393"/>
      <c r="BQ42" s="393"/>
      <c r="BR42" s="393"/>
      <c r="BS42" s="393"/>
      <c r="BT42" s="393"/>
      <c r="BU42" s="393"/>
      <c r="BV42" s="393"/>
      <c r="BW42" s="393"/>
      <c r="BX42" s="393"/>
      <c r="BY42" s="393"/>
      <c r="BZ42" s="393"/>
      <c r="CA42" s="393"/>
      <c r="CB42" s="393"/>
      <c r="CC42" s="393"/>
      <c r="CD42" s="393"/>
      <c r="CE42" s="393"/>
      <c r="CF42" s="393"/>
      <c r="CG42" s="393"/>
      <c r="CH42" s="393"/>
      <c r="CI42" s="393"/>
      <c r="CJ42" s="393"/>
      <c r="CK42" s="393"/>
      <c r="CL42" s="393"/>
      <c r="CM42" s="393"/>
      <c r="CN42" s="393"/>
      <c r="CO42" s="393"/>
      <c r="CP42" s="393"/>
      <c r="CQ42" s="393"/>
      <c r="CR42" s="393"/>
      <c r="CS42" s="393"/>
      <c r="CT42" s="393"/>
      <c r="CU42" s="393"/>
      <c r="CV42" s="393"/>
      <c r="CW42" s="393"/>
      <c r="CX42" s="393"/>
      <c r="CY42" s="393"/>
      <c r="CZ42" s="393"/>
      <c r="DA42" s="393"/>
      <c r="DB42" s="393"/>
      <c r="DC42" s="393"/>
      <c r="DD42" s="393"/>
      <c r="DE42" s="393"/>
      <c r="DF42" s="393"/>
      <c r="DG42" s="393"/>
      <c r="DH42" s="393"/>
      <c r="DI42" s="393"/>
      <c r="DJ42" s="393"/>
      <c r="DK42" s="393"/>
      <c r="DL42" s="393"/>
      <c r="DM42" s="393"/>
      <c r="DN42" s="393"/>
      <c r="DO42" s="393"/>
      <c r="DP42" s="393"/>
      <c r="DQ42" s="393"/>
      <c r="DR42" s="393"/>
      <c r="DS42" s="393"/>
      <c r="DT42" s="393"/>
      <c r="DU42" s="393"/>
      <c r="DV42" s="393"/>
      <c r="DW42" s="393"/>
      <c r="DX42" s="393"/>
      <c r="DY42" s="393"/>
      <c r="DZ42" s="393"/>
      <c r="EA42" s="393"/>
      <c r="EB42" s="393"/>
      <c r="EC42" s="393"/>
      <c r="ED42" s="393"/>
      <c r="EE42" s="393"/>
      <c r="EF42" s="393"/>
      <c r="EG42" s="393"/>
      <c r="EH42" s="393"/>
      <c r="EI42" s="393"/>
      <c r="EJ42" s="393"/>
      <c r="EK42" s="393"/>
      <c r="EL42" s="393"/>
      <c r="EM42" s="393"/>
      <c r="EN42" s="393"/>
      <c r="EO42" s="393"/>
      <c r="EP42" s="393"/>
      <c r="EQ42" s="393"/>
      <c r="ER42" s="393"/>
      <c r="ES42" s="393"/>
      <c r="ET42" s="393"/>
      <c r="EU42" s="393"/>
      <c r="EV42" s="393"/>
      <c r="EW42" s="393"/>
      <c r="EX42" s="393"/>
      <c r="EY42" s="393"/>
      <c r="EZ42" s="393"/>
      <c r="FA42" s="393"/>
      <c r="FB42" s="393"/>
      <c r="FC42" s="393"/>
      <c r="FD42" s="393"/>
      <c r="FE42" s="393"/>
      <c r="FF42" s="393"/>
      <c r="FG42" s="393"/>
      <c r="FH42" s="393"/>
      <c r="FI42" s="393"/>
      <c r="FJ42" s="393"/>
      <c r="FK42" s="393"/>
      <c r="FL42" s="393"/>
      <c r="FM42" s="393"/>
      <c r="FN42" s="393"/>
      <c r="FO42" s="393"/>
      <c r="FP42" s="393"/>
      <c r="FQ42" s="393"/>
      <c r="FR42" s="393"/>
      <c r="FS42" s="393"/>
      <c r="FT42" s="393"/>
      <c r="FU42" s="393"/>
      <c r="FV42" s="393"/>
      <c r="FW42" s="393"/>
      <c r="FX42" s="393"/>
      <c r="FY42" s="393"/>
      <c r="FZ42" s="393"/>
      <c r="GA42" s="393"/>
      <c r="GB42" s="393"/>
      <c r="GC42" s="393"/>
      <c r="GD42" s="393"/>
      <c r="GE42" s="393"/>
      <c r="GF42" s="393"/>
      <c r="GG42" s="393"/>
      <c r="GH42" s="393"/>
      <c r="GI42" s="393"/>
      <c r="GJ42" s="393"/>
      <c r="GK42" s="393"/>
      <c r="GL42" s="393"/>
      <c r="GM42" s="393"/>
      <c r="GN42" s="393"/>
      <c r="GO42" s="393"/>
      <c r="GP42" s="393"/>
      <c r="GQ42" s="393"/>
      <c r="GR42" s="393"/>
      <c r="GS42" s="393"/>
      <c r="GT42" s="393"/>
      <c r="GU42" s="393"/>
      <c r="GV42" s="393"/>
      <c r="GW42" s="393"/>
      <c r="GX42" s="393"/>
      <c r="GY42" s="393"/>
      <c r="GZ42" s="393"/>
      <c r="HA42" s="393"/>
      <c r="HB42" s="393"/>
      <c r="HC42" s="393"/>
      <c r="HD42" s="393"/>
      <c r="HE42" s="393"/>
      <c r="HF42" s="393"/>
      <c r="HG42" s="393"/>
      <c r="HH42" s="393"/>
      <c r="HI42" s="393"/>
      <c r="HJ42" s="393"/>
      <c r="HK42" s="393"/>
      <c r="HL42" s="393"/>
      <c r="HM42" s="393"/>
      <c r="HN42" s="393"/>
      <c r="HO42" s="393"/>
      <c r="HP42" s="393"/>
      <c r="HQ42" s="393"/>
      <c r="HR42" s="393"/>
      <c r="HS42" s="393"/>
      <c r="HT42" s="393"/>
      <c r="HU42" s="393"/>
      <c r="HV42" s="393"/>
      <c r="HW42" s="393"/>
      <c r="HX42" s="393"/>
      <c r="HY42" s="393"/>
      <c r="HZ42" s="393"/>
      <c r="IA42" s="393"/>
      <c r="IB42" s="393"/>
      <c r="IC42" s="393"/>
      <c r="ID42" s="393"/>
      <c r="IE42" s="393"/>
      <c r="IF42" s="393"/>
      <c r="IG42" s="393"/>
      <c r="IH42" s="393"/>
      <c r="II42" s="393"/>
      <c r="IJ42" s="393"/>
      <c r="IK42" s="393"/>
      <c r="IL42" s="393"/>
      <c r="IM42" s="393"/>
      <c r="IN42" s="393"/>
      <c r="IO42" s="393"/>
      <c r="IP42" s="393"/>
      <c r="IQ42" s="393"/>
      <c r="IR42" s="393"/>
      <c r="IS42" s="393"/>
      <c r="IT42" s="393"/>
      <c r="IU42" s="393"/>
      <c r="IV42" s="393"/>
      <c r="IW42" s="393"/>
    </row>
    <row r="43" customFormat="false" ht="12.75" hidden="false" customHeight="false" outlineLevel="0" collapsed="false">
      <c r="A43" s="400" t="s">
        <v>360</v>
      </c>
      <c r="B43" s="404" t="n">
        <f aca="false">Assumptions!$N$55</f>
        <v>20</v>
      </c>
      <c r="D43" s="395" t="n">
        <f aca="false">1/Assumptions!$N$55*D6</f>
        <v>0.0333333333333333</v>
      </c>
      <c r="E43" s="395" t="n">
        <f aca="false">IF(AND(E6&gt;=Assumptions!$N$55,D6&lt;Assumptions!$N$55),1/Assumptions!$N$55-Depreciation!$D$43,IF(E6&lt;Assumptions!$N$55,1/Assumptions!$N$55,0))</f>
        <v>0.05</v>
      </c>
      <c r="F43" s="395" t="n">
        <f aca="false">IF(AND(F6&gt;=Assumptions!$N$55,E6&lt;Assumptions!$N$55),1/Assumptions!$N$55-Depreciation!$D$43,IF(F6&lt;Assumptions!$N$55,1/Assumptions!$N$55,0))</f>
        <v>0.05</v>
      </c>
      <c r="G43" s="395" t="n">
        <f aca="false">IF(AND(G6&gt;=Assumptions!$N$55,F6&lt;Assumptions!$N$55),1/Assumptions!$N$55-Depreciation!$D$43,IF(G6&lt;Assumptions!$N$55,1/Assumptions!$N$55,0))</f>
        <v>0.05</v>
      </c>
      <c r="H43" s="395" t="n">
        <f aca="false">IF(AND(H6&gt;=Assumptions!$N$55,G6&lt;Assumptions!$N$55),1/Assumptions!$N$55-Depreciation!$D$43,IF(H6&lt;Assumptions!$N$55,1/Assumptions!$N$55,0))</f>
        <v>0.05</v>
      </c>
      <c r="I43" s="395" t="n">
        <f aca="false">IF(AND(I6&gt;=Assumptions!$N$55,H6&lt;Assumptions!$N$55),1/Assumptions!$N$55-Depreciation!$D$43,IF(I6&lt;Assumptions!$N$55,1/Assumptions!$N$55,0))</f>
        <v>0.05</v>
      </c>
      <c r="J43" s="395" t="n">
        <f aca="false">IF(AND(J6&gt;=Assumptions!$N$55,I6&lt;Assumptions!$N$55),1/Assumptions!$N$55-Depreciation!$D$43,IF(J6&lt;Assumptions!$N$55,1/Assumptions!$N$55,0))</f>
        <v>0.05</v>
      </c>
      <c r="K43" s="395" t="n">
        <f aca="false">IF(AND(K6&gt;=Assumptions!$N$55,J6&lt;Assumptions!$N$55),1/Assumptions!$N$55-Depreciation!$D$43,IF(K6&lt;Assumptions!$N$55,1/Assumptions!$N$55,0))</f>
        <v>0.05</v>
      </c>
      <c r="L43" s="395" t="n">
        <f aca="false">IF(AND(L6&gt;=Assumptions!$N$55,K6&lt;Assumptions!$N$55),1/Assumptions!$N$55-Depreciation!$D$43,IF(L6&lt;Assumptions!$N$55,1/Assumptions!$N$55,0))</f>
        <v>0.05</v>
      </c>
      <c r="M43" s="395" t="n">
        <f aca="false">IF(AND(M6&gt;=Assumptions!$N$55,L6&lt;Assumptions!$N$55),1/Assumptions!$N$55-Depreciation!$D$43,IF(M6&lt;Assumptions!$N$55,1/Assumptions!$N$55,0))</f>
        <v>0.05</v>
      </c>
      <c r="N43" s="395" t="n">
        <f aca="false">IF(AND(N6&gt;=Assumptions!$N$55,M6&lt;Assumptions!$N$55),1/Assumptions!$N$55-Depreciation!$D$43,IF(N6&lt;Assumptions!$N$55,1/Assumptions!$N$55,0))</f>
        <v>0.05</v>
      </c>
      <c r="O43" s="395" t="n">
        <f aca="false">IF(AND(O6&gt;=Assumptions!$N$55,N6&lt;Assumptions!$N$55),1/Assumptions!$N$55-Depreciation!$D$43,IF(O6&lt;Assumptions!$N$55,1/Assumptions!$N$55,0))</f>
        <v>0.05</v>
      </c>
      <c r="P43" s="395" t="n">
        <f aca="false">IF(AND(P6&gt;=Assumptions!$N$55,O6&lt;Assumptions!$N$55),1/Assumptions!$N$55-Depreciation!$D$43,IF(P6&lt;Assumptions!$N$55,1/Assumptions!$N$55,0))</f>
        <v>0.05</v>
      </c>
      <c r="Q43" s="395" t="n">
        <f aca="false">IF(AND(Q6&gt;=Assumptions!$N$55,P6&lt;Assumptions!$N$55),1/Assumptions!$N$55-Depreciation!$D$43,IF(Q6&lt;Assumptions!$N$55,1/Assumptions!$N$55,0))</f>
        <v>0.05</v>
      </c>
      <c r="R43" s="395" t="n">
        <f aca="false">IF(AND(R6&gt;=Assumptions!$N$55,Q6&lt;Assumptions!$N$55),1/Assumptions!$N$55-Depreciation!$D$43,IF(R6&lt;Assumptions!$N$55,1/Assumptions!$N$55,0))</f>
        <v>0.05</v>
      </c>
      <c r="S43" s="395" t="n">
        <f aca="false">IF(AND(S6&gt;=Assumptions!$N$55,R6&lt;Assumptions!$N$55),1/Assumptions!$N$55-Depreciation!$D$43,IF(S6&lt;Assumptions!$N$55,1/Assumptions!$N$55,0))</f>
        <v>0.05</v>
      </c>
      <c r="T43" s="395" t="n">
        <f aca="false">IF(AND(T6&gt;=Assumptions!$N$55,S6&lt;Assumptions!$N$55),1/Assumptions!$N$55-Depreciation!$D$43,IF(T6&lt;Assumptions!$N$55,1/Assumptions!$N$55,0))</f>
        <v>0.05</v>
      </c>
      <c r="U43" s="395" t="n">
        <f aca="false">IF(AND(U6&gt;=Assumptions!$N$55,T6&lt;Assumptions!$N$55),1/Assumptions!$N$55-Depreciation!$D$43,IF(U6&lt;Assumptions!$N$55,1/Assumptions!$N$55,0))</f>
        <v>0.05</v>
      </c>
      <c r="V43" s="395" t="n">
        <f aca="false">IF(AND(V6&gt;=Assumptions!$N$55,U6&lt;Assumptions!$N$55),1/Assumptions!$N$55-Depreciation!$D$43,IF(V6&lt;Assumptions!$N$55,1/Assumptions!$N$55,0))</f>
        <v>0.05</v>
      </c>
      <c r="W43" s="395" t="n">
        <f aca="false">IF(AND(W6&gt;=Assumptions!$N$55,V6&lt;Assumptions!$N$55),1/Assumptions!$N$55-Depreciation!$D$43,IF(W6&lt;Assumptions!$N$55,1/Assumptions!$N$55,0))</f>
        <v>0.05</v>
      </c>
      <c r="X43" s="395" t="n">
        <f aca="false">IF(AND(X6&gt;=Assumptions!$N$55,W6&lt;Assumptions!$N$55),1/Assumptions!$N$55-Depreciation!$D$43,IF(X6&lt;Assumptions!$N$55,1/Assumptions!$N$55,0))</f>
        <v>0.0166666666666667</v>
      </c>
      <c r="Y43" s="395" t="n">
        <f aca="false">IF(AND(Y6&gt;=Assumptions!$N$55,X6&lt;Assumptions!$N$55),1/Assumptions!$N$55-Depreciation!$D$43,IF(Y6&lt;Assumptions!$N$55,1/Assumptions!$N$55,0))</f>
        <v>0</v>
      </c>
      <c r="Z43" s="395" t="n">
        <f aca="false">IF(AND(Z6&gt;=Assumptions!$N$55,Y6&lt;Assumptions!$N$55),1/Assumptions!$N$55-Depreciation!$D$43,IF(Z6&lt;Assumptions!$N$55,1/Assumptions!$N$55,0))</f>
        <v>0</v>
      </c>
      <c r="AA43" s="395" t="n">
        <f aca="false">IF(AND(AA6&gt;=Assumptions!$N$55,Z6&lt;Assumptions!$N$55),1/Assumptions!$N$55-Depreciation!$D$43,IF(AA6&lt;Assumptions!$N$55,1/Assumptions!$N$55,0))</f>
        <v>0</v>
      </c>
      <c r="AB43" s="395" t="n">
        <f aca="false">IF(AND(AB6&gt;=Assumptions!$N$55,AA6&lt;Assumptions!$N$55),1/Assumptions!$N$55-Depreciation!$D$43,IF(AB6&lt;Assumptions!$N$55,1/Assumptions!$N$55,0))</f>
        <v>0</v>
      </c>
      <c r="AC43" s="395" t="n">
        <f aca="false">IF(AND(AC6&gt;=Assumptions!$N$55,AB6&lt;Assumptions!$N$55),1/Assumptions!$N$55-Depreciation!$D$43,IF(AC6&lt;Assumptions!$N$55,1/Assumptions!$N$55,0))</f>
        <v>0</v>
      </c>
      <c r="AD43" s="395" t="n">
        <f aca="false">IF(AND(AD6&gt;=Assumptions!$N$55,AC6&lt;Assumptions!$N$55),1/Assumptions!$N$55-Depreciation!$D$43,IF(AD6&lt;Assumptions!$N$55,1/Assumptions!$N$55,0))</f>
        <v>0</v>
      </c>
      <c r="AE43" s="395" t="n">
        <f aca="false">IF(AND(AE6&gt;=Assumptions!$N$55,AD6&lt;Assumptions!$N$55),1/Assumptions!$N$55-Depreciation!$D$43,IF(AE6&lt;Assumptions!$N$55,1/Assumptions!$N$55,0))</f>
        <v>0</v>
      </c>
      <c r="AF43" s="395" t="n">
        <f aca="false">IF(AND(AF6&gt;=Assumptions!$N$55,AE6&lt;Assumptions!$N$55),1/Assumptions!$N$55-Depreciation!$D$43,IF(AF6&lt;Assumptions!$N$55,1/Assumptions!$N$55,0))</f>
        <v>0</v>
      </c>
      <c r="AG43" s="395" t="n">
        <f aca="false">IF(AND(AG6&gt;=Assumptions!$N$55,AF6&lt;Assumptions!$N$55),1/Assumptions!$N$55-Depreciation!$D$43,IF(AG6&lt;Assumptions!$N$55,1/Assumptions!$N$55,0))</f>
        <v>0</v>
      </c>
      <c r="AH43" s="395" t="n">
        <f aca="false">IF(AND(AH6&gt;=Assumptions!$N$55,AG6&lt;Assumptions!$N$55),1/Assumptions!$N$55-Depreciation!$D$43,IF(AH6&lt;Assumptions!$N$55,1/Assumptions!$N$55,0))</f>
        <v>0</v>
      </c>
      <c r="AI43" s="393"/>
      <c r="AJ43" s="393"/>
      <c r="AK43" s="393"/>
      <c r="AL43" s="393"/>
      <c r="AM43" s="393"/>
      <c r="AN43" s="393"/>
      <c r="AO43" s="393"/>
      <c r="AP43" s="393"/>
      <c r="AQ43" s="393"/>
      <c r="AR43" s="393"/>
      <c r="AS43" s="393"/>
      <c r="AT43" s="393"/>
      <c r="AU43" s="393"/>
      <c r="AV43" s="393"/>
      <c r="AW43" s="393"/>
      <c r="AX43" s="393"/>
      <c r="AY43" s="393"/>
      <c r="AZ43" s="393"/>
      <c r="BA43" s="393"/>
      <c r="BB43" s="393"/>
      <c r="BC43" s="393"/>
      <c r="BD43" s="393"/>
      <c r="BE43" s="393"/>
      <c r="BF43" s="393"/>
      <c r="BG43" s="393"/>
      <c r="BH43" s="393"/>
      <c r="BI43" s="393"/>
      <c r="BJ43" s="393"/>
      <c r="BK43" s="393"/>
      <c r="BL43" s="393"/>
      <c r="BM43" s="393"/>
      <c r="BN43" s="393"/>
      <c r="BO43" s="393"/>
      <c r="BP43" s="393"/>
      <c r="BQ43" s="393"/>
      <c r="BR43" s="393"/>
      <c r="BS43" s="393"/>
      <c r="BT43" s="393"/>
      <c r="BU43" s="393"/>
      <c r="BV43" s="393"/>
      <c r="BW43" s="393"/>
      <c r="BX43" s="393"/>
      <c r="BY43" s="393"/>
      <c r="BZ43" s="393"/>
      <c r="CA43" s="393"/>
      <c r="CB43" s="393"/>
      <c r="CC43" s="393"/>
      <c r="CD43" s="393"/>
      <c r="CE43" s="393"/>
      <c r="CF43" s="393"/>
      <c r="CG43" s="393"/>
      <c r="CH43" s="393"/>
      <c r="CI43" s="393"/>
      <c r="CJ43" s="393"/>
      <c r="CK43" s="393"/>
      <c r="CL43" s="393"/>
      <c r="CM43" s="393"/>
      <c r="CN43" s="393"/>
      <c r="CO43" s="393"/>
      <c r="CP43" s="393"/>
      <c r="CQ43" s="393"/>
      <c r="CR43" s="393"/>
      <c r="CS43" s="393"/>
      <c r="CT43" s="393"/>
      <c r="CU43" s="393"/>
      <c r="CV43" s="393"/>
      <c r="CW43" s="393"/>
      <c r="CX43" s="393"/>
      <c r="CY43" s="393"/>
      <c r="CZ43" s="393"/>
      <c r="DA43" s="393"/>
      <c r="DB43" s="393"/>
      <c r="DC43" s="393"/>
      <c r="DD43" s="393"/>
      <c r="DE43" s="393"/>
      <c r="DF43" s="393"/>
      <c r="DG43" s="393"/>
      <c r="DH43" s="393"/>
      <c r="DI43" s="393"/>
      <c r="DJ43" s="393"/>
      <c r="DK43" s="393"/>
      <c r="DL43" s="393"/>
      <c r="DM43" s="393"/>
      <c r="DN43" s="393"/>
      <c r="DO43" s="393"/>
      <c r="DP43" s="393"/>
      <c r="DQ43" s="393"/>
      <c r="DR43" s="393"/>
      <c r="DS43" s="393"/>
      <c r="DT43" s="393"/>
      <c r="DU43" s="393"/>
      <c r="DV43" s="393"/>
      <c r="DW43" s="393"/>
      <c r="DX43" s="393"/>
      <c r="DY43" s="393"/>
      <c r="DZ43" s="393"/>
      <c r="EA43" s="393"/>
      <c r="EB43" s="393"/>
      <c r="EC43" s="393"/>
      <c r="ED43" s="393"/>
      <c r="EE43" s="393"/>
      <c r="EF43" s="393"/>
      <c r="EG43" s="393"/>
      <c r="EH43" s="393"/>
      <c r="EI43" s="393"/>
      <c r="EJ43" s="393"/>
      <c r="EK43" s="393"/>
      <c r="EL43" s="393"/>
      <c r="EM43" s="393"/>
      <c r="EN43" s="393"/>
      <c r="EO43" s="393"/>
      <c r="EP43" s="393"/>
      <c r="EQ43" s="393"/>
      <c r="ER43" s="393"/>
      <c r="ES43" s="393"/>
      <c r="ET43" s="393"/>
      <c r="EU43" s="393"/>
      <c r="EV43" s="393"/>
      <c r="EW43" s="393"/>
      <c r="EX43" s="393"/>
      <c r="EY43" s="393"/>
      <c r="EZ43" s="393"/>
      <c r="FA43" s="393"/>
      <c r="FB43" s="393"/>
      <c r="FC43" s="393"/>
      <c r="FD43" s="393"/>
      <c r="FE43" s="393"/>
      <c r="FF43" s="393"/>
      <c r="FG43" s="393"/>
      <c r="FH43" s="393"/>
      <c r="FI43" s="393"/>
      <c r="FJ43" s="393"/>
      <c r="FK43" s="393"/>
      <c r="FL43" s="393"/>
      <c r="FM43" s="393"/>
      <c r="FN43" s="393"/>
      <c r="FO43" s="393"/>
      <c r="FP43" s="393"/>
      <c r="FQ43" s="393"/>
      <c r="FR43" s="393"/>
      <c r="FS43" s="393"/>
      <c r="FT43" s="393"/>
      <c r="FU43" s="393"/>
      <c r="FV43" s="393"/>
      <c r="FW43" s="393"/>
      <c r="FX43" s="393"/>
      <c r="FY43" s="393"/>
      <c r="FZ43" s="393"/>
      <c r="GA43" s="393"/>
      <c r="GB43" s="393"/>
      <c r="GC43" s="393"/>
      <c r="GD43" s="393"/>
      <c r="GE43" s="393"/>
      <c r="GF43" s="393"/>
      <c r="GG43" s="393"/>
      <c r="GH43" s="393"/>
      <c r="GI43" s="393"/>
      <c r="GJ43" s="393"/>
      <c r="GK43" s="393"/>
      <c r="GL43" s="393"/>
      <c r="GM43" s="393"/>
      <c r="GN43" s="393"/>
      <c r="GO43" s="393"/>
      <c r="GP43" s="393"/>
      <c r="GQ43" s="393"/>
      <c r="GR43" s="393"/>
      <c r="GS43" s="393"/>
      <c r="GT43" s="393"/>
      <c r="GU43" s="393"/>
      <c r="GV43" s="393"/>
      <c r="GW43" s="393"/>
      <c r="GX43" s="393"/>
      <c r="GY43" s="393"/>
      <c r="GZ43" s="393"/>
      <c r="HA43" s="393"/>
      <c r="HB43" s="393"/>
      <c r="HC43" s="393"/>
      <c r="HD43" s="393"/>
      <c r="HE43" s="393"/>
      <c r="HF43" s="393"/>
      <c r="HG43" s="393"/>
      <c r="HH43" s="393"/>
      <c r="HI43" s="393"/>
      <c r="HJ43" s="393"/>
      <c r="HK43" s="393"/>
      <c r="HL43" s="393"/>
      <c r="HM43" s="393"/>
      <c r="HN43" s="393"/>
      <c r="HO43" s="393"/>
      <c r="HP43" s="393"/>
      <c r="HQ43" s="393"/>
      <c r="HR43" s="393"/>
      <c r="HS43" s="393"/>
      <c r="HT43" s="393"/>
      <c r="HU43" s="393"/>
      <c r="HV43" s="393"/>
      <c r="HW43" s="393"/>
      <c r="HX43" s="393"/>
      <c r="HY43" s="393"/>
      <c r="HZ43" s="393"/>
      <c r="IA43" s="393"/>
      <c r="IB43" s="393"/>
      <c r="IC43" s="393"/>
      <c r="ID43" s="393"/>
      <c r="IE43" s="393"/>
      <c r="IF43" s="393"/>
      <c r="IG43" s="393"/>
      <c r="IH43" s="393"/>
      <c r="II43" s="393"/>
      <c r="IJ43" s="393"/>
      <c r="IK43" s="393"/>
      <c r="IL43" s="393"/>
      <c r="IM43" s="393"/>
      <c r="IN43" s="393"/>
      <c r="IO43" s="393"/>
      <c r="IP43" s="393"/>
      <c r="IQ43" s="393"/>
      <c r="IR43" s="393"/>
      <c r="IS43" s="393"/>
      <c r="IT43" s="393"/>
      <c r="IU43" s="393"/>
      <c r="IV43" s="393"/>
      <c r="IW43" s="393"/>
    </row>
    <row r="44" customFormat="false" ht="12.75" hidden="false" customHeight="false" outlineLevel="0" collapsed="false">
      <c r="B44" s="394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3"/>
      <c r="AL44" s="393"/>
      <c r="AM44" s="393"/>
      <c r="AN44" s="393"/>
      <c r="AO44" s="393"/>
      <c r="AP44" s="393"/>
      <c r="AQ44" s="393"/>
      <c r="AR44" s="393"/>
      <c r="AS44" s="393"/>
      <c r="AT44" s="393"/>
      <c r="AU44" s="393"/>
      <c r="AV44" s="393"/>
      <c r="AW44" s="393"/>
      <c r="AX44" s="393"/>
      <c r="AY44" s="393"/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393"/>
      <c r="BP44" s="393"/>
      <c r="BQ44" s="393"/>
      <c r="BR44" s="393"/>
      <c r="BS44" s="393"/>
      <c r="BT44" s="393"/>
      <c r="BU44" s="393"/>
      <c r="BV44" s="393"/>
      <c r="BW44" s="393"/>
      <c r="BX44" s="393"/>
      <c r="BY44" s="393"/>
      <c r="BZ44" s="393"/>
      <c r="CA44" s="393"/>
      <c r="CB44" s="393"/>
      <c r="CC44" s="393"/>
      <c r="CD44" s="393"/>
      <c r="CE44" s="393"/>
      <c r="CF44" s="393"/>
      <c r="CG44" s="393"/>
      <c r="CH44" s="393"/>
      <c r="CI44" s="393"/>
      <c r="CJ44" s="393"/>
      <c r="CK44" s="393"/>
      <c r="CL44" s="393"/>
      <c r="CM44" s="393"/>
      <c r="CN44" s="393"/>
      <c r="CO44" s="393"/>
      <c r="CP44" s="393"/>
      <c r="CQ44" s="393"/>
      <c r="CR44" s="393"/>
      <c r="CS44" s="393"/>
      <c r="CT44" s="393"/>
      <c r="CU44" s="393"/>
      <c r="CV44" s="393"/>
      <c r="CW44" s="393"/>
      <c r="CX44" s="393"/>
      <c r="CY44" s="393"/>
      <c r="CZ44" s="393"/>
      <c r="DA44" s="393"/>
      <c r="DB44" s="393"/>
      <c r="DC44" s="393"/>
      <c r="DD44" s="393"/>
      <c r="DE44" s="393"/>
      <c r="DF44" s="393"/>
      <c r="DG44" s="393"/>
      <c r="DH44" s="393"/>
      <c r="DI44" s="393"/>
      <c r="DJ44" s="393"/>
      <c r="DK44" s="393"/>
      <c r="DL44" s="393"/>
      <c r="DM44" s="393"/>
      <c r="DN44" s="393"/>
      <c r="DO44" s="393"/>
      <c r="DP44" s="393"/>
      <c r="DQ44" s="393"/>
      <c r="DR44" s="393"/>
      <c r="DS44" s="393"/>
      <c r="DT44" s="393"/>
      <c r="DU44" s="393"/>
      <c r="DV44" s="393"/>
      <c r="DW44" s="393"/>
      <c r="DX44" s="393"/>
      <c r="DY44" s="393"/>
      <c r="DZ44" s="393"/>
      <c r="EA44" s="393"/>
      <c r="EB44" s="393"/>
      <c r="EC44" s="393"/>
      <c r="ED44" s="393"/>
      <c r="EE44" s="393"/>
      <c r="EF44" s="393"/>
      <c r="EG44" s="393"/>
      <c r="EH44" s="393"/>
      <c r="EI44" s="393"/>
      <c r="EJ44" s="393"/>
      <c r="EK44" s="393"/>
      <c r="EL44" s="393"/>
      <c r="EM44" s="393"/>
      <c r="EN44" s="393"/>
      <c r="EO44" s="393"/>
      <c r="EP44" s="393"/>
      <c r="EQ44" s="393"/>
      <c r="ER44" s="393"/>
      <c r="ES44" s="393"/>
      <c r="ET44" s="393"/>
      <c r="EU44" s="393"/>
      <c r="EV44" s="393"/>
      <c r="EW44" s="393"/>
      <c r="EX44" s="393"/>
      <c r="EY44" s="393"/>
      <c r="EZ44" s="393"/>
      <c r="FA44" s="393"/>
      <c r="FB44" s="393"/>
      <c r="FC44" s="393"/>
      <c r="FD44" s="393"/>
      <c r="FE44" s="393"/>
      <c r="FF44" s="393"/>
      <c r="FG44" s="393"/>
      <c r="FH44" s="393"/>
      <c r="FI44" s="393"/>
      <c r="FJ44" s="393"/>
      <c r="FK44" s="393"/>
      <c r="FL44" s="393"/>
      <c r="FM44" s="393"/>
      <c r="FN44" s="393"/>
      <c r="FO44" s="393"/>
      <c r="FP44" s="393"/>
      <c r="FQ44" s="393"/>
      <c r="FR44" s="393"/>
      <c r="FS44" s="393"/>
      <c r="FT44" s="393"/>
      <c r="FU44" s="393"/>
      <c r="FV44" s="393"/>
      <c r="FW44" s="393"/>
      <c r="FX44" s="393"/>
      <c r="FY44" s="393"/>
      <c r="FZ44" s="393"/>
      <c r="GA44" s="393"/>
      <c r="GB44" s="393"/>
      <c r="GC44" s="393"/>
      <c r="GD44" s="393"/>
      <c r="GE44" s="393"/>
      <c r="GF44" s="393"/>
      <c r="GG44" s="393"/>
      <c r="GH44" s="393"/>
      <c r="GI44" s="393"/>
      <c r="GJ44" s="393"/>
      <c r="GK44" s="393"/>
      <c r="GL44" s="393"/>
      <c r="GM44" s="393"/>
      <c r="GN44" s="393"/>
      <c r="GO44" s="393"/>
      <c r="GP44" s="393"/>
      <c r="GQ44" s="393"/>
      <c r="GR44" s="393"/>
      <c r="GS44" s="393"/>
      <c r="GT44" s="393"/>
      <c r="GU44" s="393"/>
      <c r="GV44" s="393"/>
      <c r="GW44" s="393"/>
      <c r="GX44" s="393"/>
      <c r="GY44" s="393"/>
      <c r="GZ44" s="393"/>
      <c r="HA44" s="393"/>
      <c r="HB44" s="393"/>
      <c r="HC44" s="393"/>
      <c r="HD44" s="393"/>
      <c r="HE44" s="393"/>
      <c r="HF44" s="393"/>
      <c r="HG44" s="393"/>
      <c r="HH44" s="393"/>
      <c r="HI44" s="393"/>
      <c r="HJ44" s="393"/>
      <c r="HK44" s="393"/>
      <c r="HL44" s="393"/>
      <c r="HM44" s="393"/>
      <c r="HN44" s="393"/>
      <c r="HO44" s="393"/>
      <c r="HP44" s="393"/>
      <c r="HQ44" s="393"/>
      <c r="HR44" s="393"/>
      <c r="HS44" s="393"/>
      <c r="HT44" s="393"/>
      <c r="HU44" s="393"/>
      <c r="HV44" s="393"/>
      <c r="HW44" s="393"/>
      <c r="HX44" s="393"/>
      <c r="HY44" s="393"/>
      <c r="HZ44" s="393"/>
      <c r="IA44" s="393"/>
      <c r="IB44" s="393"/>
      <c r="IC44" s="393"/>
      <c r="ID44" s="393"/>
      <c r="IE44" s="393"/>
      <c r="IF44" s="393"/>
      <c r="IG44" s="393"/>
      <c r="IH44" s="393"/>
      <c r="II44" s="393"/>
      <c r="IJ44" s="393"/>
      <c r="IK44" s="393"/>
      <c r="IL44" s="393"/>
      <c r="IM44" s="393"/>
      <c r="IN44" s="393"/>
      <c r="IO44" s="393"/>
      <c r="IP44" s="393"/>
      <c r="IQ44" s="393"/>
      <c r="IR44" s="393"/>
      <c r="IS44" s="393"/>
      <c r="IT44" s="393"/>
      <c r="IU44" s="393"/>
      <c r="IV44" s="393"/>
      <c r="IW44" s="393"/>
    </row>
    <row r="45" customFormat="false" ht="12.75" hidden="false" customHeight="false" outlineLevel="0" collapsed="false">
      <c r="A45" s="397" t="s">
        <v>358</v>
      </c>
      <c r="B45" s="183" t="n">
        <f aca="false">B16</f>
        <v>75730.1347347428</v>
      </c>
      <c r="C45" s="405"/>
      <c r="D45" s="183" t="n">
        <f aca="false">D41*$B$45</f>
        <v>1514.60269469486</v>
      </c>
      <c r="E45" s="183" t="n">
        <f aca="false">E41*$B$45</f>
        <v>2271.90404204228</v>
      </c>
      <c r="F45" s="183" t="n">
        <f aca="false">F41*$B$45</f>
        <v>2271.90404204228</v>
      </c>
      <c r="G45" s="183" t="n">
        <f aca="false">G41*$B$45</f>
        <v>2271.90404204228</v>
      </c>
      <c r="H45" s="183" t="n">
        <f aca="false">H41*$B$45</f>
        <v>2271.90404204228</v>
      </c>
      <c r="I45" s="183" t="n">
        <f aca="false">I41*$B$45</f>
        <v>2271.90404204228</v>
      </c>
      <c r="J45" s="183" t="n">
        <f aca="false">J41*$B$45</f>
        <v>2271.90404204228</v>
      </c>
      <c r="K45" s="183" t="n">
        <f aca="false">K41*$B$45</f>
        <v>2271.90404204228</v>
      </c>
      <c r="L45" s="183" t="n">
        <f aca="false">L41*$B$45</f>
        <v>2271.90404204228</v>
      </c>
      <c r="M45" s="183" t="n">
        <f aca="false">M41*$B$45</f>
        <v>2271.90404204228</v>
      </c>
      <c r="N45" s="183" t="n">
        <f aca="false">N41*$B$45</f>
        <v>2271.90404204228</v>
      </c>
      <c r="O45" s="183" t="n">
        <f aca="false">O41*$B$45</f>
        <v>2271.90404204228</v>
      </c>
      <c r="P45" s="183" t="n">
        <f aca="false">P41*$B$45</f>
        <v>2271.90404204228</v>
      </c>
      <c r="Q45" s="183" t="n">
        <f aca="false">Q41*$B$45</f>
        <v>2271.90404204228</v>
      </c>
      <c r="R45" s="183" t="n">
        <f aca="false">R41*$B$45</f>
        <v>2271.90404204228</v>
      </c>
      <c r="S45" s="183" t="n">
        <f aca="false">S41*$B$45</f>
        <v>2271.90404204228</v>
      </c>
      <c r="T45" s="183" t="n">
        <f aca="false">T41*$B$45</f>
        <v>2271.90404204228</v>
      </c>
      <c r="U45" s="183" t="n">
        <f aca="false">U41*$B$45</f>
        <v>2271.90404204228</v>
      </c>
      <c r="V45" s="183" t="n">
        <f aca="false">V41*$B$45</f>
        <v>2271.90404204228</v>
      </c>
      <c r="W45" s="183" t="n">
        <f aca="false">W41*$B$45</f>
        <v>2271.90404204228</v>
      </c>
      <c r="X45" s="183" t="n">
        <f aca="false">X41*$B$45</f>
        <v>2271.90404204228</v>
      </c>
      <c r="Y45" s="183" t="n">
        <f aca="false">Y41*$B$45</f>
        <v>2271.90404204228</v>
      </c>
      <c r="Z45" s="183" t="n">
        <f aca="false">Z41*$B$45</f>
        <v>2271.90404204228</v>
      </c>
      <c r="AA45" s="183" t="n">
        <f aca="false">AA41*$B$45</f>
        <v>2271.90404204228</v>
      </c>
      <c r="AB45" s="183" t="n">
        <f aca="false">AB41*$B$45</f>
        <v>2271.90404204228</v>
      </c>
      <c r="AC45" s="183" t="n">
        <f aca="false">AC41*$B$45</f>
        <v>2271.90404204228</v>
      </c>
      <c r="AD45" s="183" t="n">
        <f aca="false">AD41*$B$45</f>
        <v>2271.90404204228</v>
      </c>
      <c r="AE45" s="183" t="n">
        <f aca="false">AE41*$B$45</f>
        <v>2271.90404204228</v>
      </c>
      <c r="AF45" s="183" t="n">
        <f aca="false">AF41*$B$45</f>
        <v>2271.90404204228</v>
      </c>
      <c r="AG45" s="183" t="n">
        <f aca="false">AG41*$B$45</f>
        <v>2271.90404204228</v>
      </c>
      <c r="AH45" s="183" t="n">
        <f aca="false">AH41*$B$45</f>
        <v>757.301347347428</v>
      </c>
      <c r="AI45" s="415"/>
      <c r="AJ45" s="415"/>
      <c r="AK45" s="415"/>
      <c r="AL45" s="415"/>
      <c r="AM45" s="393"/>
      <c r="AN45" s="393"/>
      <c r="AO45" s="393"/>
      <c r="AP45" s="393"/>
      <c r="AQ45" s="393"/>
      <c r="AR45" s="393"/>
      <c r="AS45" s="393"/>
      <c r="AT45" s="393"/>
      <c r="AU45" s="393"/>
      <c r="AV45" s="393"/>
      <c r="AW45" s="393"/>
      <c r="AX45" s="393"/>
      <c r="AY45" s="393"/>
      <c r="AZ45" s="393"/>
      <c r="BA45" s="393"/>
      <c r="BB45" s="393"/>
      <c r="BC45" s="393"/>
      <c r="BD45" s="393"/>
      <c r="BE45" s="393"/>
      <c r="BF45" s="393"/>
      <c r="BG45" s="393"/>
      <c r="BH45" s="393"/>
      <c r="BI45" s="393"/>
      <c r="BJ45" s="393"/>
      <c r="BK45" s="393"/>
      <c r="BL45" s="393"/>
      <c r="BM45" s="393"/>
      <c r="BN45" s="393"/>
      <c r="BO45" s="393"/>
      <c r="BP45" s="393"/>
      <c r="BQ45" s="393"/>
      <c r="BR45" s="393"/>
      <c r="BS45" s="393"/>
      <c r="BT45" s="393"/>
      <c r="BU45" s="393"/>
      <c r="BV45" s="393"/>
      <c r="BW45" s="393"/>
      <c r="BX45" s="393"/>
      <c r="BY45" s="393"/>
      <c r="BZ45" s="393"/>
      <c r="CA45" s="393"/>
      <c r="CB45" s="393"/>
      <c r="CC45" s="393"/>
      <c r="CD45" s="393"/>
      <c r="CE45" s="393"/>
      <c r="CF45" s="393"/>
      <c r="CG45" s="393"/>
      <c r="CH45" s="393"/>
      <c r="CI45" s="393"/>
      <c r="CJ45" s="393"/>
      <c r="CK45" s="393"/>
      <c r="CL45" s="393"/>
      <c r="CM45" s="393"/>
      <c r="CN45" s="393"/>
      <c r="CO45" s="393"/>
      <c r="CP45" s="393"/>
      <c r="CQ45" s="393"/>
      <c r="CR45" s="393"/>
      <c r="CS45" s="393"/>
      <c r="CT45" s="393"/>
      <c r="CU45" s="393"/>
      <c r="CV45" s="393"/>
      <c r="CW45" s="393"/>
      <c r="CX45" s="393"/>
      <c r="CY45" s="393"/>
      <c r="CZ45" s="393"/>
      <c r="DA45" s="393"/>
      <c r="DB45" s="393"/>
      <c r="DC45" s="393"/>
      <c r="DD45" s="393"/>
      <c r="DE45" s="393"/>
      <c r="DF45" s="393"/>
      <c r="DG45" s="393"/>
      <c r="DH45" s="393"/>
      <c r="DI45" s="393"/>
      <c r="DJ45" s="393"/>
      <c r="DK45" s="393"/>
      <c r="DL45" s="393"/>
      <c r="DM45" s="393"/>
      <c r="DN45" s="393"/>
      <c r="DO45" s="393"/>
      <c r="DP45" s="393"/>
      <c r="DQ45" s="393"/>
      <c r="DR45" s="393"/>
      <c r="DS45" s="393"/>
      <c r="DT45" s="393"/>
      <c r="DU45" s="393"/>
      <c r="DV45" s="393"/>
      <c r="DW45" s="393"/>
      <c r="DX45" s="393"/>
      <c r="DY45" s="393"/>
      <c r="DZ45" s="393"/>
      <c r="EA45" s="393"/>
      <c r="EB45" s="393"/>
      <c r="EC45" s="393"/>
      <c r="ED45" s="393"/>
      <c r="EE45" s="393"/>
      <c r="EF45" s="393"/>
      <c r="EG45" s="393"/>
      <c r="EH45" s="393"/>
      <c r="EI45" s="393"/>
      <c r="EJ45" s="393"/>
      <c r="EK45" s="393"/>
      <c r="EL45" s="393"/>
      <c r="EM45" s="393"/>
      <c r="EN45" s="393"/>
      <c r="EO45" s="393"/>
      <c r="EP45" s="393"/>
      <c r="EQ45" s="393"/>
      <c r="ER45" s="393"/>
      <c r="ES45" s="393"/>
      <c r="ET45" s="393"/>
      <c r="EU45" s="393"/>
      <c r="EV45" s="393"/>
      <c r="EW45" s="393"/>
      <c r="EX45" s="393"/>
      <c r="EY45" s="393"/>
      <c r="EZ45" s="393"/>
      <c r="FA45" s="393"/>
      <c r="FB45" s="393"/>
      <c r="FC45" s="393"/>
      <c r="FD45" s="393"/>
      <c r="FE45" s="393"/>
      <c r="FF45" s="393"/>
      <c r="FG45" s="393"/>
      <c r="FH45" s="393"/>
      <c r="FI45" s="393"/>
      <c r="FJ45" s="393"/>
      <c r="FK45" s="393"/>
      <c r="FL45" s="393"/>
      <c r="FM45" s="393"/>
      <c r="FN45" s="393"/>
      <c r="FO45" s="393"/>
      <c r="FP45" s="393"/>
      <c r="FQ45" s="393"/>
      <c r="FR45" s="393"/>
      <c r="FS45" s="393"/>
      <c r="FT45" s="393"/>
      <c r="FU45" s="393"/>
      <c r="FV45" s="393"/>
      <c r="FW45" s="393"/>
      <c r="FX45" s="393"/>
      <c r="FY45" s="393"/>
      <c r="FZ45" s="393"/>
      <c r="GA45" s="393"/>
      <c r="GB45" s="393"/>
      <c r="GC45" s="393"/>
      <c r="GD45" s="393"/>
      <c r="GE45" s="393"/>
      <c r="GF45" s="393"/>
      <c r="GG45" s="393"/>
      <c r="GH45" s="393"/>
      <c r="GI45" s="393"/>
      <c r="GJ45" s="393"/>
      <c r="GK45" s="393"/>
      <c r="GL45" s="393"/>
      <c r="GM45" s="393"/>
      <c r="GN45" s="393"/>
      <c r="GO45" s="393"/>
      <c r="GP45" s="393"/>
      <c r="GQ45" s="393"/>
      <c r="GR45" s="393"/>
      <c r="GS45" s="393"/>
      <c r="GT45" s="393"/>
      <c r="GU45" s="393"/>
      <c r="GV45" s="393"/>
      <c r="GW45" s="393"/>
      <c r="GX45" s="393"/>
      <c r="GY45" s="393"/>
      <c r="GZ45" s="393"/>
      <c r="HA45" s="393"/>
      <c r="HB45" s="393"/>
      <c r="HC45" s="393"/>
      <c r="HD45" s="393"/>
      <c r="HE45" s="393"/>
      <c r="HF45" s="393"/>
      <c r="HG45" s="393"/>
      <c r="HH45" s="393"/>
      <c r="HI45" s="393"/>
      <c r="HJ45" s="393"/>
      <c r="HK45" s="393"/>
      <c r="HL45" s="393"/>
      <c r="HM45" s="393"/>
      <c r="HN45" s="393"/>
      <c r="HO45" s="393"/>
      <c r="HP45" s="393"/>
      <c r="HQ45" s="393"/>
      <c r="HR45" s="393"/>
      <c r="HS45" s="393"/>
      <c r="HT45" s="393"/>
      <c r="HU45" s="393"/>
      <c r="HV45" s="393"/>
      <c r="HW45" s="393"/>
      <c r="HX45" s="393"/>
      <c r="HY45" s="393"/>
      <c r="HZ45" s="393"/>
      <c r="IA45" s="393"/>
      <c r="IB45" s="393"/>
      <c r="IC45" s="393"/>
      <c r="ID45" s="393"/>
      <c r="IE45" s="393"/>
      <c r="IF45" s="393"/>
      <c r="IG45" s="393"/>
      <c r="IH45" s="393"/>
      <c r="II45" s="393"/>
      <c r="IJ45" s="393"/>
      <c r="IK45" s="393"/>
      <c r="IL45" s="393"/>
      <c r="IM45" s="393"/>
      <c r="IN45" s="393"/>
      <c r="IO45" s="393"/>
      <c r="IP45" s="393"/>
      <c r="IQ45" s="393"/>
      <c r="IR45" s="393"/>
      <c r="IS45" s="393"/>
      <c r="IT45" s="393"/>
      <c r="IU45" s="393"/>
      <c r="IV45" s="393"/>
      <c r="IW45" s="393"/>
    </row>
    <row r="46" customFormat="false" ht="12.75" hidden="false" customHeight="false" outlineLevel="0" collapsed="false">
      <c r="A46" s="397" t="s">
        <v>359</v>
      </c>
      <c r="B46" s="406" t="n">
        <f aca="false">B17</f>
        <v>3380.08</v>
      </c>
      <c r="C46" s="405"/>
      <c r="D46" s="183" t="n">
        <f aca="false">D42*$B$46</f>
        <v>450.677333333333</v>
      </c>
      <c r="E46" s="183" t="n">
        <f aca="false">E42*$B$46</f>
        <v>676.016</v>
      </c>
      <c r="F46" s="183" t="n">
        <f aca="false">F42*$B$46</f>
        <v>676.016</v>
      </c>
      <c r="G46" s="183" t="n">
        <f aca="false">G42*$B$46</f>
        <v>676.016</v>
      </c>
      <c r="H46" s="183" t="n">
        <f aca="false">H42*$B$46</f>
        <v>676.016</v>
      </c>
      <c r="I46" s="183" t="n">
        <f aca="false">I42*$B$46</f>
        <v>225.338666666667</v>
      </c>
      <c r="J46" s="183" t="n">
        <f aca="false">J42*$B$46</f>
        <v>0</v>
      </c>
      <c r="K46" s="183" t="n">
        <f aca="false">K42*$B$46</f>
        <v>0</v>
      </c>
      <c r="L46" s="183" t="n">
        <f aca="false">L42*$B$46</f>
        <v>0</v>
      </c>
      <c r="M46" s="183" t="n">
        <f aca="false">M42*$B$46</f>
        <v>0</v>
      </c>
      <c r="N46" s="183" t="n">
        <f aca="false">N42*$B$46</f>
        <v>0</v>
      </c>
      <c r="O46" s="183" t="n">
        <f aca="false">O42*$B$46</f>
        <v>0</v>
      </c>
      <c r="P46" s="183" t="n">
        <f aca="false">P42*$B$46</f>
        <v>0</v>
      </c>
      <c r="Q46" s="183" t="n">
        <f aca="false">Q42*$B$46</f>
        <v>0</v>
      </c>
      <c r="R46" s="183" t="n">
        <f aca="false">R42*$B$46</f>
        <v>0</v>
      </c>
      <c r="S46" s="183" t="n">
        <f aca="false">S42*$B$46</f>
        <v>0</v>
      </c>
      <c r="T46" s="183" t="n">
        <f aca="false">T42*$B$46</f>
        <v>0</v>
      </c>
      <c r="U46" s="183" t="n">
        <f aca="false">U42*$B$46</f>
        <v>0</v>
      </c>
      <c r="V46" s="183" t="n">
        <f aca="false">V42*$B$46</f>
        <v>0</v>
      </c>
      <c r="W46" s="183" t="n">
        <f aca="false">W42*$B$46</f>
        <v>0</v>
      </c>
      <c r="X46" s="183" t="n">
        <f aca="false">X42*$B$46</f>
        <v>0</v>
      </c>
      <c r="Y46" s="183" t="n">
        <f aca="false">Y42*$B$46</f>
        <v>0</v>
      </c>
      <c r="Z46" s="183" t="n">
        <f aca="false">Z42*$B$46</f>
        <v>0</v>
      </c>
      <c r="AA46" s="183" t="n">
        <f aca="false">AA42*$B$46</f>
        <v>0</v>
      </c>
      <c r="AB46" s="183" t="n">
        <f aca="false">AB42*$B$46</f>
        <v>0</v>
      </c>
      <c r="AC46" s="183" t="n">
        <f aca="false">AC42*$B$46</f>
        <v>0</v>
      </c>
      <c r="AD46" s="183" t="n">
        <f aca="false">AD42*$B$46</f>
        <v>0</v>
      </c>
      <c r="AE46" s="183" t="n">
        <f aca="false">AE42*$B$46</f>
        <v>0</v>
      </c>
      <c r="AF46" s="183" t="n">
        <f aca="false">AF42*$B$46</f>
        <v>0</v>
      </c>
      <c r="AG46" s="183" t="n">
        <f aca="false">AG42*$B$46</f>
        <v>0</v>
      </c>
      <c r="AH46" s="183" t="n">
        <f aca="false">AH42*$B$46</f>
        <v>0</v>
      </c>
      <c r="AI46" s="415"/>
      <c r="AJ46" s="415"/>
      <c r="AK46" s="415"/>
      <c r="AL46" s="415"/>
      <c r="AM46" s="393"/>
      <c r="AN46" s="393"/>
      <c r="AO46" s="393"/>
      <c r="AP46" s="393"/>
      <c r="AQ46" s="393"/>
      <c r="AR46" s="393"/>
      <c r="AS46" s="393"/>
      <c r="AT46" s="393"/>
      <c r="AU46" s="393"/>
      <c r="AV46" s="393"/>
      <c r="AW46" s="393"/>
      <c r="AX46" s="393"/>
      <c r="AY46" s="393"/>
      <c r="AZ46" s="393"/>
      <c r="BA46" s="393"/>
      <c r="BB46" s="393"/>
      <c r="BC46" s="393"/>
      <c r="BD46" s="393"/>
      <c r="BE46" s="393"/>
      <c r="BF46" s="393"/>
      <c r="BG46" s="393"/>
      <c r="BH46" s="393"/>
      <c r="BI46" s="393"/>
      <c r="BJ46" s="393"/>
      <c r="BK46" s="393"/>
      <c r="BL46" s="393"/>
      <c r="BM46" s="393"/>
      <c r="BN46" s="393"/>
      <c r="BO46" s="393"/>
      <c r="BP46" s="393"/>
      <c r="BQ46" s="393"/>
      <c r="BR46" s="393"/>
      <c r="BS46" s="393"/>
      <c r="BT46" s="393"/>
      <c r="BU46" s="393"/>
      <c r="BV46" s="393"/>
      <c r="BW46" s="393"/>
      <c r="BX46" s="393"/>
      <c r="BY46" s="393"/>
      <c r="BZ46" s="393"/>
      <c r="CA46" s="393"/>
      <c r="CB46" s="393"/>
      <c r="CC46" s="393"/>
      <c r="CD46" s="393"/>
      <c r="CE46" s="393"/>
      <c r="CF46" s="393"/>
      <c r="CG46" s="393"/>
      <c r="CH46" s="393"/>
      <c r="CI46" s="393"/>
      <c r="CJ46" s="393"/>
      <c r="CK46" s="393"/>
      <c r="CL46" s="393"/>
      <c r="CM46" s="393"/>
      <c r="CN46" s="393"/>
      <c r="CO46" s="393"/>
      <c r="CP46" s="393"/>
      <c r="CQ46" s="393"/>
      <c r="CR46" s="393"/>
      <c r="CS46" s="393"/>
      <c r="CT46" s="393"/>
      <c r="CU46" s="393"/>
      <c r="CV46" s="393"/>
      <c r="CW46" s="393"/>
      <c r="CX46" s="393"/>
      <c r="CY46" s="393"/>
      <c r="CZ46" s="393"/>
      <c r="DA46" s="393"/>
      <c r="DB46" s="393"/>
      <c r="DC46" s="393"/>
      <c r="DD46" s="393"/>
      <c r="DE46" s="393"/>
      <c r="DF46" s="393"/>
      <c r="DG46" s="393"/>
      <c r="DH46" s="393"/>
      <c r="DI46" s="393"/>
      <c r="DJ46" s="393"/>
      <c r="DK46" s="393"/>
      <c r="DL46" s="393"/>
      <c r="DM46" s="393"/>
      <c r="DN46" s="393"/>
      <c r="DO46" s="393"/>
      <c r="DP46" s="393"/>
      <c r="DQ46" s="393"/>
      <c r="DR46" s="393"/>
      <c r="DS46" s="393"/>
      <c r="DT46" s="393"/>
      <c r="DU46" s="393"/>
      <c r="DV46" s="393"/>
      <c r="DW46" s="393"/>
      <c r="DX46" s="393"/>
      <c r="DY46" s="393"/>
      <c r="DZ46" s="393"/>
      <c r="EA46" s="393"/>
      <c r="EB46" s="393"/>
      <c r="EC46" s="393"/>
      <c r="ED46" s="393"/>
      <c r="EE46" s="393"/>
      <c r="EF46" s="393"/>
      <c r="EG46" s="393"/>
      <c r="EH46" s="393"/>
      <c r="EI46" s="393"/>
      <c r="EJ46" s="393"/>
      <c r="EK46" s="393"/>
      <c r="EL46" s="393"/>
      <c r="EM46" s="393"/>
      <c r="EN46" s="393"/>
      <c r="EO46" s="393"/>
      <c r="EP46" s="393"/>
      <c r="EQ46" s="393"/>
      <c r="ER46" s="393"/>
      <c r="ES46" s="393"/>
      <c r="ET46" s="393"/>
      <c r="EU46" s="393"/>
      <c r="EV46" s="393"/>
      <c r="EW46" s="393"/>
      <c r="EX46" s="393"/>
      <c r="EY46" s="393"/>
      <c r="EZ46" s="393"/>
      <c r="FA46" s="393"/>
      <c r="FB46" s="393"/>
      <c r="FC46" s="393"/>
      <c r="FD46" s="393"/>
      <c r="FE46" s="393"/>
      <c r="FF46" s="393"/>
      <c r="FG46" s="393"/>
      <c r="FH46" s="393"/>
      <c r="FI46" s="393"/>
      <c r="FJ46" s="393"/>
      <c r="FK46" s="393"/>
      <c r="FL46" s="393"/>
      <c r="FM46" s="393"/>
      <c r="FN46" s="393"/>
      <c r="FO46" s="393"/>
      <c r="FP46" s="393"/>
      <c r="FQ46" s="393"/>
      <c r="FR46" s="393"/>
      <c r="FS46" s="393"/>
      <c r="FT46" s="393"/>
      <c r="FU46" s="393"/>
      <c r="FV46" s="393"/>
      <c r="FW46" s="393"/>
      <c r="FX46" s="393"/>
      <c r="FY46" s="393"/>
      <c r="FZ46" s="393"/>
      <c r="GA46" s="393"/>
      <c r="GB46" s="393"/>
      <c r="GC46" s="393"/>
      <c r="GD46" s="393"/>
      <c r="GE46" s="393"/>
      <c r="GF46" s="393"/>
      <c r="GG46" s="393"/>
      <c r="GH46" s="393"/>
      <c r="GI46" s="393"/>
      <c r="GJ46" s="393"/>
      <c r="GK46" s="393"/>
      <c r="GL46" s="393"/>
      <c r="GM46" s="393"/>
      <c r="GN46" s="393"/>
      <c r="GO46" s="393"/>
      <c r="GP46" s="393"/>
      <c r="GQ46" s="393"/>
      <c r="GR46" s="393"/>
      <c r="GS46" s="393"/>
      <c r="GT46" s="393"/>
      <c r="GU46" s="393"/>
      <c r="GV46" s="393"/>
      <c r="GW46" s="393"/>
      <c r="GX46" s="393"/>
      <c r="GY46" s="393"/>
      <c r="GZ46" s="393"/>
      <c r="HA46" s="393"/>
      <c r="HB46" s="393"/>
      <c r="HC46" s="393"/>
      <c r="HD46" s="393"/>
      <c r="HE46" s="393"/>
      <c r="HF46" s="393"/>
      <c r="HG46" s="393"/>
      <c r="HH46" s="393"/>
      <c r="HI46" s="393"/>
      <c r="HJ46" s="393"/>
      <c r="HK46" s="393"/>
      <c r="HL46" s="393"/>
      <c r="HM46" s="393"/>
      <c r="HN46" s="393"/>
      <c r="HO46" s="393"/>
      <c r="HP46" s="393"/>
      <c r="HQ46" s="393"/>
      <c r="HR46" s="393"/>
      <c r="HS46" s="393"/>
      <c r="HT46" s="393"/>
      <c r="HU46" s="393"/>
      <c r="HV46" s="393"/>
      <c r="HW46" s="393"/>
      <c r="HX46" s="393"/>
      <c r="HY46" s="393"/>
      <c r="HZ46" s="393"/>
      <c r="IA46" s="393"/>
      <c r="IB46" s="393"/>
      <c r="IC46" s="393"/>
      <c r="ID46" s="393"/>
      <c r="IE46" s="393"/>
      <c r="IF46" s="393"/>
      <c r="IG46" s="393"/>
      <c r="IH46" s="393"/>
      <c r="II46" s="393"/>
      <c r="IJ46" s="393"/>
      <c r="IK46" s="393"/>
      <c r="IL46" s="393"/>
      <c r="IM46" s="393"/>
      <c r="IN46" s="393"/>
      <c r="IO46" s="393"/>
      <c r="IP46" s="393"/>
      <c r="IQ46" s="393"/>
      <c r="IR46" s="393"/>
      <c r="IS46" s="393"/>
      <c r="IT46" s="393"/>
      <c r="IU46" s="393"/>
      <c r="IV46" s="393"/>
      <c r="IW46" s="393"/>
    </row>
    <row r="47" customFormat="false" ht="15" hidden="false" customHeight="false" outlineLevel="0" collapsed="false">
      <c r="A47" s="400" t="s">
        <v>360</v>
      </c>
      <c r="B47" s="308" t="n">
        <f aca="false">B18</f>
        <v>0</v>
      </c>
      <c r="C47" s="405"/>
      <c r="D47" s="308" t="n">
        <f aca="false">D43*$B$47</f>
        <v>0</v>
      </c>
      <c r="E47" s="308" t="n">
        <f aca="false">E43*$B$47</f>
        <v>0</v>
      </c>
      <c r="F47" s="308" t="n">
        <f aca="false">F43*$B$47</f>
        <v>0</v>
      </c>
      <c r="G47" s="308" t="n">
        <f aca="false">G43*$B$47</f>
        <v>0</v>
      </c>
      <c r="H47" s="308" t="n">
        <f aca="false">H43*$B$47</f>
        <v>0</v>
      </c>
      <c r="I47" s="308" t="n">
        <f aca="false">I43*$B$47</f>
        <v>0</v>
      </c>
      <c r="J47" s="308" t="n">
        <f aca="false">J43*$B$47</f>
        <v>0</v>
      </c>
      <c r="K47" s="308" t="n">
        <f aca="false">K43*$B$47</f>
        <v>0</v>
      </c>
      <c r="L47" s="308" t="n">
        <f aca="false">L43*$B$47</f>
        <v>0</v>
      </c>
      <c r="M47" s="308" t="n">
        <f aca="false">M43*$B$47</f>
        <v>0</v>
      </c>
      <c r="N47" s="308" t="n">
        <f aca="false">N43*$B$47</f>
        <v>0</v>
      </c>
      <c r="O47" s="308" t="n">
        <f aca="false">O43*$B$47</f>
        <v>0</v>
      </c>
      <c r="P47" s="308" t="n">
        <f aca="false">P43*$B$47</f>
        <v>0</v>
      </c>
      <c r="Q47" s="308" t="n">
        <f aca="false">Q43*$B$47</f>
        <v>0</v>
      </c>
      <c r="R47" s="308" t="n">
        <f aca="false">R43*$B$47</f>
        <v>0</v>
      </c>
      <c r="S47" s="308" t="n">
        <f aca="false">S43*$B$47</f>
        <v>0</v>
      </c>
      <c r="T47" s="308" t="n">
        <f aca="false">T43*$B$47</f>
        <v>0</v>
      </c>
      <c r="U47" s="308" t="n">
        <f aca="false">U43*$B$47</f>
        <v>0</v>
      </c>
      <c r="V47" s="308" t="n">
        <f aca="false">V43*$B$47</f>
        <v>0</v>
      </c>
      <c r="W47" s="308" t="n">
        <f aca="false">W43*$B$47</f>
        <v>0</v>
      </c>
      <c r="X47" s="308" t="n">
        <f aca="false">X43*$B$47</f>
        <v>0</v>
      </c>
      <c r="Y47" s="308" t="n">
        <f aca="false">Y43*$B$47</f>
        <v>0</v>
      </c>
      <c r="Z47" s="308" t="n">
        <f aca="false">Z43*$B$47</f>
        <v>0</v>
      </c>
      <c r="AA47" s="308" t="n">
        <f aca="false">AA43*$B$47</f>
        <v>0</v>
      </c>
      <c r="AB47" s="308" t="n">
        <f aca="false">AB43*$B$47</f>
        <v>0</v>
      </c>
      <c r="AC47" s="308" t="n">
        <f aca="false">AC43*$B$47</f>
        <v>0</v>
      </c>
      <c r="AD47" s="308" t="n">
        <f aca="false">AD43*$B$47</f>
        <v>0</v>
      </c>
      <c r="AE47" s="308" t="n">
        <f aca="false">AE43*$B$47</f>
        <v>0</v>
      </c>
      <c r="AF47" s="308" t="n">
        <f aca="false">AF43*$B$47</f>
        <v>0</v>
      </c>
      <c r="AG47" s="308" t="n">
        <f aca="false">AG43*$B$47</f>
        <v>0</v>
      </c>
      <c r="AH47" s="308" t="n">
        <f aca="false">AH43*$B$47</f>
        <v>0</v>
      </c>
      <c r="AI47" s="415"/>
      <c r="AJ47" s="415"/>
      <c r="AK47" s="415"/>
      <c r="AL47" s="415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393"/>
      <c r="AX47" s="393"/>
      <c r="AY47" s="393"/>
      <c r="AZ47" s="393"/>
      <c r="BA47" s="393"/>
      <c r="BB47" s="393"/>
      <c r="BC47" s="393"/>
      <c r="BD47" s="393"/>
      <c r="BE47" s="393"/>
      <c r="BF47" s="393"/>
      <c r="BG47" s="393"/>
      <c r="BH47" s="393"/>
      <c r="BI47" s="393"/>
      <c r="BJ47" s="393"/>
      <c r="BK47" s="393"/>
      <c r="BL47" s="393"/>
      <c r="BM47" s="393"/>
      <c r="BN47" s="393"/>
      <c r="BO47" s="393"/>
      <c r="BP47" s="393"/>
      <c r="BQ47" s="393"/>
      <c r="BR47" s="393"/>
      <c r="BS47" s="393"/>
      <c r="BT47" s="393"/>
      <c r="BU47" s="393"/>
      <c r="BV47" s="393"/>
      <c r="BW47" s="393"/>
      <c r="BX47" s="393"/>
      <c r="BY47" s="393"/>
      <c r="BZ47" s="393"/>
      <c r="CA47" s="393"/>
      <c r="CB47" s="393"/>
      <c r="CC47" s="393"/>
      <c r="CD47" s="393"/>
      <c r="CE47" s="393"/>
      <c r="CF47" s="393"/>
      <c r="CG47" s="393"/>
      <c r="CH47" s="393"/>
      <c r="CI47" s="393"/>
      <c r="CJ47" s="393"/>
      <c r="CK47" s="393"/>
      <c r="CL47" s="393"/>
      <c r="CM47" s="393"/>
      <c r="CN47" s="393"/>
      <c r="CO47" s="393"/>
      <c r="CP47" s="393"/>
      <c r="CQ47" s="393"/>
      <c r="CR47" s="393"/>
      <c r="CS47" s="393"/>
      <c r="CT47" s="393"/>
      <c r="CU47" s="393"/>
      <c r="CV47" s="393"/>
      <c r="CW47" s="393"/>
      <c r="CX47" s="393"/>
      <c r="CY47" s="393"/>
      <c r="CZ47" s="393"/>
      <c r="DA47" s="393"/>
      <c r="DB47" s="393"/>
      <c r="DC47" s="393"/>
      <c r="DD47" s="393"/>
      <c r="DE47" s="393"/>
      <c r="DF47" s="393"/>
      <c r="DG47" s="393"/>
      <c r="DH47" s="393"/>
      <c r="DI47" s="393"/>
      <c r="DJ47" s="393"/>
      <c r="DK47" s="393"/>
      <c r="DL47" s="393"/>
      <c r="DM47" s="393"/>
      <c r="DN47" s="393"/>
      <c r="DO47" s="393"/>
      <c r="DP47" s="393"/>
      <c r="DQ47" s="393"/>
      <c r="DR47" s="393"/>
      <c r="DS47" s="393"/>
      <c r="DT47" s="393"/>
      <c r="DU47" s="393"/>
      <c r="DV47" s="393"/>
      <c r="DW47" s="393"/>
      <c r="DX47" s="393"/>
      <c r="DY47" s="393"/>
      <c r="DZ47" s="393"/>
      <c r="EA47" s="393"/>
      <c r="EB47" s="393"/>
      <c r="EC47" s="393"/>
      <c r="ED47" s="393"/>
      <c r="EE47" s="393"/>
      <c r="EF47" s="393"/>
      <c r="EG47" s="393"/>
      <c r="EH47" s="393"/>
      <c r="EI47" s="393"/>
      <c r="EJ47" s="393"/>
      <c r="EK47" s="393"/>
      <c r="EL47" s="393"/>
      <c r="EM47" s="393"/>
      <c r="EN47" s="393"/>
      <c r="EO47" s="393"/>
      <c r="EP47" s="393"/>
      <c r="EQ47" s="393"/>
      <c r="ER47" s="393"/>
      <c r="ES47" s="393"/>
      <c r="ET47" s="393"/>
      <c r="EU47" s="393"/>
      <c r="EV47" s="393"/>
      <c r="EW47" s="393"/>
      <c r="EX47" s="393"/>
      <c r="EY47" s="393"/>
      <c r="EZ47" s="393"/>
      <c r="FA47" s="393"/>
      <c r="FB47" s="393"/>
      <c r="FC47" s="393"/>
      <c r="FD47" s="393"/>
      <c r="FE47" s="393"/>
      <c r="FF47" s="393"/>
      <c r="FG47" s="393"/>
      <c r="FH47" s="393"/>
      <c r="FI47" s="393"/>
      <c r="FJ47" s="393"/>
      <c r="FK47" s="393"/>
      <c r="FL47" s="393"/>
      <c r="FM47" s="393"/>
      <c r="FN47" s="393"/>
      <c r="FO47" s="393"/>
      <c r="FP47" s="393"/>
      <c r="FQ47" s="393"/>
      <c r="FR47" s="393"/>
      <c r="FS47" s="393"/>
      <c r="FT47" s="393"/>
      <c r="FU47" s="393"/>
      <c r="FV47" s="393"/>
      <c r="FW47" s="393"/>
      <c r="FX47" s="393"/>
      <c r="FY47" s="393"/>
      <c r="FZ47" s="393"/>
      <c r="GA47" s="393"/>
      <c r="GB47" s="393"/>
      <c r="GC47" s="393"/>
      <c r="GD47" s="393"/>
      <c r="GE47" s="393"/>
      <c r="GF47" s="393"/>
      <c r="GG47" s="393"/>
      <c r="GH47" s="393"/>
      <c r="GI47" s="393"/>
      <c r="GJ47" s="393"/>
      <c r="GK47" s="393"/>
      <c r="GL47" s="393"/>
      <c r="GM47" s="393"/>
      <c r="GN47" s="393"/>
      <c r="GO47" s="393"/>
      <c r="GP47" s="393"/>
      <c r="GQ47" s="393"/>
      <c r="GR47" s="393"/>
      <c r="GS47" s="393"/>
      <c r="GT47" s="393"/>
      <c r="GU47" s="393"/>
      <c r="GV47" s="393"/>
      <c r="GW47" s="393"/>
      <c r="GX47" s="393"/>
      <c r="GY47" s="393"/>
      <c r="GZ47" s="393"/>
      <c r="HA47" s="393"/>
      <c r="HB47" s="393"/>
      <c r="HC47" s="393"/>
      <c r="HD47" s="393"/>
      <c r="HE47" s="393"/>
      <c r="HF47" s="393"/>
      <c r="HG47" s="393"/>
      <c r="HH47" s="393"/>
      <c r="HI47" s="393"/>
      <c r="HJ47" s="393"/>
      <c r="HK47" s="393"/>
      <c r="HL47" s="393"/>
      <c r="HM47" s="393"/>
      <c r="HN47" s="393"/>
      <c r="HO47" s="393"/>
      <c r="HP47" s="393"/>
      <c r="HQ47" s="393"/>
      <c r="HR47" s="393"/>
      <c r="HS47" s="393"/>
      <c r="HT47" s="393"/>
      <c r="HU47" s="393"/>
      <c r="HV47" s="393"/>
      <c r="HW47" s="393"/>
      <c r="HX47" s="393"/>
      <c r="HY47" s="393"/>
      <c r="HZ47" s="393"/>
      <c r="IA47" s="393"/>
      <c r="IB47" s="393"/>
      <c r="IC47" s="393"/>
      <c r="ID47" s="393"/>
      <c r="IE47" s="393"/>
      <c r="IF47" s="393"/>
      <c r="IG47" s="393"/>
      <c r="IH47" s="393"/>
      <c r="II47" s="393"/>
      <c r="IJ47" s="393"/>
      <c r="IK47" s="393"/>
      <c r="IL47" s="393"/>
      <c r="IM47" s="393"/>
      <c r="IN47" s="393"/>
      <c r="IO47" s="393"/>
      <c r="IP47" s="393"/>
      <c r="IQ47" s="393"/>
      <c r="IR47" s="393"/>
      <c r="IS47" s="393"/>
      <c r="IT47" s="393"/>
      <c r="IU47" s="393"/>
      <c r="IV47" s="393"/>
      <c r="IW47" s="393"/>
    </row>
    <row r="48" customFormat="false" ht="12.75" hidden="false" customHeight="false" outlineLevel="0" collapsed="false">
      <c r="A48" s="411" t="s">
        <v>361</v>
      </c>
      <c r="B48" s="183" t="n">
        <f aca="false">SUM(B45:B47)</f>
        <v>79110.2147347428</v>
      </c>
      <c r="C48" s="405"/>
      <c r="D48" s="183" t="n">
        <f aca="false">SUM(D45:D47)</f>
        <v>1965.28002802819</v>
      </c>
      <c r="E48" s="183" t="n">
        <f aca="false">SUM(E45:E47)</f>
        <v>2947.92004204228</v>
      </c>
      <c r="F48" s="183" t="n">
        <f aca="false">SUM(F45:F47)</f>
        <v>2947.92004204228</v>
      </c>
      <c r="G48" s="183" t="n">
        <f aca="false">SUM(G45:G47)</f>
        <v>2947.92004204228</v>
      </c>
      <c r="H48" s="183" t="n">
        <f aca="false">SUM(H45:H47)</f>
        <v>2947.92004204228</v>
      </c>
      <c r="I48" s="183" t="n">
        <f aca="false">SUM(I45:I47)</f>
        <v>2497.24270870895</v>
      </c>
      <c r="J48" s="183" t="n">
        <f aca="false">SUM(J45:J47)</f>
        <v>2271.90404204228</v>
      </c>
      <c r="K48" s="183" t="n">
        <f aca="false">SUM(K45:K47)</f>
        <v>2271.90404204228</v>
      </c>
      <c r="L48" s="183" t="n">
        <f aca="false">SUM(L45:L47)</f>
        <v>2271.90404204228</v>
      </c>
      <c r="M48" s="183" t="n">
        <f aca="false">SUM(M45:M47)</f>
        <v>2271.90404204228</v>
      </c>
      <c r="N48" s="183" t="n">
        <f aca="false">SUM(N45:N47)</f>
        <v>2271.90404204228</v>
      </c>
      <c r="O48" s="183" t="n">
        <f aca="false">SUM(O45:O47)</f>
        <v>2271.90404204228</v>
      </c>
      <c r="P48" s="183" t="n">
        <f aca="false">SUM(P45:P47)</f>
        <v>2271.90404204228</v>
      </c>
      <c r="Q48" s="183" t="n">
        <f aca="false">SUM(Q45:Q47)</f>
        <v>2271.90404204228</v>
      </c>
      <c r="R48" s="183" t="n">
        <f aca="false">SUM(R45:R47)</f>
        <v>2271.90404204228</v>
      </c>
      <c r="S48" s="183" t="n">
        <f aca="false">SUM(S45:S47)</f>
        <v>2271.90404204228</v>
      </c>
      <c r="T48" s="183" t="n">
        <f aca="false">SUM(T45:T47)</f>
        <v>2271.90404204228</v>
      </c>
      <c r="U48" s="183" t="n">
        <f aca="false">SUM(U45:U47)</f>
        <v>2271.90404204228</v>
      </c>
      <c r="V48" s="183" t="n">
        <f aca="false">SUM(V45:V47)</f>
        <v>2271.90404204228</v>
      </c>
      <c r="W48" s="183" t="n">
        <f aca="false">SUM(W45:W47)</f>
        <v>2271.90404204228</v>
      </c>
      <c r="X48" s="183" t="n">
        <f aca="false">SUM(X45:X47)</f>
        <v>2271.90404204228</v>
      </c>
      <c r="Y48" s="183" t="n">
        <f aca="false">SUM(Y45:Y47)</f>
        <v>2271.90404204228</v>
      </c>
      <c r="Z48" s="183" t="n">
        <f aca="false">SUM(Z45:Z47)</f>
        <v>2271.90404204228</v>
      </c>
      <c r="AA48" s="183" t="n">
        <f aca="false">SUM(AA45:AA47)</f>
        <v>2271.90404204228</v>
      </c>
      <c r="AB48" s="183" t="n">
        <f aca="false">SUM(AB45:AB47)</f>
        <v>2271.90404204228</v>
      </c>
      <c r="AC48" s="183" t="n">
        <f aca="false">SUM(AC45:AC47)</f>
        <v>2271.90404204228</v>
      </c>
      <c r="AD48" s="183" t="n">
        <f aca="false">SUM(AD45:AD47)</f>
        <v>2271.90404204228</v>
      </c>
      <c r="AE48" s="183" t="n">
        <f aca="false">SUM(AE45:AE47)</f>
        <v>2271.90404204228</v>
      </c>
      <c r="AF48" s="183" t="n">
        <f aca="false">SUM(AF45:AF47)</f>
        <v>2271.90404204228</v>
      </c>
      <c r="AG48" s="183" t="n">
        <f aca="false">SUM(AG45:AG47)</f>
        <v>2271.90404204228</v>
      </c>
      <c r="AH48" s="183" t="n">
        <f aca="false">SUM(AH45:AH47)</f>
        <v>757.301347347428</v>
      </c>
      <c r="AI48" s="415"/>
      <c r="AJ48" s="415"/>
      <c r="AK48" s="415"/>
      <c r="AL48" s="415"/>
      <c r="AM48" s="393"/>
      <c r="AN48" s="393"/>
      <c r="AO48" s="393"/>
      <c r="AP48" s="393"/>
      <c r="AQ48" s="393"/>
      <c r="AR48" s="393"/>
      <c r="AS48" s="393"/>
      <c r="AT48" s="393"/>
      <c r="AU48" s="393"/>
      <c r="AV48" s="393"/>
      <c r="AW48" s="393"/>
      <c r="AX48" s="393"/>
      <c r="AY48" s="393"/>
      <c r="AZ48" s="393"/>
      <c r="BA48" s="393"/>
      <c r="BB48" s="393"/>
      <c r="BC48" s="393"/>
      <c r="BD48" s="393"/>
      <c r="BE48" s="393"/>
      <c r="BF48" s="393"/>
      <c r="BG48" s="393"/>
      <c r="BH48" s="393"/>
      <c r="BI48" s="393"/>
      <c r="BJ48" s="393"/>
      <c r="BK48" s="393"/>
      <c r="BL48" s="393"/>
      <c r="BM48" s="393"/>
      <c r="BN48" s="393"/>
      <c r="BO48" s="393"/>
      <c r="BP48" s="393"/>
      <c r="BQ48" s="393"/>
      <c r="BR48" s="393"/>
      <c r="BS48" s="393"/>
      <c r="BT48" s="393"/>
      <c r="BU48" s="393"/>
      <c r="BV48" s="393"/>
      <c r="BW48" s="393"/>
      <c r="BX48" s="393"/>
      <c r="BY48" s="393"/>
      <c r="BZ48" s="393"/>
      <c r="CA48" s="393"/>
      <c r="CB48" s="393"/>
      <c r="CC48" s="393"/>
      <c r="CD48" s="393"/>
      <c r="CE48" s="393"/>
      <c r="CF48" s="393"/>
      <c r="CG48" s="393"/>
      <c r="CH48" s="393"/>
      <c r="CI48" s="393"/>
      <c r="CJ48" s="393"/>
      <c r="CK48" s="393"/>
      <c r="CL48" s="393"/>
      <c r="CM48" s="393"/>
      <c r="CN48" s="393"/>
      <c r="CO48" s="393"/>
      <c r="CP48" s="393"/>
      <c r="CQ48" s="393"/>
      <c r="CR48" s="393"/>
      <c r="CS48" s="393"/>
      <c r="CT48" s="393"/>
      <c r="CU48" s="393"/>
      <c r="CV48" s="393"/>
      <c r="CW48" s="393"/>
      <c r="CX48" s="393"/>
      <c r="CY48" s="393"/>
      <c r="CZ48" s="393"/>
      <c r="DA48" s="393"/>
      <c r="DB48" s="393"/>
      <c r="DC48" s="393"/>
      <c r="DD48" s="393"/>
      <c r="DE48" s="393"/>
      <c r="DF48" s="393"/>
      <c r="DG48" s="393"/>
      <c r="DH48" s="393"/>
      <c r="DI48" s="393"/>
      <c r="DJ48" s="393"/>
      <c r="DK48" s="393"/>
      <c r="DL48" s="393"/>
      <c r="DM48" s="393"/>
      <c r="DN48" s="393"/>
      <c r="DO48" s="393"/>
      <c r="DP48" s="393"/>
      <c r="DQ48" s="393"/>
      <c r="DR48" s="393"/>
      <c r="DS48" s="393"/>
      <c r="DT48" s="393"/>
      <c r="DU48" s="393"/>
      <c r="DV48" s="393"/>
      <c r="DW48" s="393"/>
      <c r="DX48" s="393"/>
      <c r="DY48" s="393"/>
      <c r="DZ48" s="393"/>
      <c r="EA48" s="393"/>
      <c r="EB48" s="393"/>
      <c r="EC48" s="393"/>
      <c r="ED48" s="393"/>
      <c r="EE48" s="393"/>
      <c r="EF48" s="393"/>
      <c r="EG48" s="393"/>
      <c r="EH48" s="393"/>
      <c r="EI48" s="393"/>
      <c r="EJ48" s="393"/>
      <c r="EK48" s="393"/>
      <c r="EL48" s="393"/>
      <c r="EM48" s="393"/>
      <c r="EN48" s="393"/>
      <c r="EO48" s="393"/>
      <c r="EP48" s="393"/>
      <c r="EQ48" s="393"/>
      <c r="ER48" s="393"/>
      <c r="ES48" s="393"/>
      <c r="ET48" s="393"/>
      <c r="EU48" s="393"/>
      <c r="EV48" s="393"/>
      <c r="EW48" s="393"/>
      <c r="EX48" s="393"/>
      <c r="EY48" s="393"/>
      <c r="EZ48" s="393"/>
      <c r="FA48" s="393"/>
      <c r="FB48" s="393"/>
      <c r="FC48" s="393"/>
      <c r="FD48" s="393"/>
      <c r="FE48" s="393"/>
      <c r="FF48" s="393"/>
      <c r="FG48" s="393"/>
      <c r="FH48" s="393"/>
      <c r="FI48" s="393"/>
      <c r="FJ48" s="393"/>
      <c r="FK48" s="393"/>
      <c r="FL48" s="393"/>
      <c r="FM48" s="393"/>
      <c r="FN48" s="393"/>
      <c r="FO48" s="393"/>
      <c r="FP48" s="393"/>
      <c r="FQ48" s="393"/>
      <c r="FR48" s="393"/>
      <c r="FS48" s="393"/>
      <c r="FT48" s="393"/>
      <c r="FU48" s="393"/>
      <c r="FV48" s="393"/>
      <c r="FW48" s="393"/>
      <c r="FX48" s="393"/>
      <c r="FY48" s="393"/>
      <c r="FZ48" s="393"/>
      <c r="GA48" s="393"/>
      <c r="GB48" s="393"/>
      <c r="GC48" s="393"/>
      <c r="GD48" s="393"/>
      <c r="GE48" s="393"/>
      <c r="GF48" s="393"/>
      <c r="GG48" s="393"/>
      <c r="GH48" s="393"/>
      <c r="GI48" s="393"/>
      <c r="GJ48" s="393"/>
      <c r="GK48" s="393"/>
      <c r="GL48" s="393"/>
      <c r="GM48" s="393"/>
      <c r="GN48" s="393"/>
      <c r="GO48" s="393"/>
      <c r="GP48" s="393"/>
      <c r="GQ48" s="393"/>
      <c r="GR48" s="393"/>
      <c r="GS48" s="393"/>
      <c r="GT48" s="393"/>
      <c r="GU48" s="393"/>
      <c r="GV48" s="393"/>
      <c r="GW48" s="393"/>
      <c r="GX48" s="393"/>
      <c r="GY48" s="393"/>
      <c r="GZ48" s="393"/>
      <c r="HA48" s="393"/>
      <c r="HB48" s="393"/>
      <c r="HC48" s="393"/>
      <c r="HD48" s="393"/>
      <c r="HE48" s="393"/>
      <c r="HF48" s="393"/>
      <c r="HG48" s="393"/>
      <c r="HH48" s="393"/>
      <c r="HI48" s="393"/>
      <c r="HJ48" s="393"/>
      <c r="HK48" s="393"/>
      <c r="HL48" s="393"/>
      <c r="HM48" s="393"/>
      <c r="HN48" s="393"/>
      <c r="HO48" s="393"/>
      <c r="HP48" s="393"/>
      <c r="HQ48" s="393"/>
      <c r="HR48" s="393"/>
      <c r="HS48" s="393"/>
      <c r="HT48" s="393"/>
      <c r="HU48" s="393"/>
      <c r="HV48" s="393"/>
      <c r="HW48" s="393"/>
      <c r="HX48" s="393"/>
      <c r="HY48" s="393"/>
      <c r="HZ48" s="393"/>
      <c r="IA48" s="393"/>
      <c r="IB48" s="393"/>
      <c r="IC48" s="393"/>
      <c r="ID48" s="393"/>
      <c r="IE48" s="393"/>
      <c r="IF48" s="393"/>
      <c r="IG48" s="393"/>
      <c r="IH48" s="393"/>
      <c r="II48" s="393"/>
      <c r="IJ48" s="393"/>
      <c r="IK48" s="393"/>
      <c r="IL48" s="393"/>
      <c r="IM48" s="393"/>
      <c r="IN48" s="393"/>
      <c r="IO48" s="393"/>
      <c r="IP48" s="393"/>
      <c r="IQ48" s="393"/>
      <c r="IR48" s="393"/>
      <c r="IS48" s="393"/>
      <c r="IT48" s="393"/>
      <c r="IU48" s="393"/>
      <c r="IV48" s="393"/>
      <c r="IW48" s="393"/>
    </row>
    <row r="49" customFormat="false" ht="12.75" hidden="false" customHeight="false" outlineLevel="0" collapsed="false">
      <c r="A49" s="400"/>
      <c r="B49" s="183"/>
      <c r="C49" s="405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</row>
    <row r="50" customFormat="false" ht="12.75" hidden="false" customHeight="false" outlineLevel="0" collapsed="false">
      <c r="A50" s="420" t="s">
        <v>366</v>
      </c>
      <c r="B50" s="421" t="n">
        <f aca="false">B48</f>
        <v>79110.2147347428</v>
      </c>
      <c r="C50" s="407"/>
      <c r="D50" s="309" t="n">
        <f aca="false">B48-D48</f>
        <v>77144.9347067146</v>
      </c>
      <c r="E50" s="309" t="n">
        <f aca="false">D50-E48</f>
        <v>74197.0146646723</v>
      </c>
      <c r="F50" s="309" t="n">
        <f aca="false">E50-F48</f>
        <v>71249.09462263</v>
      </c>
      <c r="G50" s="309" t="n">
        <f aca="false">F50-G48</f>
        <v>68301.1745805877</v>
      </c>
      <c r="H50" s="309" t="n">
        <f aca="false">G50-H48</f>
        <v>65353.2545385454</v>
      </c>
      <c r="I50" s="309" t="n">
        <f aca="false">H50-I48</f>
        <v>62856.0118298365</v>
      </c>
      <c r="J50" s="309" t="n">
        <f aca="false">I50-J48</f>
        <v>60584.1077877942</v>
      </c>
      <c r="K50" s="309" t="n">
        <f aca="false">J50-K48</f>
        <v>58312.2037457519</v>
      </c>
      <c r="L50" s="309" t="n">
        <f aca="false">K50-L48</f>
        <v>56040.2997037096</v>
      </c>
      <c r="M50" s="309" t="n">
        <f aca="false">L50-M48</f>
        <v>53768.3956616673</v>
      </c>
      <c r="N50" s="309" t="n">
        <f aca="false">M50-N48</f>
        <v>51496.4916196251</v>
      </c>
      <c r="O50" s="309" t="n">
        <f aca="false">N50-O48</f>
        <v>49224.5875775828</v>
      </c>
      <c r="P50" s="309" t="n">
        <f aca="false">O50-P48</f>
        <v>46952.6835355405</v>
      </c>
      <c r="Q50" s="309" t="n">
        <f aca="false">P50-Q48</f>
        <v>44680.7794934982</v>
      </c>
      <c r="R50" s="309" t="n">
        <f aca="false">Q50-R48</f>
        <v>42408.8754514559</v>
      </c>
      <c r="S50" s="309" t="n">
        <f aca="false">R50-S48</f>
        <v>40136.9714094137</v>
      </c>
      <c r="T50" s="309" t="n">
        <f aca="false">S50-T48</f>
        <v>37865.0673673714</v>
      </c>
      <c r="U50" s="309" t="n">
        <f aca="false">T50-U48</f>
        <v>35593.1633253291</v>
      </c>
      <c r="V50" s="309" t="n">
        <f aca="false">U50-V48</f>
        <v>33321.2592832868</v>
      </c>
      <c r="W50" s="309" t="n">
        <f aca="false">V50-W48</f>
        <v>31049.3552412445</v>
      </c>
      <c r="X50" s="309" t="n">
        <f aca="false">W50-X48</f>
        <v>28777.4511992022</v>
      </c>
      <c r="Y50" s="309" t="n">
        <f aca="false">X50-Y48</f>
        <v>26505.54715716</v>
      </c>
      <c r="Z50" s="309" t="n">
        <f aca="false">Y50-Z48</f>
        <v>24233.6431151177</v>
      </c>
      <c r="AA50" s="309" t="n">
        <f aca="false">Z50-AA48</f>
        <v>21961.7390730754</v>
      </c>
      <c r="AB50" s="309" t="n">
        <f aca="false">AA50-AB48</f>
        <v>19689.8350310331</v>
      </c>
      <c r="AC50" s="309" t="n">
        <f aca="false">AB50-AC48</f>
        <v>17417.9309889908</v>
      </c>
      <c r="AD50" s="309" t="n">
        <f aca="false">AC50-AD48</f>
        <v>15146.0269469485</v>
      </c>
      <c r="AE50" s="309" t="n">
        <f aca="false">AD50-AE48</f>
        <v>12874.1229049063</v>
      </c>
      <c r="AF50" s="309" t="n">
        <f aca="false">AE50-AF48</f>
        <v>10602.218862864</v>
      </c>
      <c r="AG50" s="309" t="n">
        <f aca="false">AF50-AG48</f>
        <v>8330.3148208217</v>
      </c>
      <c r="AH50" s="309" t="n">
        <f aca="false">AG50-AH48</f>
        <v>7573.01347347427</v>
      </c>
      <c r="AI50" s="422"/>
      <c r="AJ50" s="422"/>
      <c r="AK50" s="422"/>
      <c r="AL50" s="422"/>
      <c r="AM50" s="387"/>
      <c r="AN50" s="387"/>
      <c r="AO50" s="387"/>
      <c r="AP50" s="387"/>
      <c r="AQ50" s="387"/>
      <c r="AR50" s="387"/>
      <c r="AS50" s="387"/>
      <c r="AT50" s="387"/>
      <c r="AU50" s="387"/>
      <c r="AV50" s="387"/>
      <c r="AW50" s="387"/>
      <c r="AX50" s="387"/>
      <c r="AY50" s="387"/>
      <c r="AZ50" s="387"/>
      <c r="BA50" s="387"/>
      <c r="BB50" s="387"/>
      <c r="BC50" s="387"/>
      <c r="BD50" s="387"/>
      <c r="BE50" s="387"/>
      <c r="BF50" s="387"/>
      <c r="BG50" s="387"/>
      <c r="BH50" s="387"/>
      <c r="BI50" s="387"/>
      <c r="BJ50" s="387"/>
      <c r="BK50" s="387"/>
      <c r="BL50" s="387"/>
      <c r="BM50" s="387"/>
      <c r="BN50" s="387"/>
      <c r="BO50" s="387"/>
      <c r="BP50" s="387"/>
      <c r="BQ50" s="387"/>
      <c r="BR50" s="387"/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387"/>
      <c r="CD50" s="387"/>
      <c r="CE50" s="387"/>
      <c r="CF50" s="387"/>
      <c r="CG50" s="387"/>
      <c r="CH50" s="387"/>
      <c r="CI50" s="387"/>
      <c r="CJ50" s="387"/>
      <c r="CK50" s="387"/>
      <c r="CL50" s="387"/>
      <c r="CM50" s="387"/>
      <c r="CN50" s="387"/>
      <c r="CO50" s="387"/>
      <c r="CP50" s="387"/>
      <c r="CQ50" s="387"/>
      <c r="CR50" s="387"/>
      <c r="CS50" s="387"/>
      <c r="CT50" s="387"/>
      <c r="CU50" s="387"/>
      <c r="CV50" s="387"/>
      <c r="CW50" s="387"/>
      <c r="CX50" s="387"/>
      <c r="CY50" s="387"/>
      <c r="CZ50" s="387"/>
      <c r="DA50" s="387"/>
      <c r="DB50" s="387"/>
      <c r="DC50" s="387"/>
      <c r="DD50" s="387"/>
      <c r="DE50" s="387"/>
      <c r="DF50" s="387"/>
      <c r="DG50" s="387"/>
      <c r="DH50" s="387"/>
      <c r="DI50" s="387"/>
      <c r="DJ50" s="387"/>
      <c r="DK50" s="387"/>
      <c r="DL50" s="387"/>
      <c r="DM50" s="387"/>
      <c r="DN50" s="387"/>
      <c r="DO50" s="387"/>
      <c r="DP50" s="387"/>
      <c r="DQ50" s="387"/>
      <c r="DR50" s="387"/>
      <c r="DS50" s="387"/>
      <c r="DT50" s="387"/>
      <c r="DU50" s="387"/>
      <c r="DV50" s="387"/>
      <c r="DW50" s="387"/>
      <c r="DX50" s="387"/>
      <c r="DY50" s="387"/>
      <c r="DZ50" s="387"/>
      <c r="EA50" s="387"/>
      <c r="EB50" s="387"/>
      <c r="EC50" s="387"/>
      <c r="ED50" s="387"/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387"/>
      <c r="ER50" s="387"/>
      <c r="ES50" s="387"/>
      <c r="ET50" s="387"/>
      <c r="EU50" s="387"/>
      <c r="EV50" s="387"/>
      <c r="EW50" s="387"/>
      <c r="EX50" s="387"/>
      <c r="EY50" s="387"/>
      <c r="EZ50" s="387"/>
      <c r="FA50" s="387"/>
      <c r="FB50" s="387"/>
      <c r="FC50" s="387"/>
      <c r="FD50" s="387"/>
      <c r="FE50" s="387"/>
      <c r="FF50" s="387"/>
      <c r="FG50" s="387"/>
      <c r="FH50" s="387"/>
      <c r="FI50" s="387"/>
      <c r="FJ50" s="387"/>
      <c r="FK50" s="387"/>
      <c r="FL50" s="387"/>
      <c r="FM50" s="387"/>
      <c r="FN50" s="387"/>
      <c r="FO50" s="387"/>
      <c r="FP50" s="387"/>
      <c r="FQ50" s="387"/>
      <c r="FR50" s="387"/>
      <c r="FS50" s="387"/>
      <c r="FT50" s="387"/>
      <c r="FU50" s="387"/>
      <c r="FV50" s="387"/>
      <c r="FW50" s="387"/>
      <c r="FX50" s="387"/>
      <c r="FY50" s="387"/>
      <c r="FZ50" s="387"/>
      <c r="GA50" s="387"/>
      <c r="GB50" s="387"/>
      <c r="GC50" s="387"/>
      <c r="GD50" s="387"/>
      <c r="GE50" s="387"/>
      <c r="GF50" s="387"/>
      <c r="GG50" s="387"/>
      <c r="GH50" s="387"/>
      <c r="GI50" s="387"/>
      <c r="GJ50" s="387"/>
      <c r="GK50" s="387"/>
      <c r="GL50" s="387"/>
      <c r="GM50" s="387"/>
      <c r="GN50" s="387"/>
      <c r="GO50" s="387"/>
      <c r="GP50" s="387"/>
      <c r="GQ50" s="387"/>
      <c r="GR50" s="387"/>
      <c r="GS50" s="387"/>
      <c r="GT50" s="387"/>
      <c r="GU50" s="387"/>
      <c r="GV50" s="387"/>
      <c r="GW50" s="387"/>
      <c r="GX50" s="387"/>
      <c r="GY50" s="387"/>
      <c r="GZ50" s="387"/>
      <c r="HA50" s="387"/>
      <c r="HB50" s="387"/>
      <c r="HC50" s="387"/>
      <c r="HD50" s="387"/>
      <c r="HE50" s="387"/>
      <c r="HF50" s="387"/>
      <c r="HG50" s="387"/>
      <c r="HH50" s="387"/>
      <c r="HI50" s="387"/>
      <c r="HJ50" s="387"/>
      <c r="HK50" s="387"/>
      <c r="HL50" s="387"/>
      <c r="HM50" s="387"/>
      <c r="HN50" s="387"/>
      <c r="HO50" s="387"/>
      <c r="HP50" s="387"/>
      <c r="HQ50" s="387"/>
      <c r="HR50" s="387"/>
      <c r="HS50" s="387"/>
      <c r="HT50" s="387"/>
      <c r="HU50" s="387"/>
      <c r="HV50" s="387"/>
      <c r="HW50" s="387"/>
      <c r="HX50" s="387"/>
      <c r="HY50" s="387"/>
      <c r="HZ50" s="387"/>
      <c r="IA50" s="387"/>
      <c r="IB50" s="387"/>
      <c r="IC50" s="387"/>
      <c r="ID50" s="387"/>
      <c r="IE50" s="387"/>
      <c r="IF50" s="387"/>
      <c r="IG50" s="387"/>
      <c r="IH50" s="387"/>
      <c r="II50" s="387"/>
      <c r="IJ50" s="387"/>
      <c r="IK50" s="387"/>
      <c r="IL50" s="387"/>
      <c r="IM50" s="387"/>
      <c r="IN50" s="387"/>
      <c r="IO50" s="387"/>
      <c r="IP50" s="387"/>
      <c r="IQ50" s="387"/>
      <c r="IR50" s="387"/>
      <c r="IS50" s="387"/>
      <c r="IT50" s="387"/>
      <c r="IU50" s="387"/>
      <c r="IV50" s="387"/>
      <c r="IW50" s="387"/>
    </row>
    <row r="52" customFormat="false" ht="12.75" hidden="false" customHeight="false" outlineLevel="0" collapsed="false">
      <c r="B52" s="26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423" t="s">
        <v>367</v>
      </c>
      <c r="B4" s="424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403"/>
      <c r="Y4" s="403"/>
    </row>
    <row r="5" customFormat="false" ht="12.75" hidden="false" customHeight="false" outlineLevel="0" collapsed="false">
      <c r="A5" s="425"/>
      <c r="B5" s="426"/>
      <c r="C5" s="417"/>
      <c r="D5" s="417"/>
      <c r="E5" s="417"/>
      <c r="F5" s="417"/>
      <c r="G5" s="417"/>
      <c r="H5" s="417"/>
      <c r="I5" s="427"/>
      <c r="J5" s="417"/>
      <c r="K5" s="417"/>
      <c r="L5" s="417"/>
      <c r="M5" s="417"/>
      <c r="N5" s="417"/>
      <c r="O5" s="427"/>
      <c r="P5" s="417"/>
      <c r="Q5" s="417"/>
      <c r="R5" s="417"/>
      <c r="S5" s="417"/>
      <c r="T5" s="417"/>
      <c r="U5" s="427"/>
      <c r="V5" s="417"/>
      <c r="W5" s="417"/>
      <c r="X5" s="426"/>
      <c r="Y5" s="426"/>
    </row>
    <row r="6" customFormat="false" ht="12.75" hidden="false" customHeight="false" outlineLevel="0" collapsed="false">
      <c r="A6" s="282"/>
      <c r="B6" s="428" t="n">
        <f aca="false">'Price Assumption'!D7</f>
        <v>0.666666666666667</v>
      </c>
      <c r="C6" s="428" t="n">
        <f aca="false">'Price Assumption'!E7</f>
        <v>1.66666666666667</v>
      </c>
      <c r="D6" s="428" t="n">
        <f aca="false">'Price Assumption'!F7</f>
        <v>2.66666666666667</v>
      </c>
      <c r="E6" s="428" t="n">
        <f aca="false">'Price Assumption'!G7</f>
        <v>3.66666666666667</v>
      </c>
      <c r="F6" s="428" t="n">
        <f aca="false">'Price Assumption'!H7</f>
        <v>4.66666666666667</v>
      </c>
      <c r="G6" s="428" t="n">
        <f aca="false">'Price Assumption'!I7</f>
        <v>5.66666666666667</v>
      </c>
      <c r="H6" s="428" t="n">
        <f aca="false">'Price Assumption'!J7</f>
        <v>6.66666666666667</v>
      </c>
      <c r="I6" s="428" t="n">
        <f aca="false">'Price Assumption'!K7</f>
        <v>7.66666666666667</v>
      </c>
      <c r="J6" s="428" t="n">
        <f aca="false">'Price Assumption'!L7</f>
        <v>8.66666666666667</v>
      </c>
      <c r="K6" s="428" t="n">
        <f aca="false">'Price Assumption'!M7</f>
        <v>9.66666666666667</v>
      </c>
      <c r="L6" s="428" t="n">
        <f aca="false">'Price Assumption'!N7</f>
        <v>10.6666666666667</v>
      </c>
      <c r="M6" s="428" t="n">
        <f aca="false">'Price Assumption'!O7</f>
        <v>11.6666666666667</v>
      </c>
      <c r="N6" s="428" t="n">
        <f aca="false">'Price Assumption'!P7</f>
        <v>12.6666666666667</v>
      </c>
      <c r="O6" s="428" t="n">
        <f aca="false">'Price Assumption'!Q7</f>
        <v>13.6666666666667</v>
      </c>
      <c r="P6" s="428" t="n">
        <f aca="false">'Price Assumption'!R7</f>
        <v>14.6666666666667</v>
      </c>
      <c r="Q6" s="428" t="n">
        <f aca="false">'Price Assumption'!S7</f>
        <v>15.6666666666667</v>
      </c>
      <c r="R6" s="428" t="n">
        <f aca="false">'Price Assumption'!T7</f>
        <v>16.6666666666667</v>
      </c>
      <c r="S6" s="428" t="n">
        <f aca="false">'Price Assumption'!U7</f>
        <v>17.6666666666667</v>
      </c>
      <c r="T6" s="428" t="n">
        <f aca="false">'Price Assumption'!V7</f>
        <v>18.6666666666667</v>
      </c>
      <c r="U6" s="428" t="n">
        <f aca="false">'Price Assumption'!W7</f>
        <v>19.6666666666667</v>
      </c>
      <c r="V6" s="428" t="n">
        <f aca="false">'Price Assumption'!X7</f>
        <v>20.6666666666667</v>
      </c>
      <c r="W6" s="428" t="n">
        <f aca="false">'Price Assumption'!Y7</f>
        <v>21.6666666666667</v>
      </c>
      <c r="X6" s="428" t="n">
        <f aca="false">'Price Assumption'!Z7</f>
        <v>22.6666666666667</v>
      </c>
      <c r="Y6" s="428" t="n">
        <f aca="false">'Price Assumption'!AA7</f>
        <v>23.6666666666667</v>
      </c>
      <c r="Z6" s="428" t="n">
        <f aca="false">'Price Assumption'!AB7</f>
        <v>24.6666666666667</v>
      </c>
      <c r="AA6" s="428" t="n">
        <f aca="false">'Price Assumption'!AC7</f>
        <v>25.6666666666667</v>
      </c>
      <c r="AB6" s="428" t="n">
        <f aca="false">'Price Assumption'!AD7</f>
        <v>26.6666666666667</v>
      </c>
      <c r="AC6" s="428" t="n">
        <f aca="false">'Price Assumption'!AE7</f>
        <v>27.6666666666667</v>
      </c>
      <c r="AD6" s="428" t="n">
        <f aca="false">'Price Assumption'!AF7</f>
        <v>28.6666666666667</v>
      </c>
      <c r="AE6" s="428" t="n">
        <f aca="false">'Price Assumption'!AG7</f>
        <v>29.6666666666667</v>
      </c>
      <c r="AF6" s="428" t="n">
        <f aca="false">'Price Assumption'!AH7</f>
        <v>30.6666666666667</v>
      </c>
    </row>
    <row r="7" customFormat="false" ht="13.5" hidden="false" customHeight="false" outlineLevel="0" collapsed="false">
      <c r="A7" s="259" t="s">
        <v>259</v>
      </c>
      <c r="B7" s="260" t="n">
        <f aca="false">'Price Assumption'!D8</f>
        <v>2001</v>
      </c>
      <c r="C7" s="260" t="n">
        <f aca="false">'Price Assumption'!E8</f>
        <v>2002</v>
      </c>
      <c r="D7" s="260" t="n">
        <f aca="false">'Price Assumption'!F8</f>
        <v>2003</v>
      </c>
      <c r="E7" s="260" t="n">
        <f aca="false">'Price Assumption'!G8</f>
        <v>2004</v>
      </c>
      <c r="F7" s="260" t="n">
        <f aca="false">'Price Assumption'!H8</f>
        <v>2005</v>
      </c>
      <c r="G7" s="260" t="n">
        <f aca="false">'Price Assumption'!I8</f>
        <v>2006</v>
      </c>
      <c r="H7" s="260" t="n">
        <f aca="false">'Price Assumption'!J8</f>
        <v>2007</v>
      </c>
      <c r="I7" s="260" t="n">
        <f aca="false">'Price Assumption'!K8</f>
        <v>2008</v>
      </c>
      <c r="J7" s="260" t="n">
        <f aca="false">'Price Assumption'!L8</f>
        <v>2009</v>
      </c>
      <c r="K7" s="260" t="n">
        <f aca="false">'Price Assumption'!M8</f>
        <v>2010</v>
      </c>
      <c r="L7" s="260" t="n">
        <f aca="false">'Price Assumption'!N8</f>
        <v>2011</v>
      </c>
      <c r="M7" s="260" t="n">
        <f aca="false">'Price Assumption'!O8</f>
        <v>2012</v>
      </c>
      <c r="N7" s="260" t="n">
        <f aca="false">'Price Assumption'!P8</f>
        <v>2013</v>
      </c>
      <c r="O7" s="260" t="n">
        <f aca="false">'Price Assumption'!Q8</f>
        <v>2014</v>
      </c>
      <c r="P7" s="260" t="n">
        <f aca="false">'Price Assumption'!R8</f>
        <v>2015</v>
      </c>
      <c r="Q7" s="260" t="n">
        <f aca="false">'Price Assumption'!S8</f>
        <v>2016</v>
      </c>
      <c r="R7" s="260" t="n">
        <f aca="false">'Price Assumption'!T8</f>
        <v>2017</v>
      </c>
      <c r="S7" s="260" t="n">
        <f aca="false">'Price Assumption'!U8</f>
        <v>2018</v>
      </c>
      <c r="T7" s="260" t="n">
        <f aca="false">'Price Assumption'!V8</f>
        <v>2019</v>
      </c>
      <c r="U7" s="260" t="n">
        <f aca="false">'Price Assumption'!W8</f>
        <v>2020</v>
      </c>
      <c r="V7" s="260" t="n">
        <f aca="false">'Price Assumption'!X8</f>
        <v>2021</v>
      </c>
      <c r="W7" s="260" t="n">
        <f aca="false">'Price Assumption'!Y8</f>
        <v>2022</v>
      </c>
      <c r="X7" s="260" t="n">
        <f aca="false">'Price Assumption'!Z8</f>
        <v>2023</v>
      </c>
      <c r="Y7" s="260" t="n">
        <f aca="false">'Price Assumption'!AA8</f>
        <v>2024</v>
      </c>
      <c r="Z7" s="260" t="n">
        <f aca="false">'Price Assumption'!AB8</f>
        <v>2025</v>
      </c>
      <c r="AA7" s="260" t="n">
        <f aca="false">'Price Assumption'!AC8</f>
        <v>2026</v>
      </c>
      <c r="AB7" s="260" t="n">
        <f aca="false">'Price Assumption'!AD8</f>
        <v>2027</v>
      </c>
      <c r="AC7" s="260" t="n">
        <f aca="false">'Price Assumption'!AE8</f>
        <v>2028</v>
      </c>
      <c r="AD7" s="260" t="n">
        <f aca="false">'Price Assumption'!AF8</f>
        <v>2029</v>
      </c>
      <c r="AE7" s="260" t="n">
        <f aca="false">'Price Assumption'!AG8</f>
        <v>2030</v>
      </c>
      <c r="AF7" s="260" t="n">
        <f aca="false">'Price Assumption'!AH8</f>
        <v>2031</v>
      </c>
    </row>
    <row r="8" customFormat="false" ht="12.75" hidden="false" customHeight="false" outlineLevel="0" collapsed="false">
      <c r="A8" s="282"/>
      <c r="B8" s="389" t="n">
        <f aca="false">Depreciation!D8</f>
        <v>37255.5</v>
      </c>
      <c r="C8" s="389" t="n">
        <f aca="false">Depreciation!E8</f>
        <v>37620.75</v>
      </c>
      <c r="D8" s="389" t="n">
        <f aca="false">Depreciation!F8</f>
        <v>37986</v>
      </c>
      <c r="E8" s="389" t="n">
        <f aca="false">Depreciation!G8</f>
        <v>38351.25</v>
      </c>
      <c r="F8" s="389" t="n">
        <f aca="false">Depreciation!H8</f>
        <v>38716.5</v>
      </c>
      <c r="G8" s="389" t="n">
        <f aca="false">Depreciation!I8</f>
        <v>39081.75</v>
      </c>
      <c r="H8" s="389" t="n">
        <f aca="false">Depreciation!J8</f>
        <v>39447</v>
      </c>
      <c r="I8" s="389" t="n">
        <f aca="false">Depreciation!K8</f>
        <v>39812.25</v>
      </c>
      <c r="J8" s="389" t="n">
        <f aca="false">Depreciation!L8</f>
        <v>40177.5</v>
      </c>
      <c r="K8" s="389" t="n">
        <f aca="false">Depreciation!M8</f>
        <v>40542.75</v>
      </c>
      <c r="L8" s="389" t="n">
        <f aca="false">Depreciation!N8</f>
        <v>40908</v>
      </c>
      <c r="M8" s="389" t="n">
        <f aca="false">Depreciation!O8</f>
        <v>41273.25</v>
      </c>
      <c r="N8" s="389" t="n">
        <f aca="false">Depreciation!P8</f>
        <v>41638.5</v>
      </c>
      <c r="O8" s="389" t="n">
        <f aca="false">Depreciation!Q8</f>
        <v>42003.75</v>
      </c>
      <c r="P8" s="389" t="n">
        <f aca="false">Depreciation!R8</f>
        <v>42369</v>
      </c>
      <c r="Q8" s="389" t="n">
        <f aca="false">Depreciation!S8</f>
        <v>42734.25</v>
      </c>
      <c r="R8" s="389" t="n">
        <f aca="false">Depreciation!T8</f>
        <v>43099.5</v>
      </c>
      <c r="S8" s="389" t="n">
        <f aca="false">Depreciation!U8</f>
        <v>43464.75</v>
      </c>
      <c r="T8" s="389" t="n">
        <f aca="false">Depreciation!V8</f>
        <v>43830</v>
      </c>
      <c r="U8" s="389" t="n">
        <f aca="false">Depreciation!W8</f>
        <v>44195.25</v>
      </c>
      <c r="V8" s="389" t="n">
        <f aca="false">Depreciation!X8</f>
        <v>44560.5</v>
      </c>
      <c r="W8" s="389" t="n">
        <f aca="false">Depreciation!Y8</f>
        <v>44925.75</v>
      </c>
      <c r="X8" s="389" t="n">
        <f aca="false">Depreciation!Z8</f>
        <v>45291</v>
      </c>
      <c r="Y8" s="389" t="n">
        <f aca="false">Depreciation!AA8</f>
        <v>45656.25</v>
      </c>
      <c r="Z8" s="389" t="n">
        <f aca="false">Depreciation!AB8</f>
        <v>46021.5</v>
      </c>
      <c r="AA8" s="389" t="n">
        <f aca="false">Depreciation!AC8</f>
        <v>46386.75</v>
      </c>
      <c r="AB8" s="389" t="n">
        <f aca="false">Depreciation!AD8</f>
        <v>46752</v>
      </c>
      <c r="AC8" s="389" t="n">
        <f aca="false">Depreciation!AE8</f>
        <v>47117.25</v>
      </c>
      <c r="AD8" s="389" t="n">
        <f aca="false">Depreciation!AF8</f>
        <v>47482.5</v>
      </c>
      <c r="AE8" s="389" t="n">
        <f aca="false">Depreciation!AG8</f>
        <v>47847.75</v>
      </c>
      <c r="AF8" s="389" t="n">
        <f aca="false">Depreciation!AH8</f>
        <v>48213</v>
      </c>
    </row>
    <row r="9" customFormat="false" ht="12.75" hidden="false" customHeight="false" outlineLevel="0" collapsed="false">
      <c r="A9" s="429" t="s">
        <v>368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customFormat="false" ht="12.75" hidden="false" customHeight="false" outlineLevel="0" collapsed="false">
      <c r="A10" s="429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customFormat="false" ht="12.75" hidden="false" customHeight="false" outlineLevel="0" collapsed="false">
      <c r="A11" s="429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</row>
    <row r="12" customFormat="false" ht="13.5" hidden="false" customHeight="false" outlineLevel="0" collapsed="false">
      <c r="A12" s="430" t="s">
        <v>369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</row>
    <row r="13" customFormat="false" ht="12.75" hidden="false" customHeight="false" outlineLevel="0" collapsed="false">
      <c r="A13" s="397" t="s">
        <v>370</v>
      </c>
      <c r="B13" s="183" t="n">
        <f aca="false">IS!C41</f>
        <v>2654.46738376406</v>
      </c>
      <c r="C13" s="183" t="n">
        <f aca="false">IS!D41</f>
        <v>3972.57087575119</v>
      </c>
      <c r="D13" s="183" t="n">
        <f aca="false">IS!E41</f>
        <v>3962.94567585629</v>
      </c>
      <c r="E13" s="183" t="n">
        <f aca="false">IS!F41</f>
        <v>5009.7687395698</v>
      </c>
      <c r="F13" s="183" t="n">
        <f aca="false">IS!G41</f>
        <v>5492.37688645806</v>
      </c>
      <c r="G13" s="183" t="n">
        <f aca="false">IS!H41</f>
        <v>6047.41167731967</v>
      </c>
      <c r="H13" s="183" t="n">
        <f aca="false">IS!I41</f>
        <v>6374.61548793123</v>
      </c>
      <c r="I13" s="183" t="n">
        <f aca="false">IS!J41</f>
        <v>6474.34762402875</v>
      </c>
      <c r="J13" s="183" t="n">
        <f aca="false">IS!K41</f>
        <v>6749.20554618794</v>
      </c>
      <c r="K13" s="183" t="n">
        <f aca="false">IS!L41</f>
        <v>6849.34127174663</v>
      </c>
      <c r="L13" s="183" t="n">
        <f aca="false">IS!M41</f>
        <v>7135.10821773106</v>
      </c>
      <c r="M13" s="183" t="n">
        <f aca="false">IS!N41</f>
        <v>7235.34786755469</v>
      </c>
      <c r="N13" s="183" t="n">
        <f aca="false">IS!O41</f>
        <v>7532.35422580705</v>
      </c>
      <c r="O13" s="183" t="n">
        <f aca="false">IS!P41</f>
        <v>7632.36013864187</v>
      </c>
      <c r="P13" s="183" t="n">
        <f aca="false">IS!Q41</f>
        <v>7729.02362875772</v>
      </c>
      <c r="Q13" s="183" t="n">
        <f aca="false">IS!R41</f>
        <v>7822.05925725401</v>
      </c>
      <c r="R13" s="183" t="n">
        <f aca="false">IS!S41</f>
        <v>7964.88295132151</v>
      </c>
      <c r="S13" s="183" t="n">
        <f aca="false">IS!T41</f>
        <v>8076.60721919082</v>
      </c>
      <c r="T13" s="183" t="n">
        <f aca="false">IS!U41</f>
        <v>8156.90247421263</v>
      </c>
      <c r="U13" s="183" t="n">
        <f aca="false">IS!V41</f>
        <v>8232.28091417685</v>
      </c>
      <c r="V13" s="183" t="n">
        <f aca="false">IS!W41</f>
        <v>8302.3803762346</v>
      </c>
      <c r="W13" s="183" t="n">
        <f aca="false">IS!X41</f>
        <v>8366.82139289961</v>
      </c>
      <c r="X13" s="183" t="n">
        <f aca="false">IS!Y41</f>
        <v>8430.36838450347</v>
      </c>
      <c r="Y13" s="183" t="n">
        <f aca="false">IS!Z41</f>
        <v>8492.99453029434</v>
      </c>
      <c r="Z13" s="183" t="n">
        <f aca="false">IS!AA41</f>
        <v>8554.67220489781</v>
      </c>
      <c r="AA13" s="183" t="n">
        <f aca="false">IS!AB41</f>
        <v>8615.37295417827</v>
      </c>
      <c r="AB13" s="183" t="n">
        <f aca="false">IS!AC41</f>
        <v>8675.06747037604</v>
      </c>
      <c r="AC13" s="183" t="n">
        <f aca="false">IS!AD41</f>
        <v>8733.72556649864</v>
      </c>
      <c r="AD13" s="183" t="n">
        <f aca="false">IS!AE41</f>
        <v>8791.3161499438</v>
      </c>
      <c r="AE13" s="183" t="n">
        <f aca="false">IS!AF41</f>
        <v>8847.80719533119</v>
      </c>
      <c r="AF13" s="183" t="n">
        <f aca="false">IS!AG41</f>
        <v>2063.84180803545</v>
      </c>
    </row>
    <row r="14" customFormat="false" ht="12.75" hidden="false" customHeight="false" outlineLevel="0" collapsed="false">
      <c r="A14" s="397" t="s">
        <v>371</v>
      </c>
      <c r="B14" s="183" t="n">
        <f aca="false">IS!C35</f>
        <v>1965.28002802819</v>
      </c>
      <c r="C14" s="183" t="n">
        <f aca="false">IS!D35</f>
        <v>2947.92004204228</v>
      </c>
      <c r="D14" s="183" t="n">
        <f aca="false">IS!E35</f>
        <v>2947.92004204228</v>
      </c>
      <c r="E14" s="183" t="n">
        <f aca="false">IS!F35</f>
        <v>2947.92004204228</v>
      </c>
      <c r="F14" s="183" t="n">
        <f aca="false">IS!G35</f>
        <v>2947.92004204228</v>
      </c>
      <c r="G14" s="183" t="n">
        <f aca="false">IS!H35</f>
        <v>2497.24270870895</v>
      </c>
      <c r="H14" s="183" t="n">
        <f aca="false">IS!I35</f>
        <v>2271.90404204228</v>
      </c>
      <c r="I14" s="183" t="n">
        <f aca="false">IS!J35</f>
        <v>2271.90404204228</v>
      </c>
      <c r="J14" s="183" t="n">
        <f aca="false">IS!K35</f>
        <v>2271.90404204228</v>
      </c>
      <c r="K14" s="183" t="n">
        <f aca="false">IS!L35</f>
        <v>2271.90404204228</v>
      </c>
      <c r="L14" s="183" t="n">
        <f aca="false">IS!M35</f>
        <v>2271.90404204228</v>
      </c>
      <c r="M14" s="183" t="n">
        <f aca="false">IS!N35</f>
        <v>2271.90404204228</v>
      </c>
      <c r="N14" s="183" t="n">
        <f aca="false">IS!O35</f>
        <v>2271.90404204228</v>
      </c>
      <c r="O14" s="183" t="n">
        <f aca="false">IS!P35</f>
        <v>2271.90404204228</v>
      </c>
      <c r="P14" s="183" t="n">
        <f aca="false">IS!Q35</f>
        <v>2271.90404204228</v>
      </c>
      <c r="Q14" s="183" t="n">
        <f aca="false">IS!R35</f>
        <v>2271.90404204228</v>
      </c>
      <c r="R14" s="183" t="n">
        <f aca="false">IS!S35</f>
        <v>2271.90404204228</v>
      </c>
      <c r="S14" s="183" t="n">
        <f aca="false">IS!T35</f>
        <v>2271.90404204228</v>
      </c>
      <c r="T14" s="183" t="n">
        <f aca="false">IS!U35</f>
        <v>2271.90404204228</v>
      </c>
      <c r="U14" s="183" t="n">
        <f aca="false">IS!V35</f>
        <v>2271.90404204228</v>
      </c>
      <c r="V14" s="183" t="n">
        <f aca="false">IS!W35</f>
        <v>2271.90404204228</v>
      </c>
      <c r="W14" s="183" t="n">
        <f aca="false">IS!X35</f>
        <v>2271.90404204228</v>
      </c>
      <c r="X14" s="183" t="n">
        <f aca="false">IS!Y35</f>
        <v>2271.90404204228</v>
      </c>
      <c r="Y14" s="183" t="n">
        <f aca="false">IS!Z35</f>
        <v>2271.90404204228</v>
      </c>
      <c r="Z14" s="183" t="n">
        <f aca="false">IS!AA35</f>
        <v>2271.90404204228</v>
      </c>
      <c r="AA14" s="183" t="n">
        <f aca="false">IS!AB35</f>
        <v>2271.90404204228</v>
      </c>
      <c r="AB14" s="183" t="n">
        <f aca="false">IS!AC35</f>
        <v>2271.90404204228</v>
      </c>
      <c r="AC14" s="183" t="n">
        <f aca="false">IS!AD35</f>
        <v>2271.90404204228</v>
      </c>
      <c r="AD14" s="183" t="n">
        <f aca="false">IS!AE35</f>
        <v>2271.90404204228</v>
      </c>
      <c r="AE14" s="183" t="n">
        <f aca="false">IS!AF35</f>
        <v>2271.90404204228</v>
      </c>
      <c r="AF14" s="183" t="n">
        <f aca="false">IS!AG35</f>
        <v>757.301347347428</v>
      </c>
    </row>
    <row r="15" customFormat="false" ht="15" hidden="false" customHeight="false" outlineLevel="0" collapsed="false">
      <c r="A15" s="397" t="s">
        <v>372</v>
      </c>
      <c r="B15" s="308" t="n">
        <f aca="false">-Depreciation!D34</f>
        <v>-4237.18407007047</v>
      </c>
      <c r="C15" s="308" t="n">
        <f aca="false">-Depreciation!E34</f>
        <v>-7870.37879980056</v>
      </c>
      <c r="D15" s="308" t="n">
        <f aca="false">-Depreciation!F34</f>
        <v>-7150.94251982051</v>
      </c>
      <c r="E15" s="308" t="n">
        <f aca="false">-Depreciation!G34</f>
        <v>-6507.23637457519</v>
      </c>
      <c r="F15" s="308" t="n">
        <f aca="false">-Depreciation!H34</f>
        <v>-5924.11433711767</v>
      </c>
      <c r="G15" s="308" t="n">
        <f aca="false">-Depreciation!I34</f>
        <v>-4943.32606064114</v>
      </c>
      <c r="H15" s="308" t="n">
        <f aca="false">-Depreciation!J34</f>
        <v>-4468.07794934982</v>
      </c>
      <c r="I15" s="308" t="n">
        <f aca="false">-Depreciation!K34</f>
        <v>-4475.6509628233</v>
      </c>
      <c r="J15" s="308" t="n">
        <f aca="false">-Depreciation!L34</f>
        <v>-4468.07794934982</v>
      </c>
      <c r="K15" s="308" t="n">
        <f aca="false">-Depreciation!M34</f>
        <v>-4475.6509628233</v>
      </c>
      <c r="L15" s="308" t="n">
        <f aca="false">-Depreciation!N34</f>
        <v>-4468.07794934982</v>
      </c>
      <c r="M15" s="308" t="n">
        <f aca="false">-Depreciation!O34</f>
        <v>-4475.6509628233</v>
      </c>
      <c r="N15" s="308" t="n">
        <f aca="false">-Depreciation!P34</f>
        <v>-4468.07794934982</v>
      </c>
      <c r="O15" s="308" t="n">
        <f aca="false">-Depreciation!Q34</f>
        <v>-4475.6509628233</v>
      </c>
      <c r="P15" s="308" t="n">
        <f aca="false">-Depreciation!R34</f>
        <v>-4468.07794934982</v>
      </c>
      <c r="Q15" s="308" t="n">
        <f aca="false">-Depreciation!S34</f>
        <v>-2234.03897467491</v>
      </c>
      <c r="R15" s="308" t="n">
        <f aca="false">-Depreciation!T34</f>
        <v>-0</v>
      </c>
      <c r="S15" s="308" t="n">
        <f aca="false">-Depreciation!U34</f>
        <v>-0</v>
      </c>
      <c r="T15" s="308" t="n">
        <f aca="false">-Depreciation!V34</f>
        <v>-0</v>
      </c>
      <c r="U15" s="308" t="n">
        <f aca="false">-Depreciation!W34</f>
        <v>-0</v>
      </c>
      <c r="V15" s="308" t="n">
        <f aca="false">-Depreciation!X34</f>
        <v>-0</v>
      </c>
      <c r="W15" s="308" t="n">
        <f aca="false">-Depreciation!Y34</f>
        <v>-0</v>
      </c>
      <c r="X15" s="308" t="n">
        <f aca="false">-Depreciation!Z34</f>
        <v>-0</v>
      </c>
      <c r="Y15" s="308" t="n">
        <f aca="false">-Depreciation!AA34</f>
        <v>-0</v>
      </c>
      <c r="Z15" s="308" t="n">
        <f aca="false">-Depreciation!AB34</f>
        <v>-0</v>
      </c>
      <c r="AA15" s="308" t="n">
        <f aca="false">-Depreciation!AC34</f>
        <v>-0</v>
      </c>
      <c r="AB15" s="308" t="n">
        <f aca="false">-Depreciation!AD34</f>
        <v>-0</v>
      </c>
      <c r="AC15" s="308" t="n">
        <f aca="false">-Depreciation!AE34</f>
        <v>-0</v>
      </c>
      <c r="AD15" s="308" t="n">
        <f aca="false">-Depreciation!AF34</f>
        <v>-0</v>
      </c>
      <c r="AE15" s="308" t="n">
        <f aca="false">-Depreciation!AG34</f>
        <v>-0</v>
      </c>
      <c r="AF15" s="308" t="n">
        <f aca="false">-Depreciation!AH34</f>
        <v>-0</v>
      </c>
    </row>
    <row r="16" customFormat="false" ht="12.75" hidden="false" customHeight="false" outlineLevel="0" collapsed="false">
      <c r="A16" s="431" t="s">
        <v>373</v>
      </c>
      <c r="B16" s="183" t="n">
        <f aca="false">SUM(B13:B15)</f>
        <v>382.563341721771</v>
      </c>
      <c r="C16" s="183" t="n">
        <f aca="false">SUM(C13:C15)</f>
        <v>-949.887882007093</v>
      </c>
      <c r="D16" s="183" t="n">
        <f aca="false">SUM(D13:D15)</f>
        <v>-240.07680192193</v>
      </c>
      <c r="E16" s="183" t="n">
        <f aca="false">SUM(E13:E15)</f>
        <v>1450.45240703689</v>
      </c>
      <c r="F16" s="183" t="n">
        <f aca="false">SUM(F13:F15)</f>
        <v>2516.18259138267</v>
      </c>
      <c r="G16" s="183" t="n">
        <f aca="false">SUM(G13:G15)</f>
        <v>3601.32832538747</v>
      </c>
      <c r="H16" s="183" t="n">
        <f aca="false">SUM(H13:H15)</f>
        <v>4178.44158062369</v>
      </c>
      <c r="I16" s="183" t="n">
        <f aca="false">SUM(I13:I15)</f>
        <v>4270.60070324774</v>
      </c>
      <c r="J16" s="183" t="n">
        <f aca="false">SUM(J13:J15)</f>
        <v>4553.0316388804</v>
      </c>
      <c r="K16" s="183" t="n">
        <f aca="false">SUM(K13:K15)</f>
        <v>4645.59435096562</v>
      </c>
      <c r="L16" s="183" t="n">
        <f aca="false">SUM(L13:L15)</f>
        <v>4938.93431042352</v>
      </c>
      <c r="M16" s="183" t="n">
        <f aca="false">SUM(M13:M15)</f>
        <v>5031.60094677368</v>
      </c>
      <c r="N16" s="183" t="n">
        <f aca="false">SUM(N13:N15)</f>
        <v>5336.18031849951</v>
      </c>
      <c r="O16" s="183" t="n">
        <f aca="false">SUM(O13:O15)</f>
        <v>5428.61321786086</v>
      </c>
      <c r="P16" s="183" t="n">
        <f aca="false">SUM(P13:P15)</f>
        <v>5532.84972145018</v>
      </c>
      <c r="Q16" s="183" t="n">
        <f aca="false">SUM(Q13:Q15)</f>
        <v>7859.92432462138</v>
      </c>
      <c r="R16" s="183" t="n">
        <f aca="false">SUM(R13:R15)</f>
        <v>10236.7869933638</v>
      </c>
      <c r="S16" s="183" t="n">
        <f aca="false">SUM(S13:S15)</f>
        <v>10348.5112612331</v>
      </c>
      <c r="T16" s="183" t="n">
        <f aca="false">SUM(T13:T15)</f>
        <v>10428.8065162549</v>
      </c>
      <c r="U16" s="183" t="n">
        <f aca="false">SUM(U13:U15)</f>
        <v>10504.1849562191</v>
      </c>
      <c r="V16" s="183" t="n">
        <f aca="false">SUM(V13:V15)</f>
        <v>10574.2844182769</v>
      </c>
      <c r="W16" s="183" t="n">
        <f aca="false">SUM(W13:W15)</f>
        <v>10638.7254349419</v>
      </c>
      <c r="X16" s="183" t="n">
        <f aca="false">SUM(X13:X15)</f>
        <v>10702.2724265457</v>
      </c>
      <c r="Y16" s="183" t="n">
        <f aca="false">SUM(Y13:Y15)</f>
        <v>10764.8985723366</v>
      </c>
      <c r="Z16" s="183" t="n">
        <f aca="false">SUM(Z13:Z15)</f>
        <v>10826.5762469401</v>
      </c>
      <c r="AA16" s="183" t="n">
        <f aca="false">SUM(AA13:AA15)</f>
        <v>10887.2769962206</v>
      </c>
      <c r="AB16" s="183" t="n">
        <f aca="false">SUM(AB13:AB15)</f>
        <v>10946.9715124183</v>
      </c>
      <c r="AC16" s="183" t="n">
        <f aca="false">SUM(AC13:AC15)</f>
        <v>11005.6296085409</v>
      </c>
      <c r="AD16" s="183" t="n">
        <f aca="false">SUM(AD13:AD15)</f>
        <v>11063.2201919861</v>
      </c>
      <c r="AE16" s="183" t="n">
        <f aca="false">SUM(AE13:AE15)</f>
        <v>11119.7112373735</v>
      </c>
      <c r="AF16" s="183" t="n">
        <f aca="false">SUM(AF13:AF15)</f>
        <v>2821.14315538288</v>
      </c>
    </row>
    <row r="17" customFormat="false" ht="12.75" hidden="false" customHeight="false" outlineLevel="0" collapsed="false">
      <c r="A17" s="397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</row>
    <row r="18" customFormat="false" ht="12.75" hidden="false" customHeight="false" outlineLevel="0" collapsed="false">
      <c r="A18" s="397" t="s">
        <v>374</v>
      </c>
      <c r="B18" s="432" t="n">
        <f aca="false">Assumptions!$N$60</f>
        <v>0.07</v>
      </c>
      <c r="C18" s="432" t="n">
        <f aca="false">Assumptions!$N$60</f>
        <v>0.07</v>
      </c>
      <c r="D18" s="432" t="n">
        <f aca="false">Assumptions!$N$60</f>
        <v>0.07</v>
      </c>
      <c r="E18" s="432" t="n">
        <f aca="false">Assumptions!$N$60</f>
        <v>0.07</v>
      </c>
      <c r="F18" s="432" t="n">
        <f aca="false">Assumptions!$N$60</f>
        <v>0.07</v>
      </c>
      <c r="G18" s="432" t="n">
        <f aca="false">Assumptions!$N$60</f>
        <v>0.07</v>
      </c>
      <c r="H18" s="432" t="n">
        <f aca="false">Assumptions!$N$60</f>
        <v>0.07</v>
      </c>
      <c r="I18" s="432" t="n">
        <f aca="false">Assumptions!$N$60</f>
        <v>0.07</v>
      </c>
      <c r="J18" s="432" t="n">
        <f aca="false">Assumptions!$N$60</f>
        <v>0.07</v>
      </c>
      <c r="K18" s="432" t="n">
        <f aca="false">Assumptions!$N$60</f>
        <v>0.07</v>
      </c>
      <c r="L18" s="432" t="n">
        <f aca="false">Assumptions!$N$60</f>
        <v>0.07</v>
      </c>
      <c r="M18" s="432" t="n">
        <f aca="false">Assumptions!$N$60</f>
        <v>0.07</v>
      </c>
      <c r="N18" s="432" t="n">
        <f aca="false">Assumptions!$N$60</f>
        <v>0.07</v>
      </c>
      <c r="O18" s="432" t="n">
        <f aca="false">Assumptions!$N$60</f>
        <v>0.07</v>
      </c>
      <c r="P18" s="432" t="n">
        <f aca="false">Assumptions!$N$60</f>
        <v>0.07</v>
      </c>
      <c r="Q18" s="432" t="n">
        <f aca="false">Assumptions!$N$60</f>
        <v>0.07</v>
      </c>
      <c r="R18" s="432" t="n">
        <f aca="false">Assumptions!$N$60</f>
        <v>0.07</v>
      </c>
      <c r="S18" s="432" t="n">
        <f aca="false">Assumptions!$N$60</f>
        <v>0.07</v>
      </c>
      <c r="T18" s="432" t="n">
        <f aca="false">Assumptions!$N$60</f>
        <v>0.07</v>
      </c>
      <c r="U18" s="432" t="n">
        <f aca="false">Assumptions!$N$60</f>
        <v>0.07</v>
      </c>
      <c r="V18" s="432" t="n">
        <f aca="false">Assumptions!$N$60</f>
        <v>0.07</v>
      </c>
      <c r="W18" s="432" t="n">
        <f aca="false">Assumptions!$N$60</f>
        <v>0.07</v>
      </c>
      <c r="X18" s="432" t="n">
        <f aca="false">Assumptions!$N$60</f>
        <v>0.07</v>
      </c>
      <c r="Y18" s="432" t="n">
        <f aca="false">Assumptions!$N$60</f>
        <v>0.07</v>
      </c>
      <c r="Z18" s="432" t="n">
        <f aca="false">Assumptions!$N$60</f>
        <v>0.07</v>
      </c>
      <c r="AA18" s="432" t="n">
        <f aca="false">Assumptions!$N$60</f>
        <v>0.07</v>
      </c>
      <c r="AB18" s="432" t="n">
        <f aca="false">Assumptions!$N$60</f>
        <v>0.07</v>
      </c>
      <c r="AC18" s="432" t="n">
        <f aca="false">Assumptions!$N$60</f>
        <v>0.07</v>
      </c>
      <c r="AD18" s="432" t="n">
        <f aca="false">Assumptions!$N$60</f>
        <v>0.07</v>
      </c>
      <c r="AE18" s="432" t="n">
        <f aca="false">Assumptions!$N$60</f>
        <v>0.07</v>
      </c>
      <c r="AF18" s="432" t="n">
        <f aca="false">Assumptions!$N$60</f>
        <v>0.07</v>
      </c>
    </row>
    <row r="19" customFormat="false" ht="12.75" hidden="false" customHeight="false" outlineLevel="0" collapsed="false">
      <c r="A19" s="397" t="s">
        <v>375</v>
      </c>
      <c r="B19" s="183" t="n">
        <f aca="false">B16*B18</f>
        <v>26.779433920524</v>
      </c>
      <c r="C19" s="183" t="n">
        <f aca="false">C16*C18</f>
        <v>-66.4921517404965</v>
      </c>
      <c r="D19" s="183" t="n">
        <f aca="false">D16*D18</f>
        <v>-16.8053761345351</v>
      </c>
      <c r="E19" s="183" t="n">
        <f aca="false">E16*E18</f>
        <v>101.531668492583</v>
      </c>
      <c r="F19" s="183" t="n">
        <f aca="false">F16*F18</f>
        <v>176.132781396787</v>
      </c>
      <c r="G19" s="183" t="n">
        <f aca="false">G16*G18</f>
        <v>252.092982777123</v>
      </c>
      <c r="H19" s="183" t="n">
        <f aca="false">H16*H18</f>
        <v>292.490910643659</v>
      </c>
      <c r="I19" s="183" t="n">
        <f aca="false">I16*I18</f>
        <v>298.942049227341</v>
      </c>
      <c r="J19" s="183" t="n">
        <f aca="false">J16*J18</f>
        <v>318.712214721628</v>
      </c>
      <c r="K19" s="183" t="n">
        <f aca="false">K16*K18</f>
        <v>325.191604567593</v>
      </c>
      <c r="L19" s="183" t="n">
        <f aca="false">L16*L18</f>
        <v>345.725401729646</v>
      </c>
      <c r="M19" s="183" t="n">
        <f aca="false">M16*M18</f>
        <v>352.212066274158</v>
      </c>
      <c r="N19" s="183" t="n">
        <f aca="false">N16*N18</f>
        <v>373.532622294966</v>
      </c>
      <c r="O19" s="183" t="n">
        <f aca="false">O16*O18</f>
        <v>380.00292525026</v>
      </c>
      <c r="P19" s="183" t="n">
        <f aca="false">P16*P18</f>
        <v>387.299480501513</v>
      </c>
      <c r="Q19" s="183" t="n">
        <f aca="false">Q16*Q18</f>
        <v>550.194702723497</v>
      </c>
      <c r="R19" s="183" t="n">
        <f aca="false">R16*R18</f>
        <v>716.575089535466</v>
      </c>
      <c r="S19" s="183" t="n">
        <f aca="false">S16*S18</f>
        <v>724.395788286317</v>
      </c>
      <c r="T19" s="183" t="n">
        <f aca="false">T16*T18</f>
        <v>730.016456137844</v>
      </c>
      <c r="U19" s="183" t="n">
        <f aca="false">U16*U18</f>
        <v>735.292946935339</v>
      </c>
      <c r="V19" s="183" t="n">
        <f aca="false">V16*V18</f>
        <v>740.199909279382</v>
      </c>
      <c r="W19" s="183" t="n">
        <f aca="false">W16*W18</f>
        <v>744.710780445933</v>
      </c>
      <c r="X19" s="183" t="n">
        <f aca="false">X16*X18</f>
        <v>749.159069858202</v>
      </c>
      <c r="Y19" s="183" t="n">
        <f aca="false">Y16*Y18</f>
        <v>753.542900063563</v>
      </c>
      <c r="Z19" s="183" t="n">
        <f aca="false">Z16*Z18</f>
        <v>757.860337285806</v>
      </c>
      <c r="AA19" s="183" t="n">
        <f aca="false">AA16*AA18</f>
        <v>762.109389735439</v>
      </c>
      <c r="AB19" s="183" t="n">
        <f aca="false">AB16*AB18</f>
        <v>766.288005869283</v>
      </c>
      <c r="AC19" s="183" t="n">
        <f aca="false">AC16*AC18</f>
        <v>770.394072597865</v>
      </c>
      <c r="AD19" s="183" t="n">
        <f aca="false">AD16*AD18</f>
        <v>774.425413439026</v>
      </c>
      <c r="AE19" s="183" t="n">
        <f aca="false">AE16*AE18</f>
        <v>778.379786616143</v>
      </c>
      <c r="AF19" s="183" t="n">
        <f aca="false">AF16*AF18</f>
        <v>197.480020876802</v>
      </c>
    </row>
    <row r="20" customFormat="false" ht="12.75" hidden="false" customHeight="false" outlineLevel="0" collapsed="false">
      <c r="A20" s="397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</row>
    <row r="21" customFormat="false" ht="12.75" hidden="false" customHeight="false" outlineLevel="0" collapsed="false">
      <c r="A21" s="397" t="s">
        <v>376</v>
      </c>
      <c r="B21" s="183" t="n">
        <v>0</v>
      </c>
      <c r="C21" s="183" t="n">
        <f aca="false">B25</f>
        <v>0</v>
      </c>
      <c r="D21" s="183" t="n">
        <f aca="false">C25</f>
        <v>66.4921517404965</v>
      </c>
      <c r="E21" s="183" t="n">
        <f aca="false">D25</f>
        <v>83.2975278750317</v>
      </c>
      <c r="F21" s="183" t="n">
        <f aca="false">E25</f>
        <v>0</v>
      </c>
      <c r="G21" s="183" t="n">
        <f aca="false">F25</f>
        <v>0</v>
      </c>
      <c r="H21" s="183" t="n">
        <f aca="false">G25</f>
        <v>0</v>
      </c>
      <c r="I21" s="183" t="n">
        <f aca="false">H25</f>
        <v>0</v>
      </c>
      <c r="J21" s="183" t="n">
        <f aca="false">I25</f>
        <v>0</v>
      </c>
      <c r="K21" s="183" t="n">
        <f aca="false">J25</f>
        <v>0</v>
      </c>
      <c r="L21" s="183" t="n">
        <f aca="false">K25</f>
        <v>0</v>
      </c>
      <c r="M21" s="183" t="n">
        <f aca="false">L25</f>
        <v>0</v>
      </c>
      <c r="N21" s="183" t="n">
        <f aca="false">M25</f>
        <v>0</v>
      </c>
      <c r="O21" s="183" t="n">
        <f aca="false">N25</f>
        <v>0</v>
      </c>
      <c r="P21" s="183" t="n">
        <f aca="false">O25</f>
        <v>0</v>
      </c>
      <c r="Q21" s="183" t="n">
        <f aca="false">P25</f>
        <v>0</v>
      </c>
      <c r="R21" s="183" t="n">
        <f aca="false">Q25</f>
        <v>0</v>
      </c>
      <c r="S21" s="183" t="n">
        <f aca="false">R25</f>
        <v>0</v>
      </c>
      <c r="T21" s="183" t="n">
        <v>0</v>
      </c>
      <c r="U21" s="183" t="n">
        <f aca="false">T25</f>
        <v>0</v>
      </c>
      <c r="V21" s="183" t="n">
        <f aca="false">U25</f>
        <v>0</v>
      </c>
      <c r="W21" s="183" t="n">
        <f aca="false">V25</f>
        <v>0</v>
      </c>
      <c r="X21" s="183" t="n">
        <f aca="false">W25</f>
        <v>0</v>
      </c>
      <c r="Y21" s="183" t="n">
        <f aca="false">X25</f>
        <v>0</v>
      </c>
      <c r="Z21" s="183" t="n">
        <f aca="false">Y25</f>
        <v>0</v>
      </c>
      <c r="AA21" s="183" t="n">
        <f aca="false">Z25</f>
        <v>0</v>
      </c>
      <c r="AB21" s="183" t="n">
        <f aca="false">AA25</f>
        <v>0</v>
      </c>
      <c r="AC21" s="183" t="n">
        <f aca="false">AB25</f>
        <v>0</v>
      </c>
      <c r="AD21" s="183" t="n">
        <f aca="false">AC25</f>
        <v>0</v>
      </c>
      <c r="AE21" s="183" t="n">
        <f aca="false">AD25</f>
        <v>0</v>
      </c>
      <c r="AF21" s="183" t="n">
        <f aca="false">AE25</f>
        <v>0</v>
      </c>
    </row>
    <row r="22" customFormat="false" ht="12.75" hidden="false" customHeight="false" outlineLevel="0" collapsed="false">
      <c r="A22" s="397" t="s">
        <v>377</v>
      </c>
      <c r="B22" s="183" t="n">
        <f aca="false">IF(B19&lt;0,-B19,0)</f>
        <v>0</v>
      </c>
      <c r="C22" s="183" t="n">
        <f aca="false">IF(C19&lt;0,-C19,0)</f>
        <v>66.4921517404965</v>
      </c>
      <c r="D22" s="183" t="n">
        <f aca="false">IF(D19&lt;0,-D19,0)</f>
        <v>16.8053761345351</v>
      </c>
      <c r="E22" s="183" t="n">
        <f aca="false">IF(E19&lt;0,-E19,0)</f>
        <v>0</v>
      </c>
      <c r="F22" s="183" t="n">
        <f aca="false">IF(F19&lt;0,-F19,0)</f>
        <v>0</v>
      </c>
      <c r="G22" s="183" t="n">
        <f aca="false">IF(G19&lt;0,-G19,0)</f>
        <v>0</v>
      </c>
      <c r="H22" s="183" t="n">
        <f aca="false">IF(H19&lt;0,-H19,0)</f>
        <v>0</v>
      </c>
      <c r="I22" s="183" t="n">
        <f aca="false">IF(I19&lt;0,-I19,0)</f>
        <v>0</v>
      </c>
      <c r="J22" s="183" t="n">
        <f aca="false">IF(J19&lt;0,-J19,0)</f>
        <v>0</v>
      </c>
      <c r="K22" s="183" t="n">
        <f aca="false">IF(K19&lt;0,-K19,0)</f>
        <v>0</v>
      </c>
      <c r="L22" s="183" t="n">
        <f aca="false">IF(L19&lt;0,-L19,0)</f>
        <v>0</v>
      </c>
      <c r="M22" s="183" t="n">
        <f aca="false">IF(M19&lt;0,-M19,0)</f>
        <v>0</v>
      </c>
      <c r="N22" s="183" t="n">
        <f aca="false">IF(N19&lt;0,-N19,0)</f>
        <v>0</v>
      </c>
      <c r="O22" s="183" t="n">
        <f aca="false">IF(O19&lt;0,-O19,0)</f>
        <v>0</v>
      </c>
      <c r="P22" s="183" t="n">
        <f aca="false">IF(P19&lt;0,-P19,0)</f>
        <v>0</v>
      </c>
      <c r="Q22" s="183" t="n">
        <f aca="false">IF(Q19&lt;0,-Q19,0)</f>
        <v>0</v>
      </c>
      <c r="R22" s="183" t="n">
        <f aca="false">IF(R19&lt;0,-R19,0)</f>
        <v>0</v>
      </c>
      <c r="S22" s="183" t="n">
        <f aca="false">IF(S19&lt;0,-S19,0)</f>
        <v>0</v>
      </c>
      <c r="T22" s="183" t="n">
        <f aca="false">IF(T19&lt;0,-T19,0)</f>
        <v>0</v>
      </c>
      <c r="U22" s="183" t="n">
        <f aca="false">IF(U19&lt;0,-U19,0)</f>
        <v>0</v>
      </c>
      <c r="V22" s="183" t="n">
        <f aca="false">IF(V19&lt;0,-V19,0)</f>
        <v>0</v>
      </c>
      <c r="W22" s="183" t="n">
        <f aca="false">IF(W19&lt;0,-W19,0)</f>
        <v>0</v>
      </c>
      <c r="X22" s="183" t="n">
        <f aca="false">IF(X19&lt;0,-X19,0)</f>
        <v>0</v>
      </c>
      <c r="Y22" s="183" t="n">
        <f aca="false">IF(Y19&lt;0,-Y19,0)</f>
        <v>0</v>
      </c>
      <c r="Z22" s="183" t="n">
        <f aca="false">IF(Z19&lt;0,-Z19,0)</f>
        <v>0</v>
      </c>
      <c r="AA22" s="183" t="n">
        <f aca="false">IF(AA19&lt;0,-AA19,0)</f>
        <v>0</v>
      </c>
      <c r="AB22" s="183" t="n">
        <f aca="false">IF(AB19&lt;0,-AB19,0)</f>
        <v>0</v>
      </c>
      <c r="AC22" s="183" t="n">
        <f aca="false">IF(AC19&lt;0,-AC19,0)</f>
        <v>0</v>
      </c>
      <c r="AD22" s="183" t="n">
        <f aca="false">IF(AD19&lt;0,-AD19,0)</f>
        <v>0</v>
      </c>
      <c r="AE22" s="183" t="n">
        <f aca="false">IF(AE19&lt;0,-AE19,0)</f>
        <v>0</v>
      </c>
      <c r="AF22" s="183" t="n">
        <f aca="false">IF(AF19&lt;0,-AF19,0)</f>
        <v>0</v>
      </c>
    </row>
    <row r="23" customFormat="false" ht="12.75" hidden="false" customHeight="false" outlineLevel="0" collapsed="false">
      <c r="A23" s="32" t="s">
        <v>378</v>
      </c>
      <c r="B23" s="433" t="n">
        <v>0</v>
      </c>
      <c r="C23" s="434" t="n">
        <v>0</v>
      </c>
      <c r="D23" s="434" t="n">
        <v>0</v>
      </c>
      <c r="E23" s="434" t="n">
        <v>0</v>
      </c>
      <c r="F23" s="434" t="n">
        <v>0</v>
      </c>
      <c r="G23" s="434" t="n">
        <v>0</v>
      </c>
      <c r="H23" s="434" t="n">
        <v>0</v>
      </c>
      <c r="I23" s="435" t="n">
        <v>0</v>
      </c>
      <c r="J23" s="183" t="n">
        <f aca="false">IF(-SUM(B24:I24,B23:I23)&gt;B22,0,-B22-SUM(B24:I24,B23:I23))</f>
        <v>0</v>
      </c>
      <c r="K23" s="183" t="n">
        <f aca="false">IF(-SUM(C24:J24,C23:J23)&gt;C22,0,-C22-SUM(C24:J24,C23:J23))</f>
        <v>0</v>
      </c>
      <c r="L23" s="183" t="n">
        <f aca="false">IF(-SUM(D24:K24,D23:K23)&gt;D22,0,-D22-SUM(D24:K24,D23:K23))</f>
        <v>0</v>
      </c>
      <c r="M23" s="183" t="n">
        <f aca="false">IF(-SUM(E24:L24,E23:L23)&gt;E22,0,-E22-SUM(E24:L24,E23:L23))</f>
        <v>0</v>
      </c>
      <c r="N23" s="183" t="n">
        <f aca="false">IF(-SUM(F24:M24,F23:M23)&gt;F22,0,-F22-SUM(F24:M24,F23:M23))</f>
        <v>-0</v>
      </c>
      <c r="O23" s="183" t="n">
        <f aca="false">IF(-SUM(G24:N24,G23:N23)&gt;G22,0,-G22-SUM(G24:N24,G23:N23))</f>
        <v>-0</v>
      </c>
      <c r="P23" s="183" t="n">
        <f aca="false">IF(-SUM(H24:O24,H23:O23)&gt;H22,0,-H22-SUM(H24:O24,H23:O23))</f>
        <v>-0</v>
      </c>
      <c r="Q23" s="183" t="n">
        <f aca="false">IF(-SUM(I24:P24,I23:P23)&gt;I22,0,-I22-SUM(I24:P24,I23:P23))</f>
        <v>-0</v>
      </c>
      <c r="R23" s="183" t="n">
        <f aca="false">IF(-SUM(J24:Q24,J23:Q23)&gt;J22,0,-J22-SUM(J24:Q24,J23:Q23))</f>
        <v>-0</v>
      </c>
      <c r="S23" s="183" t="n">
        <f aca="false">IF(-SUM(K24:R24,K23:R23)&gt;K22,0,-K22-SUM(K24:R24,K23:R23))</f>
        <v>-0</v>
      </c>
      <c r="T23" s="183" t="n">
        <f aca="false">IF(-SUM(L24:S24,L23:S23)&gt;L22,0,-L22-SUM(L24:S24,L23:S23))</f>
        <v>-0</v>
      </c>
      <c r="U23" s="183" t="n">
        <f aca="false">IF(-SUM(M24:T24,M23:T23)&gt;M22,0,-M22-SUM(M24:T24,M23:T23))</f>
        <v>-0</v>
      </c>
      <c r="V23" s="183" t="n">
        <f aca="false">IF(-SUM(N24:U24,N23:U23)&gt;N22,0,-N22-SUM(N24:U24,N23:U23))</f>
        <v>-0</v>
      </c>
      <c r="W23" s="183" t="n">
        <f aca="false">IF(-SUM(O24:V24,O23:V23)&gt;O22,0,-O22-SUM(O24:V24,O23:V23))</f>
        <v>-0</v>
      </c>
      <c r="X23" s="183" t="n">
        <f aca="false">IF(-SUM(P24:W24,P23:W23)&gt;P22,0,-P22-SUM(P24:W24,P23:W23))</f>
        <v>-0</v>
      </c>
      <c r="Y23" s="183" t="n">
        <f aca="false">IF(-SUM(Q24:X24,Q23:X23)&gt;Q22,0,-Q22-SUM(Q24:X24,Q23:X23))</f>
        <v>-0</v>
      </c>
      <c r="Z23" s="183" t="n">
        <f aca="false">IF(-SUM(R24:Y24,R23:Y23)&gt;R22,0,-R22-SUM(R24:Y24,R23:Y23))</f>
        <v>-0</v>
      </c>
      <c r="AA23" s="183" t="n">
        <f aca="false">IF(-SUM(S24:Z24,S23:Z23)&gt;S22,0,-S22-SUM(S24:Z24,S23:Z23))</f>
        <v>-0</v>
      </c>
      <c r="AB23" s="183" t="n">
        <f aca="false">IF(-SUM(T24:AA24,T23:AA23)&gt;T22,0,-T22-SUM(T24:AA24,T23:AA23))</f>
        <v>-0</v>
      </c>
      <c r="AC23" s="183" t="n">
        <f aca="false">IF(-SUM(U24:AB24,U23:AB23)&gt;U22,0,-U22-SUM(U24:AB24,U23:AB23))</f>
        <v>-0</v>
      </c>
      <c r="AD23" s="183" t="n">
        <f aca="false">IF(-SUM(V24:AC24,V23:AC23)&gt;V22,0,-V22-SUM(V24:AC24,V23:AC23))</f>
        <v>-0</v>
      </c>
      <c r="AE23" s="183" t="n">
        <f aca="false">IF(-SUM(W24:AD24,W23:AD23)&gt;W22,0,-W22-SUM(W24:AD24,W23:AD23))</f>
        <v>-0</v>
      </c>
      <c r="AF23" s="183" t="n">
        <f aca="false">IF(-SUM(X24:AE24,X23:AE23)&gt;X22,0,-X22-SUM(X24:AE24,X23:AE23))</f>
        <v>-0</v>
      </c>
    </row>
    <row r="24" customFormat="false" ht="12.75" hidden="false" customHeight="false" outlineLevel="0" collapsed="false">
      <c r="A24" s="32" t="s">
        <v>379</v>
      </c>
      <c r="B24" s="308" t="n">
        <f aca="false">IF(B19&lt;0,0,IF(B21&gt;B19,-B19,-B21))</f>
        <v>-0</v>
      </c>
      <c r="C24" s="308" t="n">
        <f aca="false">IF(C19&lt;0,0,IF(C21&gt;C19,-C19,-C21))</f>
        <v>0</v>
      </c>
      <c r="D24" s="308" t="n">
        <f aca="false">IF(D19&lt;0,0,IF(D21&gt;D19,-D19,-D21))</f>
        <v>0</v>
      </c>
      <c r="E24" s="308" t="n">
        <f aca="false">IF(E19&lt;0,0,IF(E21&gt;E19,-E19,-E21))</f>
        <v>-83.2975278750317</v>
      </c>
      <c r="F24" s="308" t="n">
        <f aca="false">IF(F19&lt;0,0,IF(F21&gt;F19,-F19,-F21))</f>
        <v>-0</v>
      </c>
      <c r="G24" s="308" t="n">
        <f aca="false">IF(G19&lt;0,0,IF(G21&gt;G19,-G19,-G21))</f>
        <v>-0</v>
      </c>
      <c r="H24" s="308" t="n">
        <f aca="false">IF(H19&lt;0,0,IF(H21&gt;H19,-H19,-H21))</f>
        <v>-0</v>
      </c>
      <c r="I24" s="308" t="n">
        <f aca="false">IF(I19&lt;0,0,IF(I21&gt;I19,-I19,-I21))</f>
        <v>-0</v>
      </c>
      <c r="J24" s="308" t="n">
        <f aca="false">IF(J19&lt;0,0,IF(J21&gt;J19,-J19,-J21))</f>
        <v>-0</v>
      </c>
      <c r="K24" s="308" t="n">
        <f aca="false">IF(K19&lt;0,0,IF(K21&gt;K19,-K19,-K21))</f>
        <v>-0</v>
      </c>
      <c r="L24" s="308" t="n">
        <f aca="false">IF(L19&lt;0,0,IF(L21&gt;L19,-L19,-L21))</f>
        <v>-0</v>
      </c>
      <c r="M24" s="308" t="n">
        <f aca="false">IF(M19&lt;0,0,IF(M21&gt;M19,-M19,-M21))</f>
        <v>-0</v>
      </c>
      <c r="N24" s="308" t="n">
        <f aca="false">IF(N19&lt;0,0,IF(N21&gt;N19,-N19,-N21))</f>
        <v>-0</v>
      </c>
      <c r="O24" s="308" t="n">
        <f aca="false">IF(O19&lt;0,0,IF(O21&gt;O19,-O19,-O21))</f>
        <v>-0</v>
      </c>
      <c r="P24" s="308" t="n">
        <f aca="false">IF(P19&lt;0,0,IF(P21&gt;P19,-P19,-P21))</f>
        <v>-0</v>
      </c>
      <c r="Q24" s="308" t="n">
        <f aca="false">IF(Q19&lt;0,0,IF(Q21&gt;Q19,-Q19,-Q21))</f>
        <v>-0</v>
      </c>
      <c r="R24" s="308" t="n">
        <f aca="false">IF(R19&lt;0,0,IF(R21&gt;R19,-R19,-R21))</f>
        <v>-0</v>
      </c>
      <c r="S24" s="308" t="n">
        <f aca="false">IF(S19&lt;0,0,IF(S21&gt;S19,-S19,-S21))</f>
        <v>-0</v>
      </c>
      <c r="T24" s="308" t="n">
        <f aca="false">IF(T19&lt;0,0,IF(T21&gt;T19,-T19,-T21))</f>
        <v>-0</v>
      </c>
      <c r="U24" s="308" t="n">
        <f aca="false">IF(U19&lt;0,0,IF(U21&gt;U19,-U19,-U21))</f>
        <v>-0</v>
      </c>
      <c r="V24" s="308" t="n">
        <f aca="false">IF(V19&lt;0,0,IF(V21&gt;V19,-V19,-V21))</f>
        <v>-0</v>
      </c>
      <c r="W24" s="308" t="n">
        <f aca="false">IF(W19&lt;0,0,IF(W21&gt;W19,-W19,-W21))</f>
        <v>-0</v>
      </c>
      <c r="X24" s="308" t="n">
        <f aca="false">IF(X19&lt;0,0,IF(X21&gt;X19,-X19,-X21))</f>
        <v>-0</v>
      </c>
      <c r="Y24" s="308" t="n">
        <f aca="false">IF(Y19&lt;0,0,IF(Y21&gt;Y19,-Y19,-Y21))</f>
        <v>-0</v>
      </c>
      <c r="Z24" s="308" t="n">
        <f aca="false">IF(Z19&lt;0,0,IF(Z21&gt;Z19,-Z19,-Z21))</f>
        <v>-0</v>
      </c>
      <c r="AA24" s="308" t="n">
        <f aca="false">IF(AA19&lt;0,0,IF(AA21&gt;AA19,-AA19,-AA21))</f>
        <v>-0</v>
      </c>
      <c r="AB24" s="308" t="n">
        <f aca="false">IF(AB19&lt;0,0,IF(AB21&gt;AB19,-AB19,-AB21))</f>
        <v>-0</v>
      </c>
      <c r="AC24" s="308" t="n">
        <f aca="false">IF(AC19&lt;0,0,IF(AC21&gt;AC19,-AC19,-AC21))</f>
        <v>-0</v>
      </c>
      <c r="AD24" s="308" t="n">
        <f aca="false">IF(AD19&lt;0,0,IF(AD21&gt;AD19,-AD19,-AD21))</f>
        <v>-0</v>
      </c>
      <c r="AE24" s="308" t="n">
        <f aca="false">IF(AE19&lt;0,0,IF(AE21&gt;AE19,-AE19,-AE21))</f>
        <v>-0</v>
      </c>
      <c r="AF24" s="308" t="n">
        <f aca="false">IF(AF19&lt;0,0,IF(AF21&gt;AF19,-AF19,-AF21))</f>
        <v>-0</v>
      </c>
    </row>
    <row r="25" customFormat="false" ht="12.75" hidden="false" customHeight="false" outlineLevel="0" collapsed="false">
      <c r="A25" s="32" t="s">
        <v>380</v>
      </c>
      <c r="B25" s="308" t="n">
        <f aca="false">SUM(B21:B24)</f>
        <v>0</v>
      </c>
      <c r="C25" s="308" t="n">
        <f aca="false">SUM(C21:C24)</f>
        <v>66.4921517404965</v>
      </c>
      <c r="D25" s="308" t="n">
        <f aca="false">SUM(D21:D24)</f>
        <v>83.2975278750317</v>
      </c>
      <c r="E25" s="308" t="n">
        <f aca="false">SUM(E21:E24)</f>
        <v>0</v>
      </c>
      <c r="F25" s="308" t="n">
        <f aca="false">SUM(F21:F24)</f>
        <v>0</v>
      </c>
      <c r="G25" s="308" t="n">
        <f aca="false">SUM(G21:G24)</f>
        <v>0</v>
      </c>
      <c r="H25" s="308" t="n">
        <f aca="false">SUM(H21:H24)</f>
        <v>0</v>
      </c>
      <c r="I25" s="308" t="n">
        <f aca="false">SUM(I21:I24)</f>
        <v>0</v>
      </c>
      <c r="J25" s="308" t="n">
        <f aca="false">SUM(J21:J24)</f>
        <v>0</v>
      </c>
      <c r="K25" s="308" t="n">
        <f aca="false">SUM(K21:K24)</f>
        <v>0</v>
      </c>
      <c r="L25" s="308" t="n">
        <f aca="false">SUM(L21:L24)</f>
        <v>0</v>
      </c>
      <c r="M25" s="308" t="n">
        <f aca="false">SUM(M21:M24)</f>
        <v>0</v>
      </c>
      <c r="N25" s="308" t="n">
        <f aca="false">SUM(N21:N24)</f>
        <v>0</v>
      </c>
      <c r="O25" s="308" t="n">
        <f aca="false">SUM(O21:O24)</f>
        <v>0</v>
      </c>
      <c r="P25" s="308" t="n">
        <f aca="false">SUM(P21:P24)</f>
        <v>0</v>
      </c>
      <c r="Q25" s="308" t="n">
        <f aca="false">SUM(Q21:Q24)</f>
        <v>0</v>
      </c>
      <c r="R25" s="308" t="n">
        <f aca="false">SUM(R21:R24)</f>
        <v>0</v>
      </c>
      <c r="S25" s="308" t="n">
        <f aca="false">SUM(S21:S24)</f>
        <v>0</v>
      </c>
      <c r="T25" s="308" t="n">
        <f aca="false">SUM(T21:T24)</f>
        <v>0</v>
      </c>
      <c r="U25" s="308" t="n">
        <f aca="false">SUM(U21:U24)</f>
        <v>0</v>
      </c>
      <c r="V25" s="308" t="n">
        <f aca="false">SUM(V21:V24)</f>
        <v>0</v>
      </c>
      <c r="W25" s="308" t="n">
        <f aca="false">SUM(W21:W24)</f>
        <v>0</v>
      </c>
      <c r="X25" s="308" t="n">
        <f aca="false">SUM(X21:X24)</f>
        <v>0</v>
      </c>
      <c r="Y25" s="308" t="n">
        <f aca="false">SUM(Y21:Y24)</f>
        <v>0</v>
      </c>
      <c r="Z25" s="308" t="n">
        <f aca="false">SUM(Z21:Z24)</f>
        <v>0</v>
      </c>
      <c r="AA25" s="308" t="n">
        <f aca="false">SUM(AA21:AA24)</f>
        <v>0</v>
      </c>
      <c r="AB25" s="308" t="n">
        <f aca="false">SUM(AB21:AB24)</f>
        <v>0</v>
      </c>
      <c r="AC25" s="308" t="n">
        <f aca="false">SUM(AC21:AC24)</f>
        <v>0</v>
      </c>
      <c r="AD25" s="308" t="n">
        <f aca="false">SUM(AD21:AD24)</f>
        <v>0</v>
      </c>
      <c r="AE25" s="308" t="n">
        <f aca="false">SUM(AE21:AE24)</f>
        <v>0</v>
      </c>
      <c r="AF25" s="308" t="n">
        <f aca="false">SUM(AF21:AF24)</f>
        <v>0</v>
      </c>
    </row>
    <row r="26" customFormat="false" ht="12.75" hidden="false" customHeight="false" outlineLevel="0" collapsed="false">
      <c r="A26" s="32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</row>
    <row r="27" customFormat="false" ht="12.75" hidden="false" customHeight="false" outlineLevel="0" collapsed="false">
      <c r="A27" s="86" t="s">
        <v>381</v>
      </c>
      <c r="B27" s="309" t="n">
        <f aca="false">IF(B16&lt;0,0,B24+B19)</f>
        <v>26.779433920524</v>
      </c>
      <c r="C27" s="309" t="n">
        <f aca="false">IF(C16&lt;0,0,C24+C19)</f>
        <v>0</v>
      </c>
      <c r="D27" s="309" t="n">
        <f aca="false">IF(D16&lt;0,0,D24+D19)</f>
        <v>0</v>
      </c>
      <c r="E27" s="309" t="n">
        <f aca="false">IF(E16&lt;0,0,E24+E19)</f>
        <v>18.2341406175509</v>
      </c>
      <c r="F27" s="309" t="n">
        <f aca="false">IF(F16&lt;0,0,F24+F19)</f>
        <v>176.132781396787</v>
      </c>
      <c r="G27" s="309" t="n">
        <f aca="false">IF(G16&lt;0,0,G24+G19)</f>
        <v>252.092982777123</v>
      </c>
      <c r="H27" s="309" t="n">
        <f aca="false">IF(H16&lt;0,0,H24+H19)</f>
        <v>292.490910643659</v>
      </c>
      <c r="I27" s="309" t="n">
        <f aca="false">IF(I16&lt;0,0,I24+I19)</f>
        <v>298.942049227341</v>
      </c>
      <c r="J27" s="309" t="n">
        <f aca="false">IF(J16&lt;0,0,J24+J19)</f>
        <v>318.712214721628</v>
      </c>
      <c r="K27" s="309" t="n">
        <f aca="false">IF(K16&lt;0,0,K24+K19)</f>
        <v>325.191604567593</v>
      </c>
      <c r="L27" s="309" t="n">
        <f aca="false">IF(L16&lt;0,0,L24+L19)</f>
        <v>345.725401729646</v>
      </c>
      <c r="M27" s="309" t="n">
        <f aca="false">IF(M16&lt;0,0,M24+M19)</f>
        <v>352.212066274158</v>
      </c>
      <c r="N27" s="309" t="n">
        <f aca="false">IF(N16&lt;0,0,N24+N19)</f>
        <v>373.532622294966</v>
      </c>
      <c r="O27" s="309" t="n">
        <f aca="false">IF(O16&lt;0,0,O24+O19)</f>
        <v>380.00292525026</v>
      </c>
      <c r="P27" s="309" t="n">
        <f aca="false">IF(P16&lt;0,0,P24+P19)</f>
        <v>387.299480501513</v>
      </c>
      <c r="Q27" s="309" t="n">
        <f aca="false">IF(Q16&lt;0,0,Q24+Q19)</f>
        <v>550.194702723497</v>
      </c>
      <c r="R27" s="309" t="n">
        <f aca="false">IF(R16&lt;0,0,R24+R19)</f>
        <v>716.575089535466</v>
      </c>
      <c r="S27" s="309" t="n">
        <f aca="false">IF(S16&lt;0,0,S24+S19)</f>
        <v>724.395788286317</v>
      </c>
      <c r="T27" s="309" t="n">
        <f aca="false">IF(T16&lt;0,0,T24+T19)</f>
        <v>730.016456137844</v>
      </c>
      <c r="U27" s="309" t="n">
        <f aca="false">IF(U16&lt;0,0,U24+U19)</f>
        <v>735.292946935339</v>
      </c>
      <c r="V27" s="309" t="n">
        <f aca="false">IF(V16&lt;0,0,V24+V19)</f>
        <v>740.199909279382</v>
      </c>
      <c r="W27" s="309" t="n">
        <f aca="false">IF(W16&lt;0,0,W24+W19)</f>
        <v>744.710780445933</v>
      </c>
      <c r="X27" s="309" t="n">
        <f aca="false">IF(X16&lt;0,0,X24+X19)</f>
        <v>749.159069858202</v>
      </c>
      <c r="Y27" s="309" t="n">
        <f aca="false">IF(Y16&lt;0,0,Y24+Y19)</f>
        <v>753.542900063563</v>
      </c>
      <c r="Z27" s="309" t="n">
        <f aca="false">IF(Z16&lt;0,0,Z24+Z19)</f>
        <v>757.860337285806</v>
      </c>
      <c r="AA27" s="309" t="n">
        <f aca="false">IF(AA16&lt;0,0,AA24+AA19)</f>
        <v>762.109389735439</v>
      </c>
      <c r="AB27" s="309" t="n">
        <f aca="false">IF(AB16&lt;0,0,AB24+AB19)</f>
        <v>766.288005869283</v>
      </c>
      <c r="AC27" s="309" t="n">
        <f aca="false">IF(AC16&lt;0,0,AC24+AC19)</f>
        <v>770.394072597865</v>
      </c>
      <c r="AD27" s="309" t="n">
        <f aca="false">IF(AD16&lt;0,0,AD24+AD19)</f>
        <v>774.425413439026</v>
      </c>
      <c r="AE27" s="309" t="n">
        <f aca="false">IF(AE16&lt;0,0,AE24+AE19)</f>
        <v>778.379786616143</v>
      </c>
      <c r="AF27" s="309" t="n">
        <f aca="false">IF(AF16&lt;0,0,AF24+AF19)</f>
        <v>197.480020876802</v>
      </c>
    </row>
    <row r="28" customFormat="false" ht="12.75" hidden="false" customHeight="false" outlineLevel="0" collapsed="false">
      <c r="A28" s="86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</row>
    <row r="29" customFormat="false" ht="12.75" hidden="false" customHeight="false" outlineLevel="0" collapsed="false">
      <c r="A29" s="397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</row>
    <row r="30" customFormat="false" ht="12.75" hidden="false" customHeight="false" outlineLevel="0" collapsed="false">
      <c r="A30" s="429" t="s">
        <v>382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</row>
    <row r="31" customFormat="false" ht="12.75" hidden="false" customHeight="false" outlineLevel="0" collapsed="false">
      <c r="A31" s="397" t="s">
        <v>373</v>
      </c>
      <c r="B31" s="183" t="n">
        <f aca="false">B16</f>
        <v>382.563341721771</v>
      </c>
      <c r="C31" s="183" t="n">
        <f aca="false">C16</f>
        <v>-949.887882007093</v>
      </c>
      <c r="D31" s="183" t="n">
        <f aca="false">D16</f>
        <v>-240.07680192193</v>
      </c>
      <c r="E31" s="183" t="n">
        <f aca="false">E16</f>
        <v>1450.45240703689</v>
      </c>
      <c r="F31" s="183" t="n">
        <f aca="false">F16</f>
        <v>2516.18259138267</v>
      </c>
      <c r="G31" s="183" t="n">
        <f aca="false">G16</f>
        <v>3601.32832538747</v>
      </c>
      <c r="H31" s="183" t="n">
        <f aca="false">H16</f>
        <v>4178.44158062369</v>
      </c>
      <c r="I31" s="183" t="n">
        <f aca="false">I16</f>
        <v>4270.60070324774</v>
      </c>
      <c r="J31" s="183" t="n">
        <f aca="false">J16</f>
        <v>4553.0316388804</v>
      </c>
      <c r="K31" s="183" t="n">
        <f aca="false">K16</f>
        <v>4645.59435096562</v>
      </c>
      <c r="L31" s="183" t="n">
        <f aca="false">L16</f>
        <v>4938.93431042352</v>
      </c>
      <c r="M31" s="183" t="n">
        <f aca="false">M16</f>
        <v>5031.60094677368</v>
      </c>
      <c r="N31" s="183" t="n">
        <f aca="false">N16</f>
        <v>5336.18031849951</v>
      </c>
      <c r="O31" s="183" t="n">
        <f aca="false">O16</f>
        <v>5428.61321786086</v>
      </c>
      <c r="P31" s="183" t="n">
        <f aca="false">P16</f>
        <v>5532.84972145018</v>
      </c>
      <c r="Q31" s="183" t="n">
        <f aca="false">Q16</f>
        <v>7859.92432462138</v>
      </c>
      <c r="R31" s="183" t="n">
        <f aca="false">R16</f>
        <v>10236.7869933638</v>
      </c>
      <c r="S31" s="183" t="n">
        <f aca="false">S16</f>
        <v>10348.5112612331</v>
      </c>
      <c r="T31" s="183" t="n">
        <f aca="false">T16</f>
        <v>10428.8065162549</v>
      </c>
      <c r="U31" s="183" t="n">
        <f aca="false">U16</f>
        <v>10504.1849562191</v>
      </c>
      <c r="V31" s="183" t="n">
        <f aca="false">V16</f>
        <v>10574.2844182769</v>
      </c>
      <c r="W31" s="183" t="n">
        <f aca="false">W16</f>
        <v>10638.7254349419</v>
      </c>
      <c r="X31" s="183" t="n">
        <f aca="false">X16</f>
        <v>10702.2724265457</v>
      </c>
      <c r="Y31" s="183" t="n">
        <f aca="false">Y16</f>
        <v>10764.8985723366</v>
      </c>
      <c r="Z31" s="183" t="n">
        <f aca="false">Z16</f>
        <v>10826.5762469401</v>
      </c>
      <c r="AA31" s="183" t="n">
        <f aca="false">AA16</f>
        <v>10887.2769962206</v>
      </c>
      <c r="AB31" s="183" t="n">
        <f aca="false">AB16</f>
        <v>10946.9715124183</v>
      </c>
      <c r="AC31" s="183" t="n">
        <f aca="false">AC16</f>
        <v>11005.6296085409</v>
      </c>
      <c r="AD31" s="183" t="n">
        <f aca="false">AD16</f>
        <v>11063.2201919861</v>
      </c>
      <c r="AE31" s="183" t="n">
        <f aca="false">AE16</f>
        <v>11119.7112373735</v>
      </c>
      <c r="AF31" s="183" t="n">
        <f aca="false">AF16</f>
        <v>2821.14315538288</v>
      </c>
    </row>
    <row r="32" customFormat="false" ht="15" hidden="false" customHeight="false" outlineLevel="0" collapsed="false">
      <c r="A32" s="397" t="s">
        <v>383</v>
      </c>
      <c r="B32" s="308" t="n">
        <f aca="false">-B27</f>
        <v>-26.779433920524</v>
      </c>
      <c r="C32" s="308" t="n">
        <f aca="false">-C27</f>
        <v>-0</v>
      </c>
      <c r="D32" s="308" t="n">
        <f aca="false">-D27</f>
        <v>-0</v>
      </c>
      <c r="E32" s="308" t="n">
        <f aca="false">-E27</f>
        <v>-18.2341406175509</v>
      </c>
      <c r="F32" s="308" t="n">
        <f aca="false">-F27</f>
        <v>-176.132781396787</v>
      </c>
      <c r="G32" s="308" t="n">
        <f aca="false">-G27</f>
        <v>-252.092982777123</v>
      </c>
      <c r="H32" s="308" t="n">
        <f aca="false">-H27</f>
        <v>-292.490910643659</v>
      </c>
      <c r="I32" s="308" t="n">
        <f aca="false">-I27</f>
        <v>-298.942049227341</v>
      </c>
      <c r="J32" s="308" t="n">
        <f aca="false">-J27</f>
        <v>-318.712214721628</v>
      </c>
      <c r="K32" s="308" t="n">
        <f aca="false">-K27</f>
        <v>-325.191604567593</v>
      </c>
      <c r="L32" s="308" t="n">
        <f aca="false">-L27</f>
        <v>-345.725401729646</v>
      </c>
      <c r="M32" s="308" t="n">
        <f aca="false">-M27</f>
        <v>-352.212066274158</v>
      </c>
      <c r="N32" s="308" t="n">
        <f aca="false">-N27</f>
        <v>-373.532622294966</v>
      </c>
      <c r="O32" s="308" t="n">
        <f aca="false">-O27</f>
        <v>-380.00292525026</v>
      </c>
      <c r="P32" s="308" t="n">
        <f aca="false">-P27</f>
        <v>-387.299480501513</v>
      </c>
      <c r="Q32" s="308" t="n">
        <f aca="false">-Q27</f>
        <v>-550.194702723497</v>
      </c>
      <c r="R32" s="308" t="n">
        <f aca="false">-R27</f>
        <v>-716.575089535466</v>
      </c>
      <c r="S32" s="308" t="n">
        <f aca="false">-S27</f>
        <v>-724.395788286317</v>
      </c>
      <c r="T32" s="308" t="n">
        <f aca="false">-T27</f>
        <v>-730.016456137844</v>
      </c>
      <c r="U32" s="308" t="n">
        <f aca="false">-U27</f>
        <v>-735.292946935339</v>
      </c>
      <c r="V32" s="308" t="n">
        <f aca="false">-V27</f>
        <v>-740.199909279382</v>
      </c>
      <c r="W32" s="308" t="n">
        <f aca="false">-W27</f>
        <v>-744.710780445933</v>
      </c>
      <c r="X32" s="308" t="n">
        <f aca="false">-X27</f>
        <v>-749.159069858202</v>
      </c>
      <c r="Y32" s="308" t="n">
        <f aca="false">-Y27</f>
        <v>-753.542900063563</v>
      </c>
      <c r="Z32" s="308" t="n">
        <f aca="false">-Z27</f>
        <v>-757.860337285806</v>
      </c>
      <c r="AA32" s="308" t="n">
        <f aca="false">-AA27</f>
        <v>-762.109389735439</v>
      </c>
      <c r="AB32" s="308" t="n">
        <f aca="false">-AB27</f>
        <v>-766.288005869283</v>
      </c>
      <c r="AC32" s="308" t="n">
        <f aca="false">-AC27</f>
        <v>-770.394072597865</v>
      </c>
      <c r="AD32" s="308" t="n">
        <f aca="false">-AD27</f>
        <v>-774.425413439026</v>
      </c>
      <c r="AE32" s="308" t="n">
        <f aca="false">-AE27</f>
        <v>-778.379786616143</v>
      </c>
      <c r="AF32" s="308" t="n">
        <f aca="false">-AF27</f>
        <v>-197.480020876802</v>
      </c>
    </row>
    <row r="33" customFormat="false" ht="12.75" hidden="false" customHeight="false" outlineLevel="0" collapsed="false">
      <c r="A33" s="431" t="s">
        <v>384</v>
      </c>
      <c r="B33" s="309" t="n">
        <f aca="false">SUM(B31:B32)</f>
        <v>355.783907801247</v>
      </c>
      <c r="C33" s="309" t="n">
        <f aca="false">SUM(C31:C32)</f>
        <v>-949.887882007093</v>
      </c>
      <c r="D33" s="309" t="n">
        <f aca="false">SUM(D31:D32)</f>
        <v>-240.07680192193</v>
      </c>
      <c r="E33" s="309" t="n">
        <f aca="false">SUM(E31:E32)</f>
        <v>1432.21826641934</v>
      </c>
      <c r="F33" s="309" t="n">
        <f aca="false">SUM(F31:F32)</f>
        <v>2340.04980998588</v>
      </c>
      <c r="G33" s="309" t="n">
        <f aca="false">SUM(G31:G32)</f>
        <v>3349.23534261035</v>
      </c>
      <c r="H33" s="309" t="n">
        <f aca="false">SUM(H31:H32)</f>
        <v>3885.95066998004</v>
      </c>
      <c r="I33" s="309" t="n">
        <f aca="false">SUM(I31:I32)</f>
        <v>3971.65865402039</v>
      </c>
      <c r="J33" s="309" t="n">
        <f aca="false">SUM(J31:J32)</f>
        <v>4234.31942415877</v>
      </c>
      <c r="K33" s="309" t="n">
        <f aca="false">SUM(K31:K32)</f>
        <v>4320.40274639803</v>
      </c>
      <c r="L33" s="309" t="n">
        <f aca="false">SUM(L31:L32)</f>
        <v>4593.20890869387</v>
      </c>
      <c r="M33" s="309" t="n">
        <f aca="false">SUM(M31:M32)</f>
        <v>4679.38888049952</v>
      </c>
      <c r="N33" s="309" t="n">
        <f aca="false">SUM(N31:N32)</f>
        <v>4962.64769620455</v>
      </c>
      <c r="O33" s="309" t="n">
        <f aca="false">SUM(O31:O32)</f>
        <v>5048.6102926106</v>
      </c>
      <c r="P33" s="309" t="n">
        <f aca="false">SUM(P31:P32)</f>
        <v>5145.55024094867</v>
      </c>
      <c r="Q33" s="309" t="n">
        <f aca="false">SUM(Q31:Q32)</f>
        <v>7309.72962189788</v>
      </c>
      <c r="R33" s="309" t="n">
        <f aca="false">SUM(R31:R32)</f>
        <v>9520.21190382833</v>
      </c>
      <c r="S33" s="309" t="n">
        <f aca="false">SUM(S31:S32)</f>
        <v>9624.11547294678</v>
      </c>
      <c r="T33" s="309" t="n">
        <f aca="false">SUM(T31:T32)</f>
        <v>9698.79006011707</v>
      </c>
      <c r="U33" s="309" t="n">
        <f aca="false">SUM(U31:U32)</f>
        <v>9768.89200928379</v>
      </c>
      <c r="V33" s="309" t="n">
        <f aca="false">SUM(V31:V32)</f>
        <v>9834.0845089975</v>
      </c>
      <c r="W33" s="309" t="n">
        <f aca="false">SUM(W31:W32)</f>
        <v>9894.01465449596</v>
      </c>
      <c r="X33" s="309" t="n">
        <f aca="false">SUM(X31:X32)</f>
        <v>9953.11335668755</v>
      </c>
      <c r="Y33" s="309" t="n">
        <f aca="false">SUM(Y31:Y32)</f>
        <v>10011.3556722731</v>
      </c>
      <c r="Z33" s="309" t="n">
        <f aca="false">SUM(Z31:Z32)</f>
        <v>10068.7159096543</v>
      </c>
      <c r="AA33" s="309" t="n">
        <f aca="false">SUM(AA31:AA32)</f>
        <v>10125.1676064851</v>
      </c>
      <c r="AB33" s="309" t="n">
        <f aca="false">SUM(AB31:AB32)</f>
        <v>10180.683506549</v>
      </c>
      <c r="AC33" s="309" t="n">
        <f aca="false">SUM(AC31:AC32)</f>
        <v>10235.2355359431</v>
      </c>
      <c r="AD33" s="309" t="n">
        <f aca="false">SUM(AD31:AD32)</f>
        <v>10288.7947785471</v>
      </c>
      <c r="AE33" s="309" t="n">
        <f aca="false">SUM(AE31:AE32)</f>
        <v>10341.3314507573</v>
      </c>
      <c r="AF33" s="309" t="n">
        <f aca="false">SUM(AF31:AF32)</f>
        <v>2623.66313450608</v>
      </c>
    </row>
    <row r="34" customFormat="false" ht="12.75" hidden="false" customHeight="false" outlineLevel="0" collapsed="false">
      <c r="A34" s="431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</row>
    <row r="35" customFormat="false" ht="12.75" hidden="false" customHeight="false" outlineLevel="0" collapsed="false">
      <c r="A35" s="397" t="s">
        <v>385</v>
      </c>
      <c r="B35" s="436" t="n">
        <f aca="false">Assumptions!$N$59</f>
        <v>0.35</v>
      </c>
      <c r="C35" s="436" t="n">
        <f aca="false">Assumptions!$N$59</f>
        <v>0.35</v>
      </c>
      <c r="D35" s="436" t="n">
        <f aca="false">Assumptions!$N$59</f>
        <v>0.35</v>
      </c>
      <c r="E35" s="436" t="n">
        <f aca="false">Assumptions!$N$59</f>
        <v>0.35</v>
      </c>
      <c r="F35" s="436" t="n">
        <f aca="false">Assumptions!$N$59</f>
        <v>0.35</v>
      </c>
      <c r="G35" s="436" t="n">
        <f aca="false">Assumptions!$N$59</f>
        <v>0.35</v>
      </c>
      <c r="H35" s="436" t="n">
        <f aca="false">Assumptions!$N$59</f>
        <v>0.35</v>
      </c>
      <c r="I35" s="436" t="n">
        <f aca="false">Assumptions!$N$59</f>
        <v>0.35</v>
      </c>
      <c r="J35" s="436" t="n">
        <f aca="false">Assumptions!$N$59</f>
        <v>0.35</v>
      </c>
      <c r="K35" s="436" t="n">
        <f aca="false">Assumptions!$N$59</f>
        <v>0.35</v>
      </c>
      <c r="L35" s="436" t="n">
        <f aca="false">Assumptions!$N$59</f>
        <v>0.35</v>
      </c>
      <c r="M35" s="436" t="n">
        <f aca="false">Assumptions!$N$59</f>
        <v>0.35</v>
      </c>
      <c r="N35" s="436" t="n">
        <f aca="false">Assumptions!$N$59</f>
        <v>0.35</v>
      </c>
      <c r="O35" s="436" t="n">
        <f aca="false">Assumptions!$N$59</f>
        <v>0.35</v>
      </c>
      <c r="P35" s="436" t="n">
        <f aca="false">Assumptions!$N$59</f>
        <v>0.35</v>
      </c>
      <c r="Q35" s="436" t="n">
        <f aca="false">Assumptions!$N$59</f>
        <v>0.35</v>
      </c>
      <c r="R35" s="436" t="n">
        <f aca="false">Assumptions!$N$59</f>
        <v>0.35</v>
      </c>
      <c r="S35" s="436" t="n">
        <f aca="false">Assumptions!$N$59</f>
        <v>0.35</v>
      </c>
      <c r="T35" s="436" t="n">
        <f aca="false">Assumptions!$N$59</f>
        <v>0.35</v>
      </c>
      <c r="U35" s="436" t="n">
        <f aca="false">Assumptions!$N$59</f>
        <v>0.35</v>
      </c>
      <c r="V35" s="436" t="n">
        <f aca="false">Assumptions!$N$59</f>
        <v>0.35</v>
      </c>
      <c r="W35" s="436" t="n">
        <f aca="false">Assumptions!$N$59</f>
        <v>0.35</v>
      </c>
      <c r="X35" s="436" t="n">
        <f aca="false">Assumptions!$N$59</f>
        <v>0.35</v>
      </c>
      <c r="Y35" s="436" t="n">
        <f aca="false">Assumptions!$N$59</f>
        <v>0.35</v>
      </c>
      <c r="Z35" s="436" t="n">
        <f aca="false">Assumptions!$N$59</f>
        <v>0.35</v>
      </c>
      <c r="AA35" s="436" t="n">
        <f aca="false">Assumptions!$N$59</f>
        <v>0.35</v>
      </c>
      <c r="AB35" s="436" t="n">
        <f aca="false">Assumptions!$N$59</f>
        <v>0.35</v>
      </c>
      <c r="AC35" s="436" t="n">
        <f aca="false">Assumptions!$N$59</f>
        <v>0.35</v>
      </c>
      <c r="AD35" s="436" t="n">
        <f aca="false">Assumptions!$N$59</f>
        <v>0.35</v>
      </c>
      <c r="AE35" s="436" t="n">
        <f aca="false">Assumptions!$N$59</f>
        <v>0.35</v>
      </c>
      <c r="AF35" s="436" t="n">
        <f aca="false">Assumptions!$N$59</f>
        <v>0.35</v>
      </c>
    </row>
    <row r="36" customFormat="false" ht="12.75" hidden="false" customHeight="false" outlineLevel="0" collapsed="false">
      <c r="A36" s="397" t="s">
        <v>386</v>
      </c>
      <c r="B36" s="183" t="n">
        <f aca="false">B33*B35</f>
        <v>124.524367730437</v>
      </c>
      <c r="C36" s="183" t="n">
        <f aca="false">C33*C35</f>
        <v>-332.460758702483</v>
      </c>
      <c r="D36" s="183" t="n">
        <f aca="false">D33*D35</f>
        <v>-84.0268806726756</v>
      </c>
      <c r="E36" s="183" t="n">
        <f aca="false">E33*E35</f>
        <v>501.27639324677</v>
      </c>
      <c r="F36" s="183" t="n">
        <f aca="false">F33*F35</f>
        <v>819.017433495059</v>
      </c>
      <c r="G36" s="183" t="n">
        <f aca="false">G33*G35</f>
        <v>1172.23236991362</v>
      </c>
      <c r="H36" s="183" t="n">
        <f aca="false">H33*H35</f>
        <v>1360.08273449301</v>
      </c>
      <c r="I36" s="183" t="n">
        <f aca="false">I33*I35</f>
        <v>1390.08052890714</v>
      </c>
      <c r="J36" s="183" t="n">
        <f aca="false">J33*J35</f>
        <v>1482.01179845557</v>
      </c>
      <c r="K36" s="183" t="n">
        <f aca="false">K33*K35</f>
        <v>1512.14096123931</v>
      </c>
      <c r="L36" s="183" t="n">
        <f aca="false">L33*L35</f>
        <v>1607.62311804286</v>
      </c>
      <c r="M36" s="183" t="n">
        <f aca="false">M33*M35</f>
        <v>1637.78610817483</v>
      </c>
      <c r="N36" s="183" t="n">
        <f aca="false">N33*N35</f>
        <v>1736.92669367159</v>
      </c>
      <c r="O36" s="183" t="n">
        <f aca="false">O33*O35</f>
        <v>1767.01360241371</v>
      </c>
      <c r="P36" s="183" t="n">
        <f aca="false">P33*P35</f>
        <v>1800.94258433203</v>
      </c>
      <c r="Q36" s="183" t="n">
        <f aca="false">Q33*Q35</f>
        <v>2558.40536766426</v>
      </c>
      <c r="R36" s="183" t="n">
        <f aca="false">R33*R35</f>
        <v>3332.07416633992</v>
      </c>
      <c r="S36" s="183" t="n">
        <f aca="false">S33*S35</f>
        <v>3368.44041553137</v>
      </c>
      <c r="T36" s="183" t="n">
        <f aca="false">T33*T35</f>
        <v>3394.57652104097</v>
      </c>
      <c r="U36" s="183" t="n">
        <f aca="false">U33*U35</f>
        <v>3419.11220324933</v>
      </c>
      <c r="V36" s="183" t="n">
        <f aca="false">V33*V35</f>
        <v>3441.92957814912</v>
      </c>
      <c r="W36" s="183" t="n">
        <f aca="false">W33*W35</f>
        <v>3462.90512907359</v>
      </c>
      <c r="X36" s="183" t="n">
        <f aca="false">X33*X35</f>
        <v>3483.58967484064</v>
      </c>
      <c r="Y36" s="183" t="n">
        <f aca="false">Y33*Y35</f>
        <v>3503.97448529557</v>
      </c>
      <c r="Z36" s="183" t="n">
        <f aca="false">Z33*Z35</f>
        <v>3524.050568379</v>
      </c>
      <c r="AA36" s="183" t="n">
        <f aca="false">AA33*AA35</f>
        <v>3543.80866226979</v>
      </c>
      <c r="AB36" s="183" t="n">
        <f aca="false">AB33*AB35</f>
        <v>3563.23922729216</v>
      </c>
      <c r="AC36" s="183" t="n">
        <f aca="false">AC33*AC35</f>
        <v>3582.33243758007</v>
      </c>
      <c r="AD36" s="183" t="n">
        <f aca="false">AD33*AD35</f>
        <v>3601.07817249147</v>
      </c>
      <c r="AE36" s="183" t="n">
        <f aca="false">AE33*AE35</f>
        <v>3619.46600776506</v>
      </c>
      <c r="AF36" s="183" t="n">
        <f aca="false">AF33*AF35</f>
        <v>918.282097077127</v>
      </c>
    </row>
    <row r="37" customFormat="false" ht="12.75" hidden="false" customHeight="false" outlineLevel="0" collapsed="false">
      <c r="A37" s="32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</row>
    <row r="38" customFormat="false" ht="12.75" hidden="false" customHeight="false" outlineLevel="0" collapsed="false">
      <c r="A38" s="397" t="s">
        <v>376</v>
      </c>
      <c r="B38" s="183" t="n">
        <v>0</v>
      </c>
      <c r="C38" s="183" t="n">
        <f aca="false">B42</f>
        <v>0</v>
      </c>
      <c r="D38" s="183" t="n">
        <f aca="false">C42</f>
        <v>332.460758702483</v>
      </c>
      <c r="E38" s="183" t="n">
        <f aca="false">D42</f>
        <v>416.487639375158</v>
      </c>
      <c r="F38" s="183" t="n">
        <f aca="false">E42</f>
        <v>0</v>
      </c>
      <c r="G38" s="183" t="n">
        <f aca="false">F42</f>
        <v>0</v>
      </c>
      <c r="H38" s="183" t="n">
        <f aca="false">G42</f>
        <v>0</v>
      </c>
      <c r="I38" s="183" t="n">
        <f aca="false">H42</f>
        <v>0</v>
      </c>
      <c r="J38" s="183" t="n">
        <f aca="false">I42</f>
        <v>0</v>
      </c>
      <c r="K38" s="183" t="n">
        <f aca="false">J42</f>
        <v>0</v>
      </c>
      <c r="L38" s="183" t="n">
        <f aca="false">K42</f>
        <v>0</v>
      </c>
      <c r="M38" s="183" t="n">
        <f aca="false">L42</f>
        <v>0</v>
      </c>
      <c r="N38" s="183" t="n">
        <f aca="false">M42</f>
        <v>0</v>
      </c>
      <c r="O38" s="183" t="n">
        <f aca="false">N42</f>
        <v>0</v>
      </c>
      <c r="P38" s="183" t="n">
        <f aca="false">O42</f>
        <v>0</v>
      </c>
      <c r="Q38" s="183" t="n">
        <f aca="false">P42</f>
        <v>0</v>
      </c>
      <c r="R38" s="183" t="n">
        <f aca="false">Q42</f>
        <v>0</v>
      </c>
      <c r="S38" s="183" t="n">
        <f aca="false">R42</f>
        <v>0</v>
      </c>
      <c r="T38" s="183" t="n">
        <v>0</v>
      </c>
      <c r="U38" s="183" t="n">
        <f aca="false">T42</f>
        <v>0</v>
      </c>
      <c r="V38" s="183" t="n">
        <f aca="false">U42</f>
        <v>0</v>
      </c>
      <c r="W38" s="183" t="n">
        <f aca="false">V42</f>
        <v>0</v>
      </c>
      <c r="X38" s="183" t="n">
        <f aca="false">W42</f>
        <v>0</v>
      </c>
      <c r="Y38" s="183" t="n">
        <f aca="false">X42</f>
        <v>0</v>
      </c>
      <c r="Z38" s="183" t="n">
        <f aca="false">Y42</f>
        <v>0</v>
      </c>
      <c r="AA38" s="183" t="n">
        <f aca="false">Z42</f>
        <v>0</v>
      </c>
      <c r="AB38" s="183" t="n">
        <f aca="false">AA42</f>
        <v>0</v>
      </c>
      <c r="AC38" s="183" t="n">
        <f aca="false">AB42</f>
        <v>0</v>
      </c>
      <c r="AD38" s="183" t="n">
        <f aca="false">AC42</f>
        <v>0</v>
      </c>
      <c r="AE38" s="183" t="n">
        <f aca="false">AD42</f>
        <v>0</v>
      </c>
      <c r="AF38" s="183" t="n">
        <f aca="false">AE42</f>
        <v>0</v>
      </c>
    </row>
    <row r="39" customFormat="false" ht="12.75" hidden="false" customHeight="false" outlineLevel="0" collapsed="false">
      <c r="A39" s="397" t="s">
        <v>377</v>
      </c>
      <c r="B39" s="183" t="n">
        <f aca="false">IF(B36&lt;0,-B36,0)</f>
        <v>0</v>
      </c>
      <c r="C39" s="183" t="n">
        <f aca="false">IF(C36&lt;0,-C36,0)</f>
        <v>332.460758702483</v>
      </c>
      <c r="D39" s="183" t="n">
        <f aca="false">IF(D36&lt;0,-D36,0)</f>
        <v>84.0268806726756</v>
      </c>
      <c r="E39" s="183" t="n">
        <f aca="false">IF(E36&lt;0,-E36,0)</f>
        <v>0</v>
      </c>
      <c r="F39" s="183" t="n">
        <f aca="false">IF(F36&lt;0,-F36,0)</f>
        <v>0</v>
      </c>
      <c r="G39" s="183" t="n">
        <f aca="false">IF(G36&lt;0,-G36,0)</f>
        <v>0</v>
      </c>
      <c r="H39" s="183" t="n">
        <f aca="false">IF(H36&lt;0,-H36,0)</f>
        <v>0</v>
      </c>
      <c r="I39" s="183" t="n">
        <f aca="false">IF(I36&lt;0,-I36,0)</f>
        <v>0</v>
      </c>
      <c r="J39" s="183" t="n">
        <f aca="false">IF(J36&lt;0,-J36,0)</f>
        <v>0</v>
      </c>
      <c r="K39" s="183" t="n">
        <f aca="false">IF(K36&lt;0,-K36,0)</f>
        <v>0</v>
      </c>
      <c r="L39" s="183" t="n">
        <f aca="false">IF(L36&lt;0,-L36,0)</f>
        <v>0</v>
      </c>
      <c r="M39" s="183" t="n">
        <f aca="false">IF(M36&lt;0,-M36,0)</f>
        <v>0</v>
      </c>
      <c r="N39" s="183" t="n">
        <f aca="false">IF(N36&lt;0,-N36,0)</f>
        <v>0</v>
      </c>
      <c r="O39" s="183" t="n">
        <f aca="false">IF(O36&lt;0,-O36,0)</f>
        <v>0</v>
      </c>
      <c r="P39" s="183" t="n">
        <f aca="false">IF(P36&lt;0,-P36,0)</f>
        <v>0</v>
      </c>
      <c r="Q39" s="183" t="n">
        <f aca="false">IF(Q36&lt;0,-Q36,0)</f>
        <v>0</v>
      </c>
      <c r="R39" s="183" t="n">
        <f aca="false">IF(R36&lt;0,-R36,0)</f>
        <v>0</v>
      </c>
      <c r="S39" s="183" t="n">
        <f aca="false">IF(S36&lt;0,-S36,0)</f>
        <v>0</v>
      </c>
      <c r="T39" s="183" t="n">
        <f aca="false">IF(T36&lt;0,-T36,0)</f>
        <v>0</v>
      </c>
      <c r="U39" s="183" t="n">
        <f aca="false">IF(U36&lt;0,-U36,0)</f>
        <v>0</v>
      </c>
      <c r="V39" s="183" t="n">
        <f aca="false">IF(V36&lt;0,-V36,0)</f>
        <v>0</v>
      </c>
      <c r="W39" s="183" t="n">
        <f aca="false">IF(W36&lt;0,-W36,0)</f>
        <v>0</v>
      </c>
      <c r="X39" s="183" t="n">
        <f aca="false">IF(X36&lt;0,-X36,0)</f>
        <v>0</v>
      </c>
      <c r="Y39" s="183" t="n">
        <f aca="false">IF(Y36&lt;0,-Y36,0)</f>
        <v>0</v>
      </c>
      <c r="Z39" s="183" t="n">
        <f aca="false">IF(Z36&lt;0,-Z36,0)</f>
        <v>0</v>
      </c>
      <c r="AA39" s="183" t="n">
        <f aca="false">IF(AA36&lt;0,-AA36,0)</f>
        <v>0</v>
      </c>
      <c r="AB39" s="183" t="n">
        <f aca="false">IF(AB36&lt;0,-AB36,0)</f>
        <v>0</v>
      </c>
      <c r="AC39" s="183" t="n">
        <f aca="false">IF(AC36&lt;0,-AC36,0)</f>
        <v>0</v>
      </c>
      <c r="AD39" s="183" t="n">
        <f aca="false">IF(AD36&lt;0,-AD36,0)</f>
        <v>0</v>
      </c>
      <c r="AE39" s="183" t="n">
        <f aca="false">IF(AE36&lt;0,-AE36,0)</f>
        <v>0</v>
      </c>
      <c r="AF39" s="183" t="n">
        <f aca="false">IF(AF36&lt;0,-AF36,0)</f>
        <v>0</v>
      </c>
    </row>
    <row r="40" customFormat="false" ht="12.75" hidden="false" customHeight="false" outlineLevel="0" collapsed="false">
      <c r="A40" s="32" t="s">
        <v>378</v>
      </c>
      <c r="B40" s="433" t="n">
        <v>0</v>
      </c>
      <c r="C40" s="434" t="n">
        <v>0</v>
      </c>
      <c r="D40" s="434" t="n">
        <v>0</v>
      </c>
      <c r="E40" s="434" t="n">
        <v>0</v>
      </c>
      <c r="F40" s="434" t="n">
        <v>0</v>
      </c>
      <c r="G40" s="434" t="n">
        <v>0</v>
      </c>
      <c r="H40" s="434" t="n">
        <v>0</v>
      </c>
      <c r="I40" s="434" t="n">
        <v>0</v>
      </c>
      <c r="J40" s="434" t="n">
        <v>0</v>
      </c>
      <c r="K40" s="434" t="n">
        <v>0</v>
      </c>
      <c r="L40" s="434" t="n">
        <v>0</v>
      </c>
      <c r="M40" s="434" t="n">
        <v>0</v>
      </c>
      <c r="N40" s="434" t="n">
        <v>0</v>
      </c>
      <c r="O40" s="434" t="n">
        <v>0</v>
      </c>
      <c r="P40" s="435" t="n">
        <v>0</v>
      </c>
      <c r="Q40" s="183" t="n">
        <f aca="false">IF(-SUM(B41:P41,B40:P40)&gt;B39,0,-B39-SUM(B41:P41,B40:P40))</f>
        <v>0</v>
      </c>
      <c r="R40" s="183" t="n">
        <f aca="false">IF(-SUM(C41:Q41,C40:Q40)&gt;C39,0,-C39-SUM(C41:Q41,C40:Q40))</f>
        <v>0</v>
      </c>
      <c r="S40" s="183" t="n">
        <f aca="false">IF(-SUM(D41:R41,D40:R40)&gt;D39,0,-D39-SUM(D41:R41,D40:R40))</f>
        <v>0</v>
      </c>
      <c r="T40" s="183" t="n">
        <f aca="false">IF(-SUM(E41:S41,E40:S40)&gt;E39,0,-E39-SUM(E41:S41,E40:S40))</f>
        <v>0</v>
      </c>
      <c r="U40" s="183" t="n">
        <f aca="false">IF(-SUM(F41:T41,F40:T40)&gt;F39,0,-F39-SUM(F41:T41,F40:T40))</f>
        <v>-0</v>
      </c>
      <c r="V40" s="183" t="n">
        <f aca="false">IF(-SUM(G41:U41,G40:U40)&gt;G39,0,-G39-SUM(G41:U41,G40:U40))</f>
        <v>-0</v>
      </c>
      <c r="W40" s="183" t="n">
        <f aca="false">IF(-SUM(H41:V41,H40:V40)&gt;H39,0,-H39-SUM(H41:V41,H40:V40))</f>
        <v>-0</v>
      </c>
      <c r="X40" s="183" t="n">
        <f aca="false">IF(-SUM(I41:W41,I40:W40)&gt;I39,0,-I39-SUM(I41:W41,I40:W40))</f>
        <v>-0</v>
      </c>
      <c r="Y40" s="183" t="n">
        <f aca="false">IF(-SUM(J41:X41,J40:X40)&gt;J39,0,-J39-SUM(J41:X41,J40:X40))</f>
        <v>-0</v>
      </c>
      <c r="Z40" s="183" t="n">
        <f aca="false">IF(-SUM(K41:Y41,K40:Y40)&gt;K39,0,-K39-SUM(K41:Y41,K40:Y40))</f>
        <v>-0</v>
      </c>
      <c r="AA40" s="183" t="n">
        <f aca="false">IF(-SUM(L41:Z41,L40:Z40)&gt;L39,0,-L39-SUM(L41:Z41,L40:Z40))</f>
        <v>-0</v>
      </c>
      <c r="AB40" s="183" t="n">
        <f aca="false">IF(-SUM(M41:AA41,M40:AA40)&gt;M39,0,-M39-SUM(M41:AA41,M40:AA40))</f>
        <v>-0</v>
      </c>
      <c r="AC40" s="183" t="n">
        <f aca="false">IF(-SUM(N41:AB41,N40:AB40)&gt;N39,0,-N39-SUM(N41:AB41,N40:AB40))</f>
        <v>-0</v>
      </c>
      <c r="AD40" s="183" t="n">
        <f aca="false">IF(-SUM(O41:AC41,O40:AC40)&gt;O39,0,-O39-SUM(O41:AC41,O40:AC40))</f>
        <v>-0</v>
      </c>
      <c r="AE40" s="183" t="n">
        <f aca="false">IF(-SUM(P41:AD41,P40:AD40)&gt;P39,0,-P39-SUM(P41:AD41,P40:AD40))</f>
        <v>-0</v>
      </c>
      <c r="AF40" s="183" t="n">
        <f aca="false">IF(-SUM(Q41:AE41,Q40:AE40)&gt;Q39,0,-Q39-SUM(Q41:AE41,Q40:AE40))</f>
        <v>-0</v>
      </c>
    </row>
    <row r="41" customFormat="false" ht="12.75" hidden="false" customHeight="false" outlineLevel="0" collapsed="false">
      <c r="A41" s="32" t="s">
        <v>387</v>
      </c>
      <c r="B41" s="308" t="n">
        <f aca="false">IF(B36&lt;0,0,IF(B38&gt;B36,-B36,-B38))</f>
        <v>-0</v>
      </c>
      <c r="C41" s="308" t="n">
        <f aca="false">IF(C36&lt;0,0,IF(C38&gt;C36,-C36,-C38))</f>
        <v>0</v>
      </c>
      <c r="D41" s="308" t="n">
        <f aca="false">IF(D36&lt;0,0,IF(D38&gt;D36,-D36,-D38))</f>
        <v>0</v>
      </c>
      <c r="E41" s="308" t="n">
        <f aca="false">IF(E36&lt;0,0,IF(E38&gt;E36,-E36,-E38))</f>
        <v>-416.487639375158</v>
      </c>
      <c r="F41" s="308" t="n">
        <f aca="false">IF(F36&lt;0,0,IF(F38&gt;F36,-F36,-F38))</f>
        <v>-0</v>
      </c>
      <c r="G41" s="308" t="n">
        <f aca="false">IF(G36&lt;0,0,IF(G38&gt;G36,-G36,-G38))</f>
        <v>-0</v>
      </c>
      <c r="H41" s="308" t="n">
        <f aca="false">IF(H36&lt;0,0,IF(H38&gt;H36,-H36,-H38))</f>
        <v>-0</v>
      </c>
      <c r="I41" s="308" t="n">
        <f aca="false">IF(I36&lt;0,0,IF(I38&gt;I36,-I36,-I38))</f>
        <v>-0</v>
      </c>
      <c r="J41" s="308" t="n">
        <f aca="false">IF(J36&lt;0,0,IF(J38&gt;J36,-J36,-J38))</f>
        <v>-0</v>
      </c>
      <c r="K41" s="308" t="n">
        <f aca="false">IF(K36&lt;0,0,IF(K38&gt;K36,-K36,-K38))</f>
        <v>-0</v>
      </c>
      <c r="L41" s="308" t="n">
        <f aca="false">IF(L36&lt;0,0,IF(L38&gt;L36,-L36,-L38))</f>
        <v>-0</v>
      </c>
      <c r="M41" s="308" t="n">
        <f aca="false">IF(M36&lt;0,0,IF(M38&gt;M36,-M36,-M38))</f>
        <v>-0</v>
      </c>
      <c r="N41" s="308" t="n">
        <f aca="false">IF(N36&lt;0,0,IF(N38&gt;N36,-N36,-N38))</f>
        <v>-0</v>
      </c>
      <c r="O41" s="308" t="n">
        <f aca="false">IF(O36&lt;0,0,IF(O38&gt;O36,-O36,-O38))</f>
        <v>-0</v>
      </c>
      <c r="P41" s="308" t="n">
        <f aca="false">IF(P36&lt;0,0,IF(P38&gt;P36,-P36,-P38))</f>
        <v>-0</v>
      </c>
      <c r="Q41" s="308" t="n">
        <f aca="false">IF(Q36&lt;0,0,IF(Q38&gt;Q36,-Q36,-Q38))</f>
        <v>-0</v>
      </c>
      <c r="R41" s="308" t="n">
        <f aca="false">IF(R36&lt;0,0,IF(R38&gt;R36,-R36,-R38))</f>
        <v>-0</v>
      </c>
      <c r="S41" s="308" t="n">
        <f aca="false">IF(S36&lt;0,0,IF(S38&gt;S36,-S36,-S38))</f>
        <v>-0</v>
      </c>
      <c r="T41" s="308" t="n">
        <f aca="false">IF(T36&lt;0,0,IF(T38&gt;T36,-T36,-T38))</f>
        <v>-0</v>
      </c>
      <c r="U41" s="308" t="n">
        <f aca="false">IF(U36&lt;0,0,IF(U38&gt;U36,-U36,-U38))</f>
        <v>-0</v>
      </c>
      <c r="V41" s="308" t="n">
        <f aca="false">IF(V36&lt;0,0,IF(V38&gt;V36,-V36,-V38))</f>
        <v>-0</v>
      </c>
      <c r="W41" s="308" t="n">
        <f aca="false">IF(W36&lt;0,0,IF(W38&gt;W36,-W36,-W38))</f>
        <v>-0</v>
      </c>
      <c r="X41" s="308" t="n">
        <f aca="false">IF(X36&lt;0,0,IF(X38&gt;X36,-X36,-X38))</f>
        <v>-0</v>
      </c>
      <c r="Y41" s="308" t="n">
        <f aca="false">IF(Y36&lt;0,0,IF(Y38&gt;Y36,-Y36,-Y38))</f>
        <v>-0</v>
      </c>
      <c r="Z41" s="308" t="n">
        <f aca="false">IF(Z36&lt;0,0,IF(Z38&gt;Z36,-Z36,-Z38))</f>
        <v>-0</v>
      </c>
      <c r="AA41" s="308" t="n">
        <f aca="false">IF(AA36&lt;0,0,IF(AA38&gt;AA36,-AA36,-AA38))</f>
        <v>-0</v>
      </c>
      <c r="AB41" s="308" t="n">
        <f aca="false">IF(AB36&lt;0,0,IF(AB38&gt;AB36,-AB36,-AB38))</f>
        <v>-0</v>
      </c>
      <c r="AC41" s="308" t="n">
        <f aca="false">IF(AC36&lt;0,0,IF(AC38&gt;AC36,-AC36,-AC38))</f>
        <v>-0</v>
      </c>
      <c r="AD41" s="308" t="n">
        <f aca="false">IF(AD36&lt;0,0,IF(AD38&gt;AD36,-AD36,-AD38))</f>
        <v>-0</v>
      </c>
      <c r="AE41" s="308" t="n">
        <f aca="false">IF(AE36&lt;0,0,IF(AE38&gt;AE36,-AE36,-AE38))</f>
        <v>-0</v>
      </c>
      <c r="AF41" s="308" t="n">
        <f aca="false">IF(AF36&lt;0,0,IF(AF38&gt;AF36,-AF36,-AF38))</f>
        <v>-0</v>
      </c>
    </row>
    <row r="42" customFormat="false" ht="12.75" hidden="false" customHeight="false" outlineLevel="0" collapsed="false">
      <c r="A42" s="32" t="s">
        <v>380</v>
      </c>
      <c r="B42" s="308" t="n">
        <f aca="false">SUM(B38:B41)</f>
        <v>0</v>
      </c>
      <c r="C42" s="308" t="n">
        <f aca="false">SUM(C38:C41)</f>
        <v>332.460758702483</v>
      </c>
      <c r="D42" s="308" t="n">
        <f aca="false">SUM(D38:D41)</f>
        <v>416.487639375158</v>
      </c>
      <c r="E42" s="308" t="n">
        <f aca="false">SUM(E38:E41)</f>
        <v>0</v>
      </c>
      <c r="F42" s="308" t="n">
        <f aca="false">SUM(F38:F41)</f>
        <v>0</v>
      </c>
      <c r="G42" s="308" t="n">
        <f aca="false">SUM(G38:G41)</f>
        <v>0</v>
      </c>
      <c r="H42" s="308" t="n">
        <f aca="false">SUM(H38:H41)</f>
        <v>0</v>
      </c>
      <c r="I42" s="308" t="n">
        <f aca="false">SUM(I38:I41)</f>
        <v>0</v>
      </c>
      <c r="J42" s="308" t="n">
        <f aca="false">SUM(J38:J41)</f>
        <v>0</v>
      </c>
      <c r="K42" s="308" t="n">
        <f aca="false">SUM(K38:K41)</f>
        <v>0</v>
      </c>
      <c r="L42" s="308" t="n">
        <f aca="false">SUM(L38:L41)</f>
        <v>0</v>
      </c>
      <c r="M42" s="308" t="n">
        <f aca="false">SUM(M38:M41)</f>
        <v>0</v>
      </c>
      <c r="N42" s="308" t="n">
        <f aca="false">SUM(N38:N41)</f>
        <v>0</v>
      </c>
      <c r="O42" s="308" t="n">
        <f aca="false">SUM(O38:O41)</f>
        <v>0</v>
      </c>
      <c r="P42" s="308" t="n">
        <f aca="false">SUM(P38:P41)</f>
        <v>0</v>
      </c>
      <c r="Q42" s="308" t="n">
        <f aca="false">SUM(Q38:Q41)</f>
        <v>0</v>
      </c>
      <c r="R42" s="308" t="n">
        <f aca="false">SUM(R38:R41)</f>
        <v>0</v>
      </c>
      <c r="S42" s="308" t="n">
        <f aca="false">SUM(S38:S41)</f>
        <v>0</v>
      </c>
      <c r="T42" s="308" t="n">
        <f aca="false">SUM(T38:T41)</f>
        <v>0</v>
      </c>
      <c r="U42" s="308" t="n">
        <f aca="false">SUM(U38:U41)</f>
        <v>0</v>
      </c>
      <c r="V42" s="308" t="n">
        <f aca="false">SUM(V38:V41)</f>
        <v>0</v>
      </c>
      <c r="W42" s="308" t="n">
        <f aca="false">SUM(W38:W41)</f>
        <v>0</v>
      </c>
      <c r="X42" s="308" t="n">
        <f aca="false">SUM(X38:X41)</f>
        <v>0</v>
      </c>
      <c r="Y42" s="308" t="n">
        <f aca="false">SUM(Y38:Y41)</f>
        <v>0</v>
      </c>
      <c r="Z42" s="308" t="n">
        <f aca="false">SUM(Z38:Z41)</f>
        <v>0</v>
      </c>
      <c r="AA42" s="308" t="n">
        <f aca="false">SUM(AA38:AA41)</f>
        <v>0</v>
      </c>
      <c r="AB42" s="308" t="n">
        <f aca="false">SUM(AB38:AB41)</f>
        <v>0</v>
      </c>
      <c r="AC42" s="308" t="n">
        <f aca="false">SUM(AC38:AC41)</f>
        <v>0</v>
      </c>
      <c r="AD42" s="308" t="n">
        <f aca="false">SUM(AD38:AD41)</f>
        <v>0</v>
      </c>
      <c r="AE42" s="308" t="n">
        <f aca="false">SUM(AE38:AE41)</f>
        <v>0</v>
      </c>
      <c r="AF42" s="308" t="n">
        <f aca="false">SUM(AF38:AF41)</f>
        <v>0</v>
      </c>
    </row>
    <row r="43" customFormat="false" ht="12.75" hidden="false" customHeight="false" outlineLevel="0" collapsed="false">
      <c r="A43" s="32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</row>
    <row r="44" customFormat="false" ht="12.75" hidden="false" customHeight="false" outlineLevel="0" collapsed="false">
      <c r="A44" s="86" t="s">
        <v>381</v>
      </c>
      <c r="B44" s="309" t="n">
        <f aca="false">IF(B33&lt;0,0,B41+B36)</f>
        <v>124.524367730437</v>
      </c>
      <c r="C44" s="309" t="n">
        <f aca="false">IF(C33&lt;0,0,C41+C36)</f>
        <v>0</v>
      </c>
      <c r="D44" s="309" t="n">
        <f aca="false">IF(D33&lt;0,0,D41+D36)</f>
        <v>0</v>
      </c>
      <c r="E44" s="309" t="n">
        <f aca="false">IF(E33&lt;0,0,E41+E36)</f>
        <v>84.7887538716116</v>
      </c>
      <c r="F44" s="309" t="n">
        <f aca="false">IF(F33&lt;0,0,F41+F36)</f>
        <v>819.017433495059</v>
      </c>
      <c r="G44" s="309" t="n">
        <f aca="false">IF(G33&lt;0,0,G41+G36)</f>
        <v>1172.23236991362</v>
      </c>
      <c r="H44" s="309" t="n">
        <f aca="false">IF(H33&lt;0,0,H41+H36)</f>
        <v>1360.08273449301</v>
      </c>
      <c r="I44" s="309" t="n">
        <f aca="false">IF(I33&lt;0,0,I41+I36)</f>
        <v>1390.08052890714</v>
      </c>
      <c r="J44" s="309" t="n">
        <f aca="false">IF(J33&lt;0,0,J41+J36)</f>
        <v>1482.01179845557</v>
      </c>
      <c r="K44" s="309" t="n">
        <f aca="false">IF(K33&lt;0,0,K41+K36)</f>
        <v>1512.14096123931</v>
      </c>
      <c r="L44" s="309" t="n">
        <f aca="false">IF(L33&lt;0,0,L41+L36)</f>
        <v>1607.62311804286</v>
      </c>
      <c r="M44" s="309" t="n">
        <f aca="false">IF(M33&lt;0,0,M41+M36)</f>
        <v>1637.78610817483</v>
      </c>
      <c r="N44" s="309" t="n">
        <f aca="false">IF(N33&lt;0,0,N41+N36)</f>
        <v>1736.92669367159</v>
      </c>
      <c r="O44" s="309" t="n">
        <f aca="false">IF(O33&lt;0,0,O41+O36)</f>
        <v>1767.01360241371</v>
      </c>
      <c r="P44" s="309" t="n">
        <f aca="false">IF(P33&lt;0,0,P41+P36)</f>
        <v>1800.94258433203</v>
      </c>
      <c r="Q44" s="309" t="n">
        <f aca="false">IF(Q33&lt;0,0,Q41+Q36)</f>
        <v>2558.40536766426</v>
      </c>
      <c r="R44" s="309" t="n">
        <f aca="false">IF(R33&lt;0,0,R41+R36)</f>
        <v>3332.07416633992</v>
      </c>
      <c r="S44" s="309" t="n">
        <f aca="false">IF(S33&lt;0,0,S41+S36)</f>
        <v>3368.44041553137</v>
      </c>
      <c r="T44" s="309" t="n">
        <f aca="false">IF(T33&lt;0,0,T41+T36)</f>
        <v>3394.57652104097</v>
      </c>
      <c r="U44" s="309" t="n">
        <f aca="false">IF(U33&lt;0,0,U41+U36)</f>
        <v>3419.11220324933</v>
      </c>
      <c r="V44" s="309" t="n">
        <f aca="false">IF(V33&lt;0,0,V41+V36)</f>
        <v>3441.92957814912</v>
      </c>
      <c r="W44" s="309" t="n">
        <f aca="false">IF(W33&lt;0,0,W41+W36)</f>
        <v>3462.90512907359</v>
      </c>
      <c r="X44" s="309" t="n">
        <f aca="false">IF(X33&lt;0,0,X41+X36)</f>
        <v>3483.58967484064</v>
      </c>
      <c r="Y44" s="309" t="n">
        <f aca="false">IF(Y33&lt;0,0,Y41+Y36)</f>
        <v>3503.97448529557</v>
      </c>
      <c r="Z44" s="309" t="n">
        <f aca="false">IF(Z33&lt;0,0,Z41+Z36)</f>
        <v>3524.050568379</v>
      </c>
      <c r="AA44" s="309" t="n">
        <f aca="false">IF(AA33&lt;0,0,AA41+AA36)</f>
        <v>3543.80866226979</v>
      </c>
      <c r="AB44" s="309" t="n">
        <f aca="false">IF(AB33&lt;0,0,AB41+AB36)</f>
        <v>3563.23922729216</v>
      </c>
      <c r="AC44" s="309" t="n">
        <f aca="false">IF(AC33&lt;0,0,AC41+AC36)</f>
        <v>3582.33243758007</v>
      </c>
      <c r="AD44" s="309" t="n">
        <f aca="false">IF(AD33&lt;0,0,AD41+AD36)</f>
        <v>3601.07817249147</v>
      </c>
      <c r="AE44" s="309" t="n">
        <f aca="false">IF(AE33&lt;0,0,AE41+AE36)</f>
        <v>3619.46600776506</v>
      </c>
      <c r="AF44" s="309" t="n">
        <f aca="false">IF(AF33&lt;0,0,AF41+AF36)</f>
        <v>918.282097077127</v>
      </c>
    </row>
    <row r="45" customFormat="false" ht="12.75" hidden="false" customHeight="false" outlineLevel="0" collapsed="false">
      <c r="A45" s="86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437"/>
      <c r="Y45" s="437"/>
    </row>
    <row r="46" customFormat="false" ht="12.75" hidden="false" customHeight="false" outlineLevel="0" collapsed="false">
      <c r="C46" s="415"/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</row>
    <row r="47" customFormat="false" ht="12.75" hidden="false" customHeight="false" outlineLevel="0" collapsed="false"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</row>
    <row r="48" customFormat="false" ht="12.75" hidden="false" customHeight="false" outlineLevel="0" collapsed="false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</row>
    <row r="49" customFormat="false" ht="12.75" hidden="false" customHeight="false" outlineLevel="0" collapsed="false"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</row>
    <row r="50" customFormat="false" ht="12.75" hidden="false" customHeight="false" outlineLevel="0" collapsed="false"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</row>
    <row r="51" customFormat="false" ht="12.75" hidden="false" customHeight="false" outlineLevel="0" collapsed="false">
      <c r="X51" s="140"/>
      <c r="Y51" s="140"/>
    </row>
    <row r="52" customFormat="false" ht="12.75" hidden="false" customHeight="false" outlineLevel="0" collapsed="false">
      <c r="X52" s="140"/>
      <c r="Y52" s="140"/>
    </row>
    <row r="53" customFormat="false" ht="12.75" hidden="false" customHeight="false" outlineLevel="0" collapsed="false">
      <c r="X53" s="140"/>
      <c r="Y53" s="140"/>
    </row>
    <row r="54" customFormat="false" ht="12.75" hidden="false" customHeight="false" outlineLevel="0" collapsed="false">
      <c r="X54" s="140"/>
      <c r="Y54" s="140"/>
    </row>
    <row r="55" customFormat="false" ht="12.75" hidden="false" customHeight="false" outlineLevel="0" collapsed="false">
      <c r="X55" s="140"/>
      <c r="Y55" s="140"/>
    </row>
    <row r="56" customFormat="false" ht="12.75" hidden="false" customHeight="false" outlineLevel="0" collapsed="false">
      <c r="X56" s="140"/>
      <c r="Y56" s="140"/>
    </row>
    <row r="57" customFormat="false" ht="12.75" hidden="false" customHeight="false" outlineLevel="0" collapsed="false">
      <c r="X57" s="140"/>
      <c r="Y57" s="14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6" activeCellId="0" sqref="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9" min="2" style="1" width="16.28"/>
    <col collapsed="false" customWidth="true" hidden="false" outlineLevel="0" max="21" min="10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423" t="s">
        <v>388</v>
      </c>
      <c r="B4" s="438"/>
      <c r="C4" s="349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403"/>
      <c r="Y4" s="403"/>
    </row>
    <row r="5" customFormat="false" ht="12.75" hidden="false" customHeight="false" outlineLevel="0" collapsed="false">
      <c r="A5" s="425"/>
      <c r="B5" s="426"/>
      <c r="C5" s="417"/>
      <c r="D5" s="417"/>
      <c r="E5" s="417"/>
      <c r="F5" s="417"/>
      <c r="G5" s="417"/>
      <c r="H5" s="417"/>
      <c r="I5" s="427"/>
      <c r="J5" s="417"/>
      <c r="K5" s="417"/>
      <c r="L5" s="417"/>
      <c r="M5" s="417"/>
      <c r="N5" s="417"/>
      <c r="O5" s="427"/>
      <c r="P5" s="417"/>
      <c r="Q5" s="417"/>
      <c r="R5" s="417"/>
      <c r="S5" s="417"/>
      <c r="T5" s="417"/>
      <c r="U5" s="427"/>
      <c r="V5" s="417"/>
      <c r="W5" s="417"/>
      <c r="X5" s="426"/>
      <c r="Y5" s="426"/>
    </row>
    <row r="6" customFormat="false" ht="12.75" hidden="false" customHeight="false" outlineLevel="0" collapsed="false">
      <c r="A6" s="425" t="s">
        <v>389</v>
      </c>
      <c r="B6" s="439"/>
      <c r="C6" s="440" t="n">
        <f aca="false">SUM(Assumptions!C21:C33)</f>
        <v>29937</v>
      </c>
      <c r="D6" s="441"/>
      <c r="E6" s="441"/>
      <c r="F6" s="441"/>
      <c r="G6" s="441"/>
      <c r="H6" s="441"/>
      <c r="I6" s="442"/>
      <c r="J6" s="441"/>
      <c r="K6" s="441"/>
      <c r="L6" s="441"/>
      <c r="M6" s="441"/>
      <c r="N6" s="441"/>
      <c r="O6" s="442"/>
      <c r="P6" s="441"/>
      <c r="Q6" s="441"/>
      <c r="R6" s="441"/>
      <c r="S6" s="441"/>
      <c r="T6" s="441"/>
      <c r="U6" s="442"/>
      <c r="V6" s="441"/>
      <c r="W6" s="441"/>
      <c r="X6" s="439"/>
      <c r="Y6" s="439"/>
    </row>
    <row r="7" customFormat="false" ht="12.75" hidden="false" customHeight="false" outlineLevel="0" collapsed="false">
      <c r="A7" s="425" t="s">
        <v>390</v>
      </c>
      <c r="B7" s="439"/>
      <c r="C7" s="440" t="n">
        <f aca="false">Assumptions!H15</f>
        <v>8</v>
      </c>
      <c r="D7" s="441"/>
      <c r="E7" s="441"/>
      <c r="F7" s="441"/>
      <c r="G7" s="441"/>
      <c r="H7" s="441"/>
      <c r="I7" s="442"/>
      <c r="J7" s="441"/>
      <c r="K7" s="441"/>
      <c r="L7" s="441"/>
      <c r="M7" s="441"/>
      <c r="N7" s="441"/>
      <c r="O7" s="442"/>
      <c r="P7" s="441"/>
      <c r="Q7" s="441"/>
      <c r="R7" s="441"/>
      <c r="S7" s="441"/>
      <c r="T7" s="441"/>
      <c r="U7" s="442"/>
      <c r="V7" s="441"/>
      <c r="W7" s="441"/>
      <c r="X7" s="439"/>
      <c r="Y7" s="439"/>
    </row>
    <row r="8" customFormat="false" ht="12.75" hidden="false" customHeight="false" outlineLevel="0" collapsed="false">
      <c r="A8" s="425" t="s">
        <v>391</v>
      </c>
      <c r="B8" s="439"/>
      <c r="C8" s="443" t="n">
        <f aca="false">Assumptions!H38</f>
        <v>0.0783</v>
      </c>
      <c r="D8" s="444" t="n">
        <f aca="false">C8/360</f>
        <v>0.0002175</v>
      </c>
      <c r="E8" s="441"/>
      <c r="F8" s="441"/>
      <c r="G8" s="441"/>
      <c r="H8" s="441"/>
      <c r="I8" s="442"/>
      <c r="J8" s="441"/>
      <c r="K8" s="441"/>
      <c r="L8" s="441"/>
      <c r="M8" s="441"/>
      <c r="N8" s="441"/>
      <c r="O8" s="442"/>
      <c r="P8" s="441"/>
      <c r="Q8" s="441"/>
      <c r="R8" s="441"/>
      <c r="S8" s="441"/>
      <c r="T8" s="441"/>
      <c r="U8" s="442"/>
      <c r="V8" s="441"/>
      <c r="W8" s="441"/>
      <c r="X8" s="439"/>
      <c r="Y8" s="439"/>
    </row>
    <row r="9" customFormat="false" ht="12.75" hidden="false" customHeight="false" outlineLevel="0" collapsed="false">
      <c r="A9" s="425"/>
      <c r="B9" s="439"/>
      <c r="C9" s="445" t="s">
        <v>392</v>
      </c>
      <c r="D9" s="445" t="s">
        <v>393</v>
      </c>
      <c r="E9" s="441"/>
      <c r="F9" s="441"/>
      <c r="G9" s="441"/>
      <c r="H9" s="441"/>
      <c r="I9" s="442"/>
      <c r="J9" s="441"/>
      <c r="K9" s="441"/>
      <c r="L9" s="441"/>
      <c r="M9" s="441"/>
      <c r="N9" s="441"/>
      <c r="O9" s="442"/>
      <c r="P9" s="441"/>
      <c r="Q9" s="441"/>
      <c r="R9" s="441"/>
      <c r="S9" s="441"/>
      <c r="T9" s="441"/>
      <c r="U9" s="442"/>
      <c r="V9" s="441"/>
      <c r="W9" s="441"/>
      <c r="X9" s="439"/>
      <c r="Y9" s="439"/>
    </row>
    <row r="10" customFormat="false" ht="12.75" hidden="false" customHeight="false" outlineLevel="0" collapsed="false">
      <c r="A10" s="425"/>
      <c r="B10" s="439"/>
      <c r="C10" s="445"/>
      <c r="D10" s="445"/>
      <c r="E10" s="441"/>
      <c r="F10" s="441"/>
      <c r="G10" s="441"/>
      <c r="H10" s="441"/>
      <c r="I10" s="442"/>
      <c r="J10" s="441"/>
      <c r="K10" s="441"/>
      <c r="L10" s="441"/>
      <c r="M10" s="441"/>
      <c r="N10" s="441"/>
      <c r="O10" s="442"/>
      <c r="P10" s="441"/>
      <c r="Q10" s="441"/>
      <c r="R10" s="441"/>
      <c r="S10" s="441"/>
      <c r="T10" s="441"/>
      <c r="U10" s="442"/>
      <c r="V10" s="441"/>
      <c r="W10" s="441"/>
      <c r="X10" s="439"/>
      <c r="Y10" s="439"/>
    </row>
    <row r="11" customFormat="false" ht="12.75" hidden="false" customHeight="false" outlineLevel="0" collapsed="false">
      <c r="A11" s="425"/>
      <c r="B11" s="439"/>
      <c r="C11" s="445"/>
      <c r="D11" s="445"/>
      <c r="E11" s="441"/>
      <c r="F11" s="441"/>
      <c r="G11" s="441"/>
      <c r="H11" s="441"/>
      <c r="I11" s="442"/>
      <c r="J11" s="441"/>
      <c r="K11" s="441"/>
      <c r="L11" s="441"/>
      <c r="M11" s="441"/>
      <c r="N11" s="441"/>
      <c r="O11" s="442"/>
      <c r="P11" s="441"/>
      <c r="Q11" s="441"/>
      <c r="R11" s="441"/>
      <c r="S11" s="441"/>
      <c r="T11" s="441"/>
      <c r="U11" s="442"/>
      <c r="V11" s="441"/>
      <c r="W11" s="441"/>
      <c r="X11" s="439"/>
      <c r="Y11" s="439"/>
    </row>
    <row r="12" customFormat="false" ht="12.75" hidden="false" customHeight="false" outlineLevel="0" collapsed="false">
      <c r="A12" s="3"/>
      <c r="B12" s="446"/>
      <c r="C12" s="446"/>
      <c r="D12" s="447" t="s">
        <v>394</v>
      </c>
      <c r="E12" s="448" t="s">
        <v>395</v>
      </c>
      <c r="F12" s="446"/>
      <c r="G12" s="446"/>
      <c r="H12" s="446"/>
      <c r="I12" s="446"/>
      <c r="J12" s="174"/>
    </row>
    <row r="13" customFormat="false" ht="12.75" hidden="false" customHeight="false" outlineLevel="0" collapsed="false">
      <c r="A13" s="448" t="s">
        <v>396</v>
      </c>
      <c r="B13" s="3"/>
      <c r="C13" s="3"/>
      <c r="D13" s="447" t="s">
        <v>397</v>
      </c>
      <c r="E13" s="447" t="s">
        <v>398</v>
      </c>
      <c r="F13" s="447" t="s">
        <v>340</v>
      </c>
      <c r="G13" s="449" t="s">
        <v>399</v>
      </c>
      <c r="H13" s="447" t="s">
        <v>400</v>
      </c>
      <c r="I13" s="447" t="s">
        <v>401</v>
      </c>
      <c r="J13" s="155"/>
    </row>
    <row r="14" customFormat="false" ht="12.75" hidden="false" customHeight="false" outlineLevel="0" collapsed="false">
      <c r="A14" s="450" t="s">
        <v>402</v>
      </c>
      <c r="B14" s="450" t="s">
        <v>11</v>
      </c>
      <c r="C14" s="450" t="s">
        <v>403</v>
      </c>
      <c r="D14" s="450" t="s">
        <v>404</v>
      </c>
      <c r="E14" s="450" t="s">
        <v>404</v>
      </c>
      <c r="F14" s="450" t="s">
        <v>404</v>
      </c>
      <c r="G14" s="450" t="s">
        <v>404</v>
      </c>
      <c r="H14" s="450" t="s">
        <v>404</v>
      </c>
      <c r="I14" s="450" t="s">
        <v>404</v>
      </c>
      <c r="J14" s="155"/>
    </row>
    <row r="15" customFormat="false" ht="12.75" hidden="false" customHeight="false" outlineLevel="0" collapsed="false">
      <c r="A15" s="451" t="n">
        <v>0</v>
      </c>
      <c r="B15" s="452" t="n">
        <v>36739</v>
      </c>
      <c r="C15" s="453" t="n">
        <v>0</v>
      </c>
      <c r="D15" s="454" t="n">
        <f aca="false">E60*3</f>
        <v>42781.3488219951</v>
      </c>
      <c r="E15" s="422" t="n">
        <f aca="false">C15*$C$6</f>
        <v>0</v>
      </c>
      <c r="F15" s="422" t="n">
        <f aca="false">+E15+D15</f>
        <v>42781.3488219951</v>
      </c>
      <c r="G15" s="422" t="n">
        <f aca="false">F15+H15</f>
        <v>42781.3488219951</v>
      </c>
      <c r="H15" s="422" t="n">
        <v>0</v>
      </c>
      <c r="I15" s="422" t="n">
        <f aca="false">H15</f>
        <v>0</v>
      </c>
    </row>
    <row r="16" customFormat="false" ht="12.75" hidden="false" customHeight="false" outlineLevel="0" collapsed="false">
      <c r="A16" s="451" t="n">
        <f aca="false">A15+1</f>
        <v>1</v>
      </c>
      <c r="B16" s="452" t="n">
        <v>36770</v>
      </c>
      <c r="C16" s="453" t="n">
        <f aca="false">100%/$C$7</f>
        <v>0.125</v>
      </c>
      <c r="D16" s="454" t="n">
        <v>0</v>
      </c>
      <c r="E16" s="422" t="n">
        <f aca="false">C16*$C$6</f>
        <v>3742.125</v>
      </c>
      <c r="F16" s="422" t="n">
        <f aca="false">+E16+D16</f>
        <v>3742.125</v>
      </c>
      <c r="G16" s="422" t="n">
        <f aca="false">F16+G15+H16</f>
        <v>46811.9270664274</v>
      </c>
      <c r="H16" s="422" t="n">
        <f aca="false">IF(A16&gt;$C$7,0,G15*(B16-B15)*$D$8)</f>
        <v>288.453244432302</v>
      </c>
      <c r="I16" s="422" t="n">
        <f aca="false">IF(A16&lt;=$C$7,H16+I15,I15)</f>
        <v>288.453244432302</v>
      </c>
    </row>
    <row r="17" customFormat="false" ht="12.75" hidden="false" customHeight="false" outlineLevel="0" collapsed="false">
      <c r="A17" s="451" t="n">
        <f aca="false">A16+1</f>
        <v>2</v>
      </c>
      <c r="B17" s="452" t="n">
        <v>36800</v>
      </c>
      <c r="C17" s="453" t="n">
        <f aca="false">100%/$C$7</f>
        <v>0.125</v>
      </c>
      <c r="D17" s="454" t="n">
        <v>0</v>
      </c>
      <c r="E17" s="422" t="n">
        <f aca="false">C17*$C$6</f>
        <v>3742.125</v>
      </c>
      <c r="F17" s="422" t="n">
        <f aca="false">+E17+D17</f>
        <v>3742.125</v>
      </c>
      <c r="G17" s="422" t="n">
        <f aca="false">F17+G16+H17</f>
        <v>50859.4998905359</v>
      </c>
      <c r="H17" s="422" t="n">
        <f aca="false">IF(A17&gt;$C$7,0,G16*(B17-B16)*$D$8)</f>
        <v>305.447824108439</v>
      </c>
      <c r="I17" s="422" t="n">
        <f aca="false">IF(A17&lt;=$C$7,H17+I16,I16)</f>
        <v>593.901068540741</v>
      </c>
    </row>
    <row r="18" customFormat="false" ht="12.75" hidden="false" customHeight="false" outlineLevel="0" collapsed="false">
      <c r="A18" s="451" t="n">
        <f aca="false">A17+1</f>
        <v>3</v>
      </c>
      <c r="B18" s="452" t="n">
        <v>36831</v>
      </c>
      <c r="C18" s="453" t="n">
        <f aca="false">100%/$C$7</f>
        <v>0.125</v>
      </c>
      <c r="D18" s="454" t="n">
        <v>0</v>
      </c>
      <c r="E18" s="422" t="n">
        <f aca="false">C18*$C$6</f>
        <v>3742.125</v>
      </c>
      <c r="F18" s="422" t="n">
        <f aca="false">+E18+D18</f>
        <v>3742.125</v>
      </c>
      <c r="G18" s="422" t="n">
        <f aca="false">F18+G17+H18</f>
        <v>54944.5450685478</v>
      </c>
      <c r="H18" s="422" t="n">
        <f aca="false">IF(A18&gt;$C$7,0,G17*(B18-B17)*$D$8)</f>
        <v>342.920178011938</v>
      </c>
      <c r="I18" s="422" t="n">
        <f aca="false">IF(A18&lt;=$C$7,H18+I17,I17)</f>
        <v>936.821246552679</v>
      </c>
    </row>
    <row r="19" customFormat="false" ht="12.75" hidden="false" customHeight="false" outlineLevel="0" collapsed="false">
      <c r="A19" s="451" t="n">
        <f aca="false">A18+1</f>
        <v>4</v>
      </c>
      <c r="B19" s="452" t="n">
        <v>36861</v>
      </c>
      <c r="C19" s="453" t="n">
        <f aca="false">100%/$C$7</f>
        <v>0.125</v>
      </c>
      <c r="D19" s="454" t="n">
        <v>0</v>
      </c>
      <c r="E19" s="422" t="n">
        <f aca="false">C19*$C$6</f>
        <v>3742.125</v>
      </c>
      <c r="F19" s="422" t="n">
        <f aca="false">+E19+D19</f>
        <v>3742.125</v>
      </c>
      <c r="G19" s="422" t="n">
        <f aca="false">F19+G18+H19</f>
        <v>59045.1832251201</v>
      </c>
      <c r="H19" s="422" t="n">
        <f aca="false">IF(A19&gt;$C$7,0,G18*(B19-B18)*$D$8)</f>
        <v>358.513156572274</v>
      </c>
      <c r="I19" s="422" t="n">
        <f aca="false">IF(A19&lt;=$C$7,H19+I18,I18)</f>
        <v>1295.33440312495</v>
      </c>
    </row>
    <row r="20" customFormat="false" ht="12.75" hidden="false" customHeight="false" outlineLevel="0" collapsed="false">
      <c r="A20" s="451" t="n">
        <f aca="false">A19+1</f>
        <v>5</v>
      </c>
      <c r="B20" s="452" t="n">
        <v>36892</v>
      </c>
      <c r="C20" s="453" t="n">
        <f aca="false">100%/$C$7</f>
        <v>0.125</v>
      </c>
      <c r="D20" s="454" t="n">
        <v>0</v>
      </c>
      <c r="E20" s="422" t="n">
        <f aca="false">C20*$C$6</f>
        <v>3742.125</v>
      </c>
      <c r="F20" s="422" t="n">
        <f aca="false">+E20+D20</f>
        <v>3742.125</v>
      </c>
      <c r="G20" s="422" t="n">
        <f aca="false">F20+G19+H20</f>
        <v>63185.4203730155</v>
      </c>
      <c r="H20" s="422" t="n">
        <f aca="false">IF(A20&gt;$C$7,0,G19*(B20-B19)*$D$8)</f>
        <v>398.112147895372</v>
      </c>
      <c r="I20" s="422" t="n">
        <f aca="false">IF(A20&lt;=$C$7,H20+I19,I19)</f>
        <v>1693.44655102033</v>
      </c>
    </row>
    <row r="21" customFormat="false" ht="12.75" hidden="false" customHeight="false" outlineLevel="0" collapsed="false">
      <c r="A21" s="451" t="n">
        <f aca="false">A20+1</f>
        <v>6</v>
      </c>
      <c r="B21" s="452" t="n">
        <v>36923</v>
      </c>
      <c r="C21" s="453" t="n">
        <f aca="false">100%/$C$7</f>
        <v>0.125</v>
      </c>
      <c r="D21" s="454" t="n">
        <v>0</v>
      </c>
      <c r="E21" s="422" t="n">
        <f aca="false">C21*$C$6</f>
        <v>3742.125</v>
      </c>
      <c r="F21" s="422" t="n">
        <f aca="false">+E21+D21</f>
        <v>3742.125</v>
      </c>
      <c r="G21" s="422" t="n">
        <f aca="false">F21+G20+H21</f>
        <v>67353.5730698805</v>
      </c>
      <c r="H21" s="422" t="n">
        <f aca="false">IF(A21&gt;$C$7,0,G20*(B21-B20)*$D$8)</f>
        <v>426.027696865057</v>
      </c>
      <c r="I21" s="422" t="n">
        <f aca="false">IF(A21&lt;=$C$7,H21+I20,I20)</f>
        <v>2119.47424788538</v>
      </c>
    </row>
    <row r="22" customFormat="false" ht="12.75" hidden="false" customHeight="false" outlineLevel="0" collapsed="false">
      <c r="A22" s="451" t="n">
        <f aca="false">A21+1</f>
        <v>7</v>
      </c>
      <c r="B22" s="452" t="n">
        <v>36951</v>
      </c>
      <c r="C22" s="453" t="n">
        <f aca="false">100%/$C$7</f>
        <v>0.125</v>
      </c>
      <c r="D22" s="454" t="n">
        <v>0</v>
      </c>
      <c r="E22" s="422" t="n">
        <f aca="false">C22*$C$6</f>
        <v>3742.125</v>
      </c>
      <c r="F22" s="422" t="n">
        <f aca="false">+E22+D22</f>
        <v>3742.125</v>
      </c>
      <c r="G22" s="422" t="n">
        <f aca="false">F22+G21+H22</f>
        <v>71505.8813298761</v>
      </c>
      <c r="H22" s="422" t="n">
        <f aca="false">IF(A22&gt;$C$7,0,G21*(B22-B21)*$D$8)</f>
        <v>410.183259995572</v>
      </c>
      <c r="I22" s="422" t="n">
        <f aca="false">IF(A22&lt;=$C$7,H22+I21,I21)</f>
        <v>2529.65750788095</v>
      </c>
    </row>
    <row r="23" customFormat="false" ht="12.75" hidden="false" customHeight="false" outlineLevel="0" collapsed="false">
      <c r="A23" s="451" t="n">
        <f aca="false">A22+1</f>
        <v>8</v>
      </c>
      <c r="B23" s="452" t="n">
        <v>36982</v>
      </c>
      <c r="C23" s="453" t="n">
        <f aca="false">100%/$C$7</f>
        <v>0.125</v>
      </c>
      <c r="D23" s="454" t="n">
        <v>0</v>
      </c>
      <c r="E23" s="422" t="n">
        <f aca="false">C23*$C$6</f>
        <v>3742.125</v>
      </c>
      <c r="F23" s="422" t="n">
        <f aca="false">+E23+D23</f>
        <v>3742.125</v>
      </c>
      <c r="G23" s="422" t="n">
        <f aca="false">F23+G22+H23</f>
        <v>75730.1347347428</v>
      </c>
      <c r="H23" s="422" t="n">
        <f aca="false">IF(A23&gt;$C$7,0,G22*(B23-B22)*$D$8)</f>
        <v>482.128404866689</v>
      </c>
      <c r="I23" s="422" t="n">
        <f aca="false">IF(A23&lt;=$C$7,H23+I22,I22)</f>
        <v>3011.78591274764</v>
      </c>
    </row>
    <row r="24" customFormat="false" ht="12.75" hidden="false" customHeight="false" outlineLevel="0" collapsed="false">
      <c r="A24" s="451" t="n">
        <f aca="false">A23+1</f>
        <v>9</v>
      </c>
      <c r="B24" s="452" t="n">
        <v>37012</v>
      </c>
      <c r="C24" s="453" t="n">
        <v>0</v>
      </c>
      <c r="D24" s="454" t="n">
        <v>0</v>
      </c>
      <c r="E24" s="422" t="n">
        <f aca="false">C24*$C$6</f>
        <v>0</v>
      </c>
      <c r="F24" s="422" t="n">
        <f aca="false">+E24+D24</f>
        <v>0</v>
      </c>
      <c r="G24" s="422" t="n">
        <f aca="false">F24+G23+H24</f>
        <v>75730.1347347428</v>
      </c>
      <c r="H24" s="422" t="n">
        <f aca="false">IF(A24&gt;$C$7,0,G23*(B24-B23)*$D$8)</f>
        <v>0</v>
      </c>
      <c r="I24" s="422" t="n">
        <f aca="false">IF(A24&lt;=$C$7,H24+I23,I23)</f>
        <v>3011.78591274764</v>
      </c>
    </row>
    <row r="25" customFormat="false" ht="12.75" hidden="false" customHeight="false" outlineLevel="0" collapsed="false">
      <c r="A25" s="451" t="n">
        <f aca="false">A24+1</f>
        <v>10</v>
      </c>
      <c r="B25" s="452" t="n">
        <v>37043</v>
      </c>
      <c r="C25" s="453" t="n">
        <v>0</v>
      </c>
      <c r="D25" s="454" t="n">
        <v>0</v>
      </c>
      <c r="E25" s="422" t="n">
        <f aca="false">C25*$C$6</f>
        <v>0</v>
      </c>
      <c r="F25" s="422" t="n">
        <f aca="false">+E25+D25</f>
        <v>0</v>
      </c>
      <c r="G25" s="422" t="n">
        <f aca="false">F25+G24+H25</f>
        <v>75730.1347347428</v>
      </c>
      <c r="H25" s="422" t="n">
        <f aca="false">IF(A25&gt;$C$7,0,G24*(B25-B24)*$D$8)</f>
        <v>0</v>
      </c>
      <c r="I25" s="422" t="n">
        <f aca="false">IF(A25&lt;=$C$7,H25+I24,I24)</f>
        <v>3011.78591274764</v>
      </c>
    </row>
    <row r="26" customFormat="false" ht="12.75" hidden="false" customHeight="false" outlineLevel="0" collapsed="false">
      <c r="A26" s="451" t="n">
        <f aca="false">A25+1</f>
        <v>11</v>
      </c>
      <c r="B26" s="452" t="n">
        <v>37073</v>
      </c>
      <c r="C26" s="453" t="n">
        <v>0</v>
      </c>
      <c r="D26" s="454" t="n">
        <v>0</v>
      </c>
      <c r="E26" s="422" t="n">
        <f aca="false">C26*$C$6</f>
        <v>0</v>
      </c>
      <c r="F26" s="422" t="n">
        <f aca="false">+E26+D26</f>
        <v>0</v>
      </c>
      <c r="G26" s="422" t="n">
        <f aca="false">F26+G25+H26</f>
        <v>75730.1347347428</v>
      </c>
      <c r="H26" s="422" t="n">
        <f aca="false">IF(A26&gt;$C$7,0,G25*(B26-B25)*$D$8)</f>
        <v>0</v>
      </c>
      <c r="I26" s="422" t="n">
        <f aca="false">IF(A26&lt;=$C$7,H26+I25,I25)</f>
        <v>3011.78591274764</v>
      </c>
    </row>
    <row r="27" customFormat="false" ht="12.75" hidden="false" customHeight="false" outlineLevel="0" collapsed="false">
      <c r="A27" s="451" t="n">
        <f aca="false">A26+1</f>
        <v>12</v>
      </c>
      <c r="B27" s="452" t="n">
        <v>37104</v>
      </c>
      <c r="C27" s="453" t="n">
        <v>0</v>
      </c>
      <c r="D27" s="454" t="n">
        <v>0</v>
      </c>
      <c r="E27" s="422" t="n">
        <f aca="false">C27*$C$6</f>
        <v>0</v>
      </c>
      <c r="F27" s="422" t="n">
        <f aca="false">+E27+D27</f>
        <v>0</v>
      </c>
      <c r="G27" s="422" t="n">
        <f aca="false">F27+G26+H27</f>
        <v>75730.1347347428</v>
      </c>
      <c r="H27" s="422" t="n">
        <f aca="false">IF(A27&gt;$C$7,0,G26*(B27-B26)*$D$8)</f>
        <v>0</v>
      </c>
      <c r="I27" s="422" t="n">
        <f aca="false">IF(A27&lt;=$C$7,H27+I26,I26)</f>
        <v>3011.78591274764</v>
      </c>
    </row>
    <row r="28" customFormat="false" ht="12.75" hidden="false" customHeight="false" outlineLevel="0" collapsed="false">
      <c r="A28" s="451" t="n">
        <f aca="false">A27+1</f>
        <v>13</v>
      </c>
      <c r="B28" s="452" t="n">
        <v>37135</v>
      </c>
      <c r="C28" s="453" t="n">
        <v>0</v>
      </c>
      <c r="D28" s="454" t="n">
        <v>0</v>
      </c>
      <c r="E28" s="422" t="n">
        <f aca="false">C28*$C$6</f>
        <v>0</v>
      </c>
      <c r="F28" s="422" t="n">
        <f aca="false">+E28+D28</f>
        <v>0</v>
      </c>
      <c r="G28" s="422" t="n">
        <f aca="false">F28+G27+H28</f>
        <v>75730.1347347428</v>
      </c>
      <c r="H28" s="422" t="n">
        <f aca="false">IF(A28&gt;$C$7,0,G27*(B28-B27)*$D$8)</f>
        <v>0</v>
      </c>
      <c r="I28" s="422" t="n">
        <f aca="false">IF(A28&lt;=$C$7,H28+I27,I27)</f>
        <v>3011.78591274764</v>
      </c>
    </row>
    <row r="29" customFormat="false" ht="12.75" hidden="false" customHeight="false" outlineLevel="0" collapsed="false">
      <c r="A29" s="451" t="n">
        <f aca="false">A28+1</f>
        <v>14</v>
      </c>
      <c r="B29" s="452" t="n">
        <v>37165</v>
      </c>
      <c r="C29" s="453" t="n">
        <v>0</v>
      </c>
      <c r="D29" s="454" t="n">
        <v>0</v>
      </c>
      <c r="E29" s="422" t="n">
        <f aca="false">C29*$C$6</f>
        <v>0</v>
      </c>
      <c r="F29" s="422" t="n">
        <f aca="false">+E29+D29</f>
        <v>0</v>
      </c>
      <c r="G29" s="422" t="n">
        <f aca="false">F29+G28+H29</f>
        <v>75730.1347347428</v>
      </c>
      <c r="H29" s="422" t="n">
        <f aca="false">IF(A29&gt;$C$7,0,G28*(B29-B28)*$D$8)</f>
        <v>0</v>
      </c>
      <c r="I29" s="422" t="n">
        <f aca="false">IF(A29&lt;=$C$7,H29+I28,I28)</f>
        <v>3011.78591274764</v>
      </c>
    </row>
    <row r="30" customFormat="false" ht="12.75" hidden="false" customHeight="false" outlineLevel="0" collapsed="false">
      <c r="A30" s="451" t="n">
        <f aca="false">A29+1</f>
        <v>15</v>
      </c>
      <c r="B30" s="452" t="n">
        <v>37196</v>
      </c>
      <c r="C30" s="453" t="n">
        <v>0</v>
      </c>
      <c r="D30" s="454" t="n">
        <v>0</v>
      </c>
      <c r="E30" s="422" t="n">
        <f aca="false">C30*$C$6</f>
        <v>0</v>
      </c>
      <c r="F30" s="422" t="n">
        <f aca="false">+E30+D30</f>
        <v>0</v>
      </c>
      <c r="G30" s="422" t="n">
        <f aca="false">F30+G29+H30</f>
        <v>75730.1347347428</v>
      </c>
      <c r="H30" s="422" t="n">
        <f aca="false">IF(A30&gt;$C$7,0,G29*(B30-B29)*$D$8)</f>
        <v>0</v>
      </c>
      <c r="I30" s="422" t="n">
        <f aca="false">IF(A30&lt;=$C$7,H30+I29,I29)</f>
        <v>3011.78591274764</v>
      </c>
    </row>
    <row r="31" customFormat="false" ht="12.75" hidden="false" customHeight="false" outlineLevel="0" collapsed="false">
      <c r="A31" s="451" t="n">
        <f aca="false">A30+1</f>
        <v>16</v>
      </c>
      <c r="B31" s="452" t="n">
        <v>37226</v>
      </c>
      <c r="C31" s="453" t="n">
        <v>0</v>
      </c>
      <c r="D31" s="454" t="n">
        <v>0</v>
      </c>
      <c r="E31" s="422" t="n">
        <f aca="false">C31*$C$6</f>
        <v>0</v>
      </c>
      <c r="F31" s="422" t="n">
        <f aca="false">+E31+D31</f>
        <v>0</v>
      </c>
      <c r="G31" s="422" t="n">
        <f aca="false">F31+G30+H31</f>
        <v>75730.1347347428</v>
      </c>
      <c r="H31" s="422" t="n">
        <f aca="false">IF(A31&gt;$C$7,0,G30*(B31-B30)*$D$8)</f>
        <v>0</v>
      </c>
      <c r="I31" s="422" t="n">
        <f aca="false">IF(A31&lt;=$C$7,H31+I30,I30)</f>
        <v>3011.78591274764</v>
      </c>
    </row>
    <row r="32" customFormat="false" ht="12.75" hidden="false" customHeight="false" outlineLevel="0" collapsed="false">
      <c r="A32" s="451" t="n">
        <f aca="false">A31+1</f>
        <v>17</v>
      </c>
      <c r="B32" s="452" t="n">
        <v>37257</v>
      </c>
      <c r="C32" s="453" t="n">
        <v>0</v>
      </c>
      <c r="D32" s="454" t="n">
        <v>0</v>
      </c>
      <c r="E32" s="422" t="n">
        <f aca="false">C32*$C$6</f>
        <v>0</v>
      </c>
      <c r="F32" s="422" t="n">
        <f aca="false">+E32+D32</f>
        <v>0</v>
      </c>
      <c r="G32" s="422" t="n">
        <f aca="false">F32+G31+H32</f>
        <v>75730.1347347428</v>
      </c>
      <c r="H32" s="422" t="n">
        <f aca="false">IF(A32&gt;$C$7,0,G31*(B32-B31)*$D$8)</f>
        <v>0</v>
      </c>
      <c r="I32" s="422" t="n">
        <f aca="false">IF(A32&lt;=$C$7,H32+I31,I31)</f>
        <v>3011.78591274764</v>
      </c>
    </row>
    <row r="33" customFormat="false" ht="12.75" hidden="false" customHeight="false" outlineLevel="0" collapsed="false">
      <c r="A33" s="451" t="n">
        <f aca="false">A32+1</f>
        <v>18</v>
      </c>
      <c r="B33" s="452" t="n">
        <v>37288</v>
      </c>
      <c r="C33" s="453" t="n">
        <v>0</v>
      </c>
      <c r="D33" s="454" t="n">
        <v>0</v>
      </c>
      <c r="E33" s="422" t="n">
        <f aca="false">C33*$C$6</f>
        <v>0</v>
      </c>
      <c r="F33" s="422" t="n">
        <f aca="false">+E33+D33</f>
        <v>0</v>
      </c>
      <c r="G33" s="422" t="n">
        <f aca="false">F33+G32+H33</f>
        <v>75730.1347347428</v>
      </c>
      <c r="H33" s="422" t="n">
        <f aca="false">IF(A33&gt;$C$7,0,G32*(B33-B32)*$D$8)</f>
        <v>0</v>
      </c>
      <c r="I33" s="422" t="n">
        <f aca="false">IF(A33&lt;=$C$7,H33+I32,I32)</f>
        <v>3011.78591274764</v>
      </c>
    </row>
    <row r="34" customFormat="false" ht="12.75" hidden="false" customHeight="false" outlineLevel="0" collapsed="false">
      <c r="A34" s="451" t="n">
        <f aca="false">A33+1</f>
        <v>19</v>
      </c>
      <c r="B34" s="452" t="n">
        <v>37316</v>
      </c>
      <c r="C34" s="455" t="n">
        <v>0</v>
      </c>
      <c r="D34" s="456" t="n">
        <v>0</v>
      </c>
      <c r="E34" s="457" t="n">
        <f aca="false">C34*$C$6</f>
        <v>0</v>
      </c>
      <c r="F34" s="457" t="n">
        <f aca="false">+E34+D34</f>
        <v>0</v>
      </c>
      <c r="G34" s="457" t="n">
        <f aca="false">F34+G33+H34</f>
        <v>75730.1347347428</v>
      </c>
      <c r="H34" s="457" t="n">
        <f aca="false">IF(A34&gt;$C$7,0,G33*(B34-B33)*$D$8)</f>
        <v>0</v>
      </c>
      <c r="I34" s="457" t="n">
        <f aca="false">IF(A34&lt;=$C$7,H34+I33,I33)</f>
        <v>3011.78591274764</v>
      </c>
    </row>
    <row r="35" customFormat="false" ht="12.75" hidden="false" customHeight="false" outlineLevel="0" collapsed="false">
      <c r="C35" s="458" t="n">
        <f aca="false">SUM(C15:C34)</f>
        <v>1</v>
      </c>
      <c r="D35" s="422" t="n">
        <f aca="false">SUM(D15:D34)</f>
        <v>42781.3488219951</v>
      </c>
      <c r="E35" s="422" t="n">
        <f aca="false">SUM(E15:E34)</f>
        <v>29937</v>
      </c>
      <c r="F35" s="422" t="n">
        <f aca="false">SUM(F15:F34)</f>
        <v>72718.3488219951</v>
      </c>
      <c r="G35" s="183"/>
      <c r="H35" s="422" t="n">
        <f aca="false">SUM(H15:H34)</f>
        <v>3011.78591274764</v>
      </c>
      <c r="I35" s="422"/>
    </row>
    <row r="39" customFormat="false" ht="18.75" hidden="false" customHeight="false" outlineLevel="0" collapsed="false">
      <c r="A39" s="423" t="s">
        <v>405</v>
      </c>
      <c r="B39" s="459"/>
    </row>
    <row r="42" customFormat="false" ht="12.75" hidden="false" customHeight="false" outlineLevel="0" collapsed="false">
      <c r="B42" s="448" t="s">
        <v>406</v>
      </c>
      <c r="C42" s="448" t="s">
        <v>407</v>
      </c>
      <c r="D42" s="448" t="s">
        <v>408</v>
      </c>
      <c r="E42" s="448" t="s">
        <v>409</v>
      </c>
    </row>
    <row r="43" customFormat="false" ht="13.5" hidden="false" customHeight="false" outlineLevel="0" collapsed="false">
      <c r="B43" s="448" t="s">
        <v>410</v>
      </c>
      <c r="C43" s="448" t="s">
        <v>411</v>
      </c>
      <c r="D43" s="448" t="s">
        <v>412</v>
      </c>
      <c r="E43" s="448" t="s">
        <v>413</v>
      </c>
      <c r="F43" s="279"/>
    </row>
    <row r="44" customFormat="false" ht="12.75" hidden="false" customHeight="false" outlineLevel="0" collapsed="false">
      <c r="B44" s="460" t="s">
        <v>414</v>
      </c>
      <c r="C44" s="461" t="n">
        <v>3</v>
      </c>
      <c r="D44" s="462" t="n">
        <v>36737</v>
      </c>
      <c r="E44" s="463" t="n">
        <v>36829</v>
      </c>
    </row>
    <row r="45" customFormat="false" ht="12.75" hidden="false" customHeight="false" outlineLevel="0" collapsed="false">
      <c r="B45" s="464" t="s">
        <v>415</v>
      </c>
      <c r="C45" s="465" t="n">
        <v>3</v>
      </c>
      <c r="D45" s="466" t="n">
        <v>36768</v>
      </c>
      <c r="E45" s="467" t="n">
        <v>36829</v>
      </c>
    </row>
    <row r="46" customFormat="false" ht="12.75" hidden="false" customHeight="false" outlineLevel="0" collapsed="false">
      <c r="B46" s="464" t="s">
        <v>416</v>
      </c>
      <c r="C46" s="465" t="n">
        <v>2</v>
      </c>
      <c r="D46" s="466" t="n">
        <v>36799</v>
      </c>
      <c r="E46" s="467" t="n">
        <v>36829</v>
      </c>
    </row>
    <row r="47" customFormat="false" ht="12.75" hidden="false" customHeight="false" outlineLevel="0" collapsed="false">
      <c r="B47" s="464" t="s">
        <v>417</v>
      </c>
      <c r="C47" s="465" t="n">
        <v>3</v>
      </c>
      <c r="D47" s="466" t="n">
        <v>36829</v>
      </c>
      <c r="E47" s="467" t="n">
        <v>36829</v>
      </c>
    </row>
    <row r="48" customFormat="false" ht="12.75" hidden="false" customHeight="false" outlineLevel="0" collapsed="false">
      <c r="B48" s="464" t="s">
        <v>418</v>
      </c>
      <c r="C48" s="465" t="n">
        <v>2</v>
      </c>
      <c r="D48" s="466" t="n">
        <v>36860</v>
      </c>
      <c r="E48" s="467" t="n">
        <v>36860</v>
      </c>
    </row>
    <row r="49" customFormat="false" ht="12.75" hidden="false" customHeight="false" outlineLevel="0" collapsed="false">
      <c r="B49" s="464" t="s">
        <v>419</v>
      </c>
      <c r="C49" s="465" t="n">
        <v>2</v>
      </c>
      <c r="D49" s="466" t="n">
        <v>36890</v>
      </c>
      <c r="E49" s="467" t="n">
        <v>36890</v>
      </c>
    </row>
    <row r="50" customFormat="false" ht="12.75" hidden="false" customHeight="false" outlineLevel="0" collapsed="false">
      <c r="B50" s="464" t="s">
        <v>420</v>
      </c>
      <c r="C50" s="465" t="n">
        <v>3</v>
      </c>
      <c r="D50" s="466" t="n">
        <v>36555</v>
      </c>
      <c r="E50" s="467" t="n">
        <v>36555</v>
      </c>
    </row>
    <row r="51" customFormat="false" ht="12.75" hidden="false" customHeight="false" outlineLevel="0" collapsed="false">
      <c r="B51" s="464" t="s">
        <v>421</v>
      </c>
      <c r="C51" s="465" t="n">
        <v>2</v>
      </c>
      <c r="D51" s="466" t="n">
        <v>36950</v>
      </c>
      <c r="E51" s="467" t="n">
        <v>36950</v>
      </c>
    </row>
    <row r="52" customFormat="false" ht="12.75" hidden="false" customHeight="false" outlineLevel="0" collapsed="false">
      <c r="B52" s="464" t="s">
        <v>422</v>
      </c>
      <c r="C52" s="465" t="n">
        <v>2</v>
      </c>
      <c r="D52" s="466" t="n">
        <v>36980</v>
      </c>
      <c r="E52" s="467" t="n">
        <v>36980</v>
      </c>
    </row>
    <row r="53" customFormat="false" ht="13.5" hidden="false" customHeight="false" outlineLevel="0" collapsed="false">
      <c r="B53" s="468" t="s">
        <v>423</v>
      </c>
      <c r="C53" s="469" t="n">
        <v>2</v>
      </c>
      <c r="D53" s="470" t="n">
        <v>37011</v>
      </c>
      <c r="E53" s="471" t="n">
        <v>37011</v>
      </c>
    </row>
    <row r="55" customFormat="false" ht="13.5" hidden="false" customHeight="false" outlineLevel="0" collapsed="false"/>
    <row r="56" customFormat="false" ht="12.75" hidden="false" customHeight="false" outlineLevel="0" collapsed="false">
      <c r="B56" s="472" t="s">
        <v>424</v>
      </c>
      <c r="C56" s="47"/>
      <c r="D56" s="47"/>
      <c r="E56" s="473"/>
    </row>
    <row r="57" customFormat="false" ht="12.75" hidden="false" customHeight="false" outlineLevel="0" collapsed="false">
      <c r="B57" s="31" t="s">
        <v>425</v>
      </c>
      <c r="C57" s="32"/>
      <c r="D57" s="32"/>
      <c r="E57" s="474" t="n">
        <v>13950</v>
      </c>
    </row>
    <row r="58" customFormat="false" ht="12.75" hidden="false" customHeight="false" outlineLevel="0" collapsed="false">
      <c r="B58" s="31" t="s">
        <v>426</v>
      </c>
      <c r="C58" s="32"/>
      <c r="D58" s="32"/>
      <c r="E58" s="474" t="n">
        <v>289.616273998374</v>
      </c>
    </row>
    <row r="59" customFormat="false" ht="13.5" hidden="false" customHeight="false" outlineLevel="0" collapsed="false">
      <c r="B59" s="36" t="s">
        <v>427</v>
      </c>
      <c r="C59" s="37"/>
      <c r="D59" s="37"/>
      <c r="E59" s="475" t="n">
        <v>20.8333333333333</v>
      </c>
      <c r="F59" s="183"/>
    </row>
    <row r="60" customFormat="false" ht="13.5" hidden="false" customHeight="false" outlineLevel="0" collapsed="false">
      <c r="B60" s="476" t="s">
        <v>428</v>
      </c>
      <c r="C60" s="477"/>
      <c r="D60" s="477"/>
      <c r="E60" s="478" t="n">
        <f aca="false">SUM(E57:E59)</f>
        <v>14260.4496073317</v>
      </c>
      <c r="F60" s="183"/>
    </row>
    <row r="61" customFormat="false" ht="12.75" hidden="false" customHeight="false" outlineLevel="0" collapsed="false">
      <c r="D61" s="183"/>
      <c r="E61" s="183"/>
      <c r="F61" s="183"/>
    </row>
    <row r="62" customFormat="false" ht="12.75" hidden="false" customHeight="false" outlineLevel="0" collapsed="false">
      <c r="C62" s="183"/>
      <c r="D62" s="183"/>
      <c r="E62" s="183"/>
      <c r="F62" s="183"/>
    </row>
    <row r="63" customFormat="false" ht="12.75" hidden="false" customHeight="false" outlineLevel="0" collapsed="false">
      <c r="B63" s="183"/>
      <c r="C63" s="183"/>
      <c r="D63" s="183"/>
      <c r="E63" s="183"/>
      <c r="F63" s="18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48.56"/>
    <col collapsed="false" customWidth="true" hidden="false" outlineLevel="0" max="2" min="2" style="32" width="32.56"/>
    <col collapsed="false" customWidth="true" hidden="false" outlineLevel="0" max="4" min="3" style="32" width="12.85"/>
    <col collapsed="false" customWidth="true" hidden="false" outlineLevel="0" max="6" min="5" style="32" width="11.56"/>
    <col collapsed="false" customWidth="false" hidden="false" outlineLevel="0" max="7" min="7" style="32" width="9.14"/>
    <col collapsed="false" customWidth="true" hidden="false" outlineLevel="0" max="9" min="8" style="32" width="6.7"/>
    <col collapsed="false" customWidth="false" hidden="false" outlineLevel="0" max="257" min="10" style="32" width="9.14"/>
  </cols>
  <sheetData>
    <row r="2" customFormat="false" ht="18.75" hidden="false" customHeight="false" outlineLevel="0" collapsed="false">
      <c r="A2" s="479" t="str">
        <f aca="false">Assumptions!A3</f>
        <v>PROJECT NAME:</v>
      </c>
    </row>
    <row r="4" customFormat="false" ht="18.75" hidden="false" customHeight="false" outlineLevel="0" collapsed="false">
      <c r="A4" s="423" t="s">
        <v>429</v>
      </c>
    </row>
    <row r="5" customFormat="false" ht="13.5" hidden="false" customHeight="false" outlineLevel="0" collapsed="false">
      <c r="C5" s="480" t="n">
        <v>11</v>
      </c>
      <c r="D5" s="480" t="n">
        <v>12</v>
      </c>
      <c r="E5" s="480" t="n">
        <v>21</v>
      </c>
      <c r="F5" s="480" t="n">
        <v>22</v>
      </c>
    </row>
    <row r="6" customFormat="false" ht="12.75" hidden="false" customHeight="false" outlineLevel="0" collapsed="false">
      <c r="A6" s="472" t="s">
        <v>430</v>
      </c>
      <c r="B6" s="47"/>
      <c r="C6" s="481" t="s">
        <v>431</v>
      </c>
      <c r="D6" s="481" t="s">
        <v>432</v>
      </c>
      <c r="E6" s="481" t="s">
        <v>431</v>
      </c>
      <c r="F6" s="482" t="s">
        <v>432</v>
      </c>
    </row>
    <row r="7" customFormat="false" ht="13.5" hidden="false" customHeight="false" outlineLevel="0" collapsed="false">
      <c r="A7" s="483"/>
      <c r="B7" s="86"/>
      <c r="C7" s="330" t="s">
        <v>433</v>
      </c>
      <c r="D7" s="330" t="s">
        <v>433</v>
      </c>
      <c r="E7" s="484" t="s">
        <v>434</v>
      </c>
      <c r="F7" s="485" t="s">
        <v>434</v>
      </c>
    </row>
    <row r="8" customFormat="false" ht="12.75" hidden="false" customHeight="false" outlineLevel="0" collapsed="false">
      <c r="A8" s="486" t="s">
        <v>435</v>
      </c>
      <c r="B8" s="47"/>
      <c r="C8" s="487" t="n">
        <v>48.3</v>
      </c>
      <c r="D8" s="487" t="n">
        <v>48.3</v>
      </c>
      <c r="E8" s="487" t="n">
        <v>45.5</v>
      </c>
      <c r="F8" s="488" t="n">
        <v>34.5</v>
      </c>
    </row>
    <row r="9" customFormat="false" ht="12.75" hidden="false" customHeight="false" outlineLevel="0" collapsed="false">
      <c r="A9" s="31" t="s">
        <v>436</v>
      </c>
      <c r="B9" s="489" t="n">
        <v>0.015</v>
      </c>
      <c r="C9" s="221" t="n">
        <f aca="false">-$B$9*C8</f>
        <v>-0.7245</v>
      </c>
      <c r="D9" s="221" t="n">
        <f aca="false">-$B$9*D8</f>
        <v>-0.7245</v>
      </c>
      <c r="E9" s="221" t="n">
        <f aca="false">-$B$9*E8</f>
        <v>-0.6825</v>
      </c>
      <c r="F9" s="490" t="n">
        <f aca="false">-$B$9*F8</f>
        <v>-0.5175</v>
      </c>
    </row>
    <row r="10" customFormat="false" ht="12.75" hidden="false" customHeight="false" outlineLevel="0" collapsed="false">
      <c r="A10" s="31" t="s">
        <v>437</v>
      </c>
      <c r="B10" s="489" t="n">
        <v>0.005</v>
      </c>
      <c r="C10" s="221" t="n">
        <f aca="false">-$B$10*C8</f>
        <v>-0.2415</v>
      </c>
      <c r="D10" s="221" t="n">
        <f aca="false">-$B$10*D8</f>
        <v>-0.2415</v>
      </c>
      <c r="E10" s="221" t="n">
        <f aca="false">-$B$10*E8</f>
        <v>-0.2275</v>
      </c>
      <c r="F10" s="490" t="n">
        <f aca="false">-$B$10*F8</f>
        <v>-0.1725</v>
      </c>
    </row>
    <row r="11" customFormat="false" ht="12.75" hidden="false" customHeight="false" outlineLevel="0" collapsed="false">
      <c r="A11" s="31" t="s">
        <v>438</v>
      </c>
      <c r="C11" s="221" t="n">
        <f aca="false">-IF(Assumptions!$AA$13=1,$C$27/1000,0)</f>
        <v>-0.244487246651473</v>
      </c>
      <c r="D11" s="221" t="n">
        <f aca="false">-IF(Assumptions!$AA$13=1,$C$27/1000,0)</f>
        <v>-0.244487246651473</v>
      </c>
      <c r="E11" s="221" t="n">
        <f aca="false">-IF(Assumptions!$AA$13=1,$C$27/1000,0)</f>
        <v>-0.244487246651473</v>
      </c>
      <c r="F11" s="490" t="n">
        <f aca="false">-IF(Assumptions!$AA$13=1,$C$27/1000,0)</f>
        <v>-0.244487246651473</v>
      </c>
    </row>
    <row r="12" customFormat="false" ht="12.75" hidden="false" customHeight="false" outlineLevel="0" collapsed="false">
      <c r="A12" s="31" t="s">
        <v>439</v>
      </c>
      <c r="C12" s="491" t="n">
        <v>-0.2</v>
      </c>
      <c r="D12" s="491" t="n">
        <v>-1.75</v>
      </c>
      <c r="E12" s="491" t="n">
        <v>0</v>
      </c>
      <c r="F12" s="492" t="n">
        <v>0</v>
      </c>
    </row>
    <row r="13" customFormat="false" ht="12.75" hidden="false" customHeight="false" outlineLevel="0" collapsed="false">
      <c r="A13" s="483" t="s">
        <v>440</v>
      </c>
      <c r="B13" s="86"/>
      <c r="C13" s="493" t="n">
        <f aca="false">SUM(C8:C12)</f>
        <v>46.8895127533485</v>
      </c>
      <c r="D13" s="493" t="n">
        <f aca="false">SUM(D8:D12)</f>
        <v>45.3395127533485</v>
      </c>
      <c r="E13" s="493" t="n">
        <f aca="false">SUM(E8:E12)</f>
        <v>44.3455127533485</v>
      </c>
      <c r="F13" s="494" t="n">
        <f aca="false">SUM(F8:F12)</f>
        <v>33.5655127533485</v>
      </c>
    </row>
    <row r="14" customFormat="false" ht="12.75" hidden="false" customHeight="false" outlineLevel="0" collapsed="false">
      <c r="A14" s="31"/>
      <c r="F14" s="58"/>
    </row>
    <row r="15" customFormat="false" ht="12.75" hidden="false" customHeight="false" outlineLevel="0" collapsed="false">
      <c r="A15" s="483" t="s">
        <v>441</v>
      </c>
      <c r="B15" s="86"/>
      <c r="C15" s="309" t="n">
        <f aca="false">(413000*1.03)/C13</f>
        <v>9072.17787136467</v>
      </c>
      <c r="D15" s="309" t="n">
        <f aca="false">(413000*1.03)/D13</f>
        <v>9382.32402968607</v>
      </c>
      <c r="E15" s="309" t="n">
        <f aca="false">(392000*1.03)/E13</f>
        <v>9104.8670977316</v>
      </c>
      <c r="F15" s="495" t="n">
        <f aca="false">(317000*1.03)/F13</f>
        <v>9727.54393473185</v>
      </c>
    </row>
    <row r="16" customFormat="false" ht="13.5" hidden="false" customHeight="false" outlineLevel="0" collapsed="false">
      <c r="A16" s="496" t="s">
        <v>441</v>
      </c>
      <c r="B16" s="497"/>
      <c r="C16" s="498" t="n">
        <f aca="false">C15*1.1</f>
        <v>9979.39565850114</v>
      </c>
      <c r="D16" s="498" t="n">
        <f aca="false">D15*1.1</f>
        <v>10320.5564326547</v>
      </c>
      <c r="E16" s="498" t="n">
        <f aca="false">E15*1.1</f>
        <v>10015.3538075048</v>
      </c>
      <c r="F16" s="499" t="n">
        <f aca="false">F15*1.1</f>
        <v>10700.298328205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486" t="s">
        <v>442</v>
      </c>
      <c r="B19" s="47" t="s">
        <v>443</v>
      </c>
      <c r="C19" s="473" t="n">
        <f aca="false">Assumptions!N14</f>
        <v>400</v>
      </c>
    </row>
    <row r="20" customFormat="false" ht="12.75" hidden="false" customHeight="false" outlineLevel="0" collapsed="false">
      <c r="A20" s="31" t="s">
        <v>444</v>
      </c>
      <c r="B20" s="32" t="s">
        <v>443</v>
      </c>
      <c r="C20" s="474" t="n">
        <v>700</v>
      </c>
    </row>
    <row r="21" customFormat="false" ht="12.75" hidden="false" customHeight="false" outlineLevel="0" collapsed="false">
      <c r="A21" s="31" t="s">
        <v>445</v>
      </c>
      <c r="B21" s="32" t="s">
        <v>446</v>
      </c>
      <c r="C21" s="474" t="n">
        <v>80</v>
      </c>
    </row>
    <row r="22" customFormat="false" ht="12.75" hidden="false" customHeight="false" outlineLevel="0" collapsed="false">
      <c r="A22" s="31" t="s">
        <v>447</v>
      </c>
      <c r="B22" s="32" t="s">
        <v>85</v>
      </c>
      <c r="C22" s="500" t="n">
        <v>0.82</v>
      </c>
    </row>
    <row r="23" customFormat="false" ht="12.75" hidden="false" customHeight="false" outlineLevel="0" collapsed="false">
      <c r="A23" s="31" t="s">
        <v>448</v>
      </c>
      <c r="B23" s="32" t="s">
        <v>449</v>
      </c>
      <c r="C23" s="474" t="n">
        <v>10</v>
      </c>
    </row>
    <row r="24" customFormat="false" ht="12.75" hidden="false" customHeight="false" outlineLevel="0" collapsed="false">
      <c r="A24" s="31" t="s">
        <v>450</v>
      </c>
      <c r="B24" s="32" t="s">
        <v>451</v>
      </c>
      <c r="C24" s="501" t="n">
        <f aca="false">(0.91+(C21-70)/1000)*((C19+15)/650)^-0.1</f>
        <v>0.962219941843629</v>
      </c>
    </row>
    <row r="25" customFormat="false" ht="12.75" hidden="false" customHeight="false" outlineLevel="0" collapsed="false">
      <c r="A25" s="31"/>
      <c r="C25" s="501"/>
    </row>
    <row r="26" customFormat="false" ht="12.75" hidden="false" customHeight="false" outlineLevel="0" collapsed="false">
      <c r="A26" s="31" t="s">
        <v>452</v>
      </c>
      <c r="B26" s="32" t="s">
        <v>451</v>
      </c>
      <c r="C26" s="501" t="n">
        <f aca="false">(C20+14.7+5)/(C19+14.7-5)</f>
        <v>1.75665120820112</v>
      </c>
    </row>
    <row r="27" customFormat="false" ht="13.5" hidden="false" customHeight="false" outlineLevel="0" collapsed="false">
      <c r="A27" s="36" t="s">
        <v>453</v>
      </c>
      <c r="B27" s="37" t="s">
        <v>454</v>
      </c>
      <c r="C27" s="499" t="n">
        <f aca="false">C23*((8.584*(460+C21)*C24)/(C22*100*0.231))*((C26)^0.231-1)*0.747</f>
        <v>244.487246651473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2" t="s">
        <v>52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12"/>
      <c r="B7" s="13" t="s">
        <v>53</v>
      </c>
      <c r="C7" s="13" t="s">
        <v>53</v>
      </c>
      <c r="D7" s="14" t="s">
        <v>54</v>
      </c>
      <c r="E7" s="14"/>
    </row>
    <row r="8" customFormat="false" ht="16.5" hidden="false" customHeight="false" outlineLevel="0" collapsed="false">
      <c r="A8" s="15"/>
      <c r="B8" s="16" t="s">
        <v>55</v>
      </c>
      <c r="C8" s="16" t="s">
        <v>56</v>
      </c>
      <c r="D8" s="14" t="s">
        <v>57</v>
      </c>
      <c r="E8" s="14"/>
    </row>
    <row r="9" customFormat="false" ht="15.75" hidden="false" customHeight="false" outlineLevel="0" collapsed="false">
      <c r="A9" s="17"/>
      <c r="B9" s="18" t="s">
        <v>58</v>
      </c>
      <c r="C9" s="18" t="s">
        <v>58</v>
      </c>
      <c r="D9" s="18" t="s">
        <v>59</v>
      </c>
      <c r="E9" s="19" t="s">
        <v>60</v>
      </c>
    </row>
    <row r="10" customFormat="false" ht="16.5" hidden="false" customHeight="false" outlineLevel="0" collapsed="false">
      <c r="A10" s="20" t="s">
        <v>61</v>
      </c>
      <c r="B10" s="21" t="e">
        <f aca="false">Assumptions!C69</f>
        <v>#VALUE!</v>
      </c>
      <c r="C10" s="21" t="e">
        <f aca="false">Assumptions!C70</f>
        <v>#VALUE!</v>
      </c>
      <c r="D10" s="22" t="n">
        <v>1.28889637492317</v>
      </c>
      <c r="E10" s="23" t="n">
        <v>1.39279213518603</v>
      </c>
    </row>
    <row r="11" customFormat="false" ht="15.75" hidden="false" customHeight="false" outlineLevel="0" collapsed="false">
      <c r="A11" s="24"/>
      <c r="C11" s="25"/>
      <c r="D11" s="26"/>
      <c r="E11" s="26"/>
    </row>
    <row r="12" customFormat="false" ht="13.5" hidden="false" customHeight="false" outlineLevel="0" collapsed="false"/>
    <row r="13" customFormat="false" ht="15.75" hidden="false" customHeight="false" outlineLevel="0" collapsed="false">
      <c r="A13" s="27" t="s">
        <v>62</v>
      </c>
      <c r="B13" s="28" t="e">
        <f aca="false">B10</f>
        <v>#VALUE!</v>
      </c>
      <c r="C13" s="28" t="e">
        <f aca="false">C10</f>
        <v>#VALUE!</v>
      </c>
      <c r="D13" s="29" t="n">
        <f aca="false">D10</f>
        <v>1.28889637492317</v>
      </c>
      <c r="E13" s="30" t="n">
        <f aca="false">E10</f>
        <v>1.39279213518603</v>
      </c>
    </row>
    <row r="14" customFormat="false" ht="15.75" hidden="false" customHeight="false" outlineLevel="0" collapsed="false">
      <c r="A14" s="31"/>
      <c r="B14" s="32"/>
      <c r="C14" s="33"/>
      <c r="D14" s="34"/>
      <c r="E14" s="35"/>
    </row>
    <row r="15" customFormat="false" ht="15.75" hidden="false" customHeight="false" outlineLevel="0" collapsed="false">
      <c r="A15" s="31"/>
      <c r="B15" s="32"/>
      <c r="C15" s="33"/>
      <c r="D15" s="34"/>
      <c r="E15" s="35"/>
    </row>
    <row r="16" customFormat="false" ht="15.75" hidden="false" customHeight="false" outlineLevel="0" collapsed="false">
      <c r="A16" s="31"/>
      <c r="B16" s="32"/>
      <c r="C16" s="33"/>
      <c r="D16" s="34"/>
      <c r="E16" s="35"/>
    </row>
    <row r="17" customFormat="false" ht="15.75" hidden="false" customHeight="false" outlineLevel="0" collapsed="false">
      <c r="A17" s="31"/>
      <c r="B17" s="32"/>
      <c r="C17" s="33"/>
      <c r="D17" s="34"/>
      <c r="E17" s="35"/>
    </row>
    <row r="18" customFormat="false" ht="15.75" hidden="false" customHeight="false" outlineLevel="0" collapsed="false">
      <c r="A18" s="31"/>
      <c r="B18" s="32"/>
      <c r="C18" s="33"/>
      <c r="D18" s="34"/>
      <c r="E18" s="35"/>
    </row>
    <row r="19" customFormat="false" ht="16.5" hidden="false" customHeight="false" outlineLevel="0" collapsed="false">
      <c r="A19" s="36"/>
      <c r="B19" s="37"/>
      <c r="C19" s="38"/>
      <c r="D19" s="39"/>
      <c r="E19" s="40"/>
    </row>
  </sheetData>
  <mergeCells count="2">
    <mergeCell ref="D7:E7"/>
    <mergeCell ref="D8:E8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1"/>
  <sheetViews>
    <sheetView showFormulas="false" showGridLines="true" showRowColHeaders="true" showZeros="true" rightToLeft="false" tabSelected="true" showOutlineSymbols="true" defaultGridColor="true" view="normal" topLeftCell="H2" colorId="64" zoomScale="75" zoomScaleNormal="75" zoomScalePageLayoutView="100" workbookViewId="0">
      <selection pane="topLeft" activeCell="B68" activeCellId="0" sqref="B6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41" t="s">
        <v>63</v>
      </c>
      <c r="I1" s="42"/>
      <c r="AL1" s="42"/>
    </row>
    <row r="2" customFormat="false" ht="13.5" hidden="false" customHeight="true" outlineLevel="0" collapsed="false">
      <c r="A2" s="41"/>
      <c r="I2" s="42"/>
      <c r="AL2" s="42"/>
    </row>
    <row r="3" customFormat="false" ht="19.5" hidden="false" customHeight="true" outlineLevel="0" collapsed="false">
      <c r="A3" s="43" t="s">
        <v>64</v>
      </c>
      <c r="I3" s="42"/>
      <c r="AL3" s="42"/>
    </row>
    <row r="4" customFormat="false" ht="19.5" hidden="false" customHeight="true" outlineLevel="0" collapsed="false">
      <c r="A4" s="44"/>
      <c r="B4" s="3"/>
      <c r="C4" s="3"/>
      <c r="D4" s="3"/>
      <c r="E4" s="3"/>
      <c r="F4" s="3"/>
      <c r="G4" s="3"/>
      <c r="H4" s="3"/>
      <c r="I4" s="4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5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65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6" t="s">
        <v>66</v>
      </c>
      <c r="B8" s="47"/>
      <c r="C8" s="47"/>
      <c r="D8" s="48"/>
      <c r="E8" s="32"/>
      <c r="F8" s="49" t="s">
        <v>67</v>
      </c>
      <c r="G8" s="50"/>
      <c r="H8" s="51"/>
      <c r="I8" s="52"/>
      <c r="J8" s="53"/>
      <c r="L8" s="49" t="s">
        <v>68</v>
      </c>
      <c r="M8" s="52"/>
      <c r="N8" s="54"/>
      <c r="O8" s="47"/>
      <c r="P8" s="53"/>
      <c r="U8" s="55" t="s">
        <v>69</v>
      </c>
      <c r="V8" s="56" t="s">
        <v>70</v>
      </c>
      <c r="W8" s="56" t="s">
        <v>71</v>
      </c>
      <c r="X8" s="56" t="s">
        <v>72</v>
      </c>
      <c r="Y8" s="56" t="s">
        <v>73</v>
      </c>
      <c r="Z8" s="56" t="s">
        <v>74</v>
      </c>
      <c r="AA8" s="56" t="s">
        <v>75</v>
      </c>
      <c r="AB8" s="57" t="s">
        <v>76</v>
      </c>
    </row>
    <row r="9" customFormat="false" ht="15.75" hidden="false" customHeight="false" outlineLevel="0" collapsed="false">
      <c r="A9" s="31"/>
      <c r="B9" s="32"/>
      <c r="C9" s="32"/>
      <c r="D9" s="58"/>
      <c r="E9" s="32"/>
      <c r="F9" s="59"/>
      <c r="G9" s="60"/>
      <c r="H9" s="60"/>
      <c r="I9" s="32"/>
      <c r="J9" s="58"/>
      <c r="L9" s="61"/>
      <c r="M9" s="62"/>
      <c r="N9" s="63"/>
      <c r="O9" s="32"/>
      <c r="P9" s="58"/>
      <c r="U9" s="64" t="s">
        <v>77</v>
      </c>
      <c r="V9" s="65" t="s">
        <v>78</v>
      </c>
      <c r="W9" s="65" t="s">
        <v>79</v>
      </c>
      <c r="X9" s="65" t="s">
        <v>80</v>
      </c>
      <c r="Y9" s="65" t="s">
        <v>81</v>
      </c>
      <c r="Z9" s="65" t="s">
        <v>82</v>
      </c>
      <c r="AA9" s="65" t="s">
        <v>82</v>
      </c>
      <c r="AB9" s="66" t="s">
        <v>83</v>
      </c>
    </row>
    <row r="10" customFormat="false" ht="15.75" hidden="false" customHeight="false" outlineLevel="0" collapsed="false">
      <c r="A10" s="67" t="s">
        <v>84</v>
      </c>
      <c r="B10" s="68" t="s">
        <v>85</v>
      </c>
      <c r="C10" s="69" t="s">
        <v>86</v>
      </c>
      <c r="D10" s="70" t="s">
        <v>87</v>
      </c>
      <c r="E10" s="32"/>
      <c r="F10" s="59" t="s">
        <v>88</v>
      </c>
      <c r="G10" s="32"/>
      <c r="H10" s="71" t="s">
        <v>89</v>
      </c>
      <c r="I10" s="32"/>
      <c r="J10" s="58"/>
      <c r="L10" s="15" t="s">
        <v>90</v>
      </c>
      <c r="M10" s="32"/>
      <c r="N10" s="72" t="n">
        <f aca="false">H12*H13</f>
        <v>136.018538260046</v>
      </c>
      <c r="O10" s="32"/>
      <c r="P10" s="58"/>
      <c r="U10" s="73" t="s">
        <v>91</v>
      </c>
      <c r="V10" s="74" t="s">
        <v>92</v>
      </c>
      <c r="W10" s="74" t="s">
        <v>93</v>
      </c>
      <c r="X10" s="74" t="s">
        <v>94</v>
      </c>
      <c r="Y10" s="74" t="s">
        <v>95</v>
      </c>
      <c r="Z10" s="74" t="s">
        <v>96</v>
      </c>
      <c r="AA10" s="74" t="s">
        <v>96</v>
      </c>
      <c r="AB10" s="75" t="s">
        <v>97</v>
      </c>
    </row>
    <row r="11" customFormat="false" ht="15.75" hidden="false" customHeight="false" outlineLevel="0" collapsed="false">
      <c r="A11" s="76" t="s">
        <v>98</v>
      </c>
      <c r="B11" s="77" t="n">
        <f aca="false">C11/C14</f>
        <v>0.220497595644519</v>
      </c>
      <c r="C11" s="78" t="n">
        <f aca="false">C58-C12</f>
        <v>17443.6121399324</v>
      </c>
      <c r="D11" s="79" t="n">
        <f aca="false">C11/$N$12</f>
        <v>128.244372885283</v>
      </c>
      <c r="E11" s="32"/>
      <c r="F11" s="59" t="s">
        <v>99</v>
      </c>
      <c r="G11" s="32"/>
      <c r="H11" s="80" t="n">
        <v>14260.4496073317</v>
      </c>
      <c r="I11" s="32"/>
      <c r="J11" s="58"/>
      <c r="L11" s="81" t="s">
        <v>100</v>
      </c>
      <c r="M11" s="32"/>
      <c r="N11" s="82" t="n">
        <v>0</v>
      </c>
      <c r="O11" s="32"/>
      <c r="P11" s="58"/>
      <c r="U11" s="73" t="s">
        <v>101</v>
      </c>
      <c r="V11" s="74" t="s">
        <v>77</v>
      </c>
      <c r="W11" s="74"/>
      <c r="X11" s="74" t="s">
        <v>102</v>
      </c>
      <c r="Y11" s="74"/>
      <c r="Z11" s="74"/>
      <c r="AA11" s="74"/>
      <c r="AB11" s="75" t="s">
        <v>103</v>
      </c>
    </row>
    <row r="12" customFormat="false" ht="15.75" hidden="false" customHeight="false" outlineLevel="0" collapsed="false">
      <c r="A12" s="76" t="s">
        <v>104</v>
      </c>
      <c r="B12" s="83" t="n">
        <f aca="false">C12/C14</f>
        <v>0.779502404355481</v>
      </c>
      <c r="C12" s="78" t="n">
        <f aca="false">SUM(G31:I31)</f>
        <v>61666.6025948104</v>
      </c>
      <c r="D12" s="79" t="n">
        <f aca="false">C12/$N$12</f>
        <v>453.369102356576</v>
      </c>
      <c r="E12" s="32"/>
      <c r="F12" s="59" t="s">
        <v>105</v>
      </c>
      <c r="G12" s="60"/>
      <c r="H12" s="84" t="n">
        <v>3</v>
      </c>
      <c r="I12" s="63"/>
      <c r="J12" s="58"/>
      <c r="L12" s="85" t="s">
        <v>106</v>
      </c>
      <c r="M12" s="86"/>
      <c r="N12" s="87" t="n">
        <f aca="false">SUM(N10:N11)</f>
        <v>136.018538260046</v>
      </c>
      <c r="O12" s="32"/>
      <c r="P12" s="58"/>
      <c r="U12" s="88"/>
      <c r="V12" s="74" t="s">
        <v>101</v>
      </c>
      <c r="W12" s="32"/>
      <c r="X12" s="74" t="s">
        <v>107</v>
      </c>
      <c r="Y12" s="32"/>
      <c r="Z12" s="32"/>
      <c r="AA12" s="32"/>
      <c r="AB12" s="89"/>
    </row>
    <row r="13" customFormat="false" ht="15.75" hidden="false" customHeight="false" outlineLevel="0" collapsed="false">
      <c r="A13" s="90"/>
      <c r="B13" s="91"/>
      <c r="C13" s="78"/>
      <c r="D13" s="79"/>
      <c r="E13" s="32"/>
      <c r="F13" s="59" t="s">
        <v>108</v>
      </c>
      <c r="G13" s="60"/>
      <c r="H13" s="92" t="n">
        <f aca="false">HLOOKUP((SUM($Y$14:$Z$14)),'Operational Characteristics'!$C$5:$F$13,9)</f>
        <v>45.3395127533485</v>
      </c>
      <c r="I13" s="63"/>
      <c r="J13" s="58"/>
      <c r="L13" s="31"/>
      <c r="M13" s="32"/>
      <c r="N13" s="32"/>
      <c r="O13" s="32"/>
      <c r="P13" s="58"/>
      <c r="U13" s="64" t="n">
        <v>3</v>
      </c>
      <c r="V13" s="65" t="n">
        <v>1</v>
      </c>
      <c r="W13" s="65" t="n">
        <v>1</v>
      </c>
      <c r="X13" s="65" t="n">
        <v>1</v>
      </c>
      <c r="Y13" s="65" t="n">
        <v>2</v>
      </c>
      <c r="Z13" s="65" t="n">
        <v>1</v>
      </c>
      <c r="AA13" s="65" t="n">
        <f aca="false">IF(C28&gt;0,1,2)</f>
        <v>1</v>
      </c>
      <c r="AB13" s="66" t="n">
        <v>1</v>
      </c>
    </row>
    <row r="14" customFormat="false" ht="15.75" hidden="false" customHeight="false" outlineLevel="0" collapsed="false">
      <c r="A14" s="93" t="s">
        <v>109</v>
      </c>
      <c r="B14" s="94" t="n">
        <f aca="false">C14/$C$14</f>
        <v>1</v>
      </c>
      <c r="C14" s="95" t="n">
        <f aca="false">SUM(C11:C12)</f>
        <v>79110.2147347428</v>
      </c>
      <c r="D14" s="96" t="n">
        <f aca="false">C14/$N$12</f>
        <v>581.613475241858</v>
      </c>
      <c r="E14" s="32"/>
      <c r="F14" s="59" t="s">
        <v>110</v>
      </c>
      <c r="G14" s="60"/>
      <c r="H14" s="84" t="n">
        <f aca="false">HLOOKUP((SUM($Y$14:$Z$14)),'Operational Characteristics'!$C$5:$F$16,12)</f>
        <v>10320.5564326547</v>
      </c>
      <c r="I14" s="63"/>
      <c r="J14" s="58"/>
      <c r="L14" s="15" t="s">
        <v>111</v>
      </c>
      <c r="M14" s="32"/>
      <c r="N14" s="84" t="n">
        <v>400</v>
      </c>
      <c r="O14" s="32"/>
      <c r="P14" s="58"/>
      <c r="U14" s="97" t="str">
        <f aca="false">CHOOSE(U13,U9,U10,U11)</f>
        <v>Custom</v>
      </c>
      <c r="V14" s="98" t="str">
        <f aca="false">CHOOSE(V13,V9,V10,V11,V12)</f>
        <v>Base</v>
      </c>
      <c r="W14" s="98" t="str">
        <f aca="false">CHOOSE(W13,W9,W10,W11,W12)</f>
        <v>Pass-through</v>
      </c>
      <c r="X14" s="98" t="str">
        <f aca="false">CHOOSE(X13,X9,X10,X11,X12)</f>
        <v>EBITDA Exit Multiple</v>
      </c>
      <c r="Y14" s="98" t="n">
        <f aca="false">IF(Y13=1,1,2)</f>
        <v>2</v>
      </c>
      <c r="Z14" s="98" t="n">
        <f aca="false">IF(C32&gt;0,10,20)</f>
        <v>10</v>
      </c>
      <c r="AA14" s="98" t="str">
        <f aca="false">CHOOSE(AA13,AA9,AA10,AA11,AA12)</f>
        <v>Yes</v>
      </c>
      <c r="AB14" s="99" t="str">
        <f aca="false">CHOOSE(AB13,AB9,AB10,AB11,AB12)</f>
        <v>Bank LT Debt</v>
      </c>
    </row>
    <row r="15" customFormat="false" ht="16.5" hidden="false" customHeight="false" outlineLevel="0" collapsed="false">
      <c r="A15" s="31"/>
      <c r="B15" s="32"/>
      <c r="C15" s="32"/>
      <c r="D15" s="100"/>
      <c r="E15" s="32"/>
      <c r="F15" s="59" t="s">
        <v>112</v>
      </c>
      <c r="G15" s="32"/>
      <c r="H15" s="101" t="n">
        <v>8</v>
      </c>
      <c r="I15" s="32"/>
      <c r="J15" s="58"/>
      <c r="L15" s="102" t="s">
        <v>113</v>
      </c>
      <c r="M15" s="37"/>
      <c r="N15" s="103" t="n">
        <v>1400</v>
      </c>
      <c r="O15" s="37"/>
      <c r="P15" s="104"/>
    </row>
    <row r="16" customFormat="false" ht="16.5" hidden="false" customHeight="false" outlineLevel="0" collapsed="false">
      <c r="A16" s="31"/>
      <c r="B16" s="32"/>
      <c r="C16" s="32"/>
      <c r="D16" s="100"/>
      <c r="E16" s="32"/>
      <c r="F16" s="59" t="s">
        <v>114</v>
      </c>
      <c r="G16" s="60"/>
      <c r="H16" s="105" t="n">
        <v>37012</v>
      </c>
      <c r="I16" s="32"/>
      <c r="J16" s="58"/>
      <c r="U16" s="106"/>
      <c r="V16" s="107" t="s">
        <v>115</v>
      </c>
      <c r="W16" s="108" t="s">
        <v>116</v>
      </c>
    </row>
    <row r="17" customFormat="false" ht="15.75" hidden="false" customHeight="false" outlineLevel="0" collapsed="false">
      <c r="A17" s="67" t="s">
        <v>117</v>
      </c>
      <c r="B17" s="68"/>
      <c r="C17" s="68"/>
      <c r="D17" s="79"/>
      <c r="E17" s="32"/>
      <c r="F17" s="15" t="s">
        <v>118</v>
      </c>
      <c r="G17" s="34"/>
      <c r="H17" s="109" t="n">
        <f aca="false">13-MONTH(H16)</f>
        <v>8</v>
      </c>
      <c r="I17" s="63"/>
      <c r="J17" s="58"/>
      <c r="L17" s="46" t="s">
        <v>119</v>
      </c>
      <c r="M17" s="110"/>
      <c r="N17" s="47"/>
      <c r="O17" s="47"/>
      <c r="P17" s="53"/>
      <c r="U17" s="111" t="s">
        <v>81</v>
      </c>
      <c r="V17" s="32" t="n">
        <v>11</v>
      </c>
      <c r="W17" s="89" t="n">
        <v>21</v>
      </c>
    </row>
    <row r="18" customFormat="false" ht="15.75" hidden="false" customHeight="false" outlineLevel="0" collapsed="false">
      <c r="A18" s="112"/>
      <c r="B18" s="113"/>
      <c r="C18" s="32"/>
      <c r="D18" s="100"/>
      <c r="E18" s="32"/>
      <c r="F18" s="59" t="s">
        <v>120</v>
      </c>
      <c r="G18" s="32"/>
      <c r="H18" s="84" t="n">
        <v>30</v>
      </c>
      <c r="I18" s="63"/>
      <c r="J18" s="58"/>
      <c r="L18" s="31" t="s">
        <v>121</v>
      </c>
      <c r="M18" s="32"/>
      <c r="N18" s="32"/>
      <c r="O18" s="32"/>
      <c r="P18" s="58"/>
      <c r="U18" s="114" t="s">
        <v>122</v>
      </c>
      <c r="V18" s="115" t="n">
        <v>12</v>
      </c>
      <c r="W18" s="116" t="n">
        <v>22</v>
      </c>
    </row>
    <row r="19" customFormat="false" ht="15.75" hidden="false" customHeight="false" outlineLevel="0" collapsed="false">
      <c r="A19" s="76" t="s">
        <v>123</v>
      </c>
      <c r="B19" s="32"/>
      <c r="C19" s="32"/>
      <c r="D19" s="100"/>
      <c r="E19" s="32"/>
      <c r="F19" s="59" t="s">
        <v>124</v>
      </c>
      <c r="G19" s="32"/>
      <c r="H19" s="117" t="s">
        <v>125</v>
      </c>
      <c r="I19" s="63"/>
      <c r="J19" s="58"/>
      <c r="L19" s="31"/>
      <c r="M19" s="32"/>
      <c r="N19" s="32"/>
      <c r="O19" s="32"/>
      <c r="P19" s="58"/>
    </row>
    <row r="20" customFormat="false" ht="15.75" hidden="false" customHeight="false" outlineLevel="0" collapsed="false">
      <c r="A20" s="15" t="s">
        <v>126</v>
      </c>
      <c r="B20" s="118" t="n">
        <f aca="false">C20/$C$58</f>
        <v>0.540781604062653</v>
      </c>
      <c r="C20" s="78" t="n">
        <f aca="false">H11*H12</f>
        <v>42781.3488219951</v>
      </c>
      <c r="D20" s="79" t="n">
        <f aca="false">C20/$N$12</f>
        <v>314.525868085746</v>
      </c>
      <c r="E20" s="32"/>
      <c r="F20" s="31"/>
      <c r="G20" s="32"/>
      <c r="H20" s="32"/>
      <c r="I20" s="32"/>
      <c r="J20" s="58"/>
      <c r="L20" s="85" t="s">
        <v>127</v>
      </c>
      <c r="M20" s="32"/>
      <c r="N20" s="119" t="n">
        <v>0.03</v>
      </c>
      <c r="O20" s="120"/>
      <c r="P20" s="58"/>
    </row>
    <row r="21" customFormat="false" ht="15.75" hidden="false" customHeight="false" outlineLevel="0" collapsed="false">
      <c r="A21" s="15" t="s">
        <v>128</v>
      </c>
      <c r="B21" s="118" t="n">
        <f aca="false">C21/$C$58</f>
        <v>0.00235115023544886</v>
      </c>
      <c r="C21" s="78" t="n">
        <f aca="false">62*H12</f>
        <v>186</v>
      </c>
      <c r="D21" s="79" t="n">
        <f aca="false">C21/$N$12</f>
        <v>1.36746065925512</v>
      </c>
      <c r="E21" s="32"/>
      <c r="F21" s="121" t="s">
        <v>129</v>
      </c>
      <c r="G21" s="32"/>
      <c r="H21" s="122"/>
      <c r="I21" s="32"/>
      <c r="J21" s="58"/>
      <c r="L21" s="15"/>
      <c r="M21" s="32"/>
      <c r="N21" s="32"/>
      <c r="O21" s="120"/>
      <c r="P21" s="58"/>
    </row>
    <row r="22" customFormat="false" ht="15.75" hidden="false" customHeight="false" outlineLevel="0" collapsed="false">
      <c r="A22" s="15" t="s">
        <v>130</v>
      </c>
      <c r="B22" s="118" t="n">
        <f aca="false">C22/$C$58</f>
        <v>0.25574447077205</v>
      </c>
      <c r="C22" s="123" t="n">
        <v>20232</v>
      </c>
      <c r="D22" s="79" t="n">
        <f aca="false">C22/$N$12</f>
        <v>148.744430419622</v>
      </c>
      <c r="E22" s="32"/>
      <c r="F22" s="124" t="s">
        <v>80</v>
      </c>
      <c r="G22" s="60"/>
      <c r="H22" s="125" t="n">
        <v>5</v>
      </c>
      <c r="I22" s="126"/>
      <c r="J22" s="58"/>
      <c r="L22" s="85" t="s">
        <v>131</v>
      </c>
      <c r="M22" s="32"/>
      <c r="N22" s="34"/>
      <c r="O22" s="120"/>
      <c r="P22" s="58"/>
    </row>
    <row r="23" customFormat="false" ht="15.75" hidden="false" customHeight="false" outlineLevel="0" collapsed="false">
      <c r="A23" s="15" t="s">
        <v>132</v>
      </c>
      <c r="B23" s="118" t="n">
        <f aca="false">C23/$C$58</f>
        <v>0</v>
      </c>
      <c r="C23" s="123" t="n">
        <v>0</v>
      </c>
      <c r="D23" s="79" t="n">
        <f aca="false">C23/$N$12</f>
        <v>0</v>
      </c>
      <c r="E23" s="32"/>
      <c r="F23" s="124" t="s">
        <v>94</v>
      </c>
      <c r="G23" s="32"/>
      <c r="H23" s="127" t="n">
        <v>0.2</v>
      </c>
      <c r="I23" s="63"/>
      <c r="J23" s="58"/>
      <c r="L23" s="31"/>
      <c r="M23" s="32"/>
      <c r="N23" s="128" t="s">
        <v>133</v>
      </c>
      <c r="O23" s="129" t="s">
        <v>134</v>
      </c>
      <c r="P23" s="130" t="s">
        <v>135</v>
      </c>
    </row>
    <row r="24" customFormat="false" ht="16.5" hidden="false" customHeight="false" outlineLevel="0" collapsed="false">
      <c r="A24" s="15" t="s">
        <v>136</v>
      </c>
      <c r="B24" s="118" t="n">
        <f aca="false">C24/$C$58</f>
        <v>0</v>
      </c>
      <c r="C24" s="123" t="n">
        <v>0</v>
      </c>
      <c r="D24" s="79" t="n">
        <f aca="false">C24/$N$12</f>
        <v>0</v>
      </c>
      <c r="E24" s="32"/>
      <c r="F24" s="131" t="s">
        <v>102</v>
      </c>
      <c r="G24" s="37"/>
      <c r="H24" s="132" t="n">
        <v>200</v>
      </c>
      <c r="I24" s="37"/>
      <c r="J24" s="104"/>
      <c r="L24" s="15" t="s">
        <v>137</v>
      </c>
      <c r="M24" s="32"/>
      <c r="N24" s="133" t="n">
        <v>115.61</v>
      </c>
      <c r="O24" s="134"/>
      <c r="P24" s="135" t="n">
        <v>0.5</v>
      </c>
    </row>
    <row r="25" customFormat="false" ht="16.5" hidden="false" customHeight="false" outlineLevel="0" collapsed="false">
      <c r="A25" s="15" t="s">
        <v>138</v>
      </c>
      <c r="B25" s="118" t="n">
        <f aca="false">C25/$C$58</f>
        <v>0</v>
      </c>
      <c r="C25" s="123" t="n">
        <v>0</v>
      </c>
      <c r="D25" s="79" t="n">
        <f aca="false">C25/$N$12</f>
        <v>0</v>
      </c>
      <c r="E25" s="32"/>
      <c r="L25" s="81" t="s">
        <v>139</v>
      </c>
      <c r="M25" s="32"/>
      <c r="N25" s="136" t="n">
        <v>358.39</v>
      </c>
      <c r="O25" s="137"/>
      <c r="P25" s="138" t="n">
        <v>1.55</v>
      </c>
    </row>
    <row r="26" customFormat="false" ht="15.75" hidden="false" customHeight="false" outlineLevel="0" collapsed="false">
      <c r="A26" s="15" t="s">
        <v>140</v>
      </c>
      <c r="B26" s="118" t="n">
        <f aca="false">C26/$C$58</f>
        <v>0.00910122671786654</v>
      </c>
      <c r="C26" s="123" t="n">
        <v>720</v>
      </c>
      <c r="D26" s="79" t="n">
        <f aca="false">C26/$N$12</f>
        <v>5.29339610034241</v>
      </c>
      <c r="E26" s="32"/>
      <c r="F26" s="46" t="s">
        <v>141</v>
      </c>
      <c r="G26" s="47"/>
      <c r="H26" s="47"/>
      <c r="I26" s="139"/>
      <c r="J26" s="53"/>
      <c r="L26" s="59" t="s">
        <v>142</v>
      </c>
      <c r="M26" s="140"/>
      <c r="N26" s="109" t="n">
        <f aca="false">SUM(N24:N25)</f>
        <v>474</v>
      </c>
      <c r="O26" s="141"/>
      <c r="P26" s="142" t="n">
        <f aca="false">SUM(P24:P25)</f>
        <v>2.05</v>
      </c>
    </row>
    <row r="27" customFormat="false" ht="15.75" hidden="false" customHeight="false" outlineLevel="0" collapsed="false">
      <c r="A27" s="15" t="s">
        <v>143</v>
      </c>
      <c r="B27" s="118" t="n">
        <f aca="false">C27/$C$58</f>
        <v>0</v>
      </c>
      <c r="C27" s="123" t="n">
        <v>0</v>
      </c>
      <c r="D27" s="79" t="n">
        <f aca="false">C27/$N$12</f>
        <v>0</v>
      </c>
      <c r="E27" s="32"/>
      <c r="F27" s="143" t="s">
        <v>144</v>
      </c>
      <c r="G27" s="144"/>
      <c r="H27" s="144" t="s">
        <v>145</v>
      </c>
      <c r="I27" s="145"/>
      <c r="J27" s="146"/>
      <c r="L27" s="31"/>
      <c r="M27" s="32"/>
      <c r="N27" s="32"/>
      <c r="O27" s="32"/>
      <c r="P27" s="58"/>
      <c r="R27" s="147"/>
    </row>
    <row r="28" customFormat="false" ht="15.75" hidden="false" customHeight="false" outlineLevel="0" collapsed="false">
      <c r="A28" s="15" t="s">
        <v>146</v>
      </c>
      <c r="B28" s="118" t="n">
        <f aca="false">C28/$C$58</f>
        <v>0.0121349689571554</v>
      </c>
      <c r="C28" s="123" t="n">
        <v>960</v>
      </c>
      <c r="D28" s="79" t="n">
        <f aca="false">C28/$N$12</f>
        <v>7.05786146712321</v>
      </c>
      <c r="E28" s="32"/>
      <c r="F28" s="148" t="s">
        <v>147</v>
      </c>
      <c r="G28" s="149" t="n">
        <v>36739</v>
      </c>
      <c r="H28" s="149"/>
      <c r="I28" s="145"/>
      <c r="J28" s="146"/>
      <c r="L28" s="15" t="s">
        <v>148</v>
      </c>
      <c r="M28" s="32"/>
      <c r="N28" s="101" t="n">
        <v>550</v>
      </c>
      <c r="O28" s="150" t="n">
        <f aca="false">N28/$N$12</f>
        <v>4.04356646553934</v>
      </c>
      <c r="P28" s="58"/>
      <c r="R28" s="147"/>
    </row>
    <row r="29" customFormat="false" ht="15.75" hidden="false" customHeight="false" outlineLevel="0" collapsed="false">
      <c r="A29" s="15" t="s">
        <v>149</v>
      </c>
      <c r="B29" s="118" t="n">
        <f aca="false">C29/$C$58</f>
        <v>0</v>
      </c>
      <c r="C29" s="123" t="n">
        <v>0</v>
      </c>
      <c r="D29" s="79" t="n">
        <f aca="false">C29/$N$12</f>
        <v>0</v>
      </c>
      <c r="E29" s="32"/>
      <c r="F29" s="148" t="s">
        <v>150</v>
      </c>
      <c r="G29" s="149" t="n">
        <v>36557</v>
      </c>
      <c r="H29" s="149"/>
      <c r="I29" s="145"/>
      <c r="J29" s="146"/>
      <c r="L29" s="15" t="s">
        <v>151</v>
      </c>
      <c r="M29" s="32"/>
      <c r="N29" s="101" t="n">
        <v>0</v>
      </c>
      <c r="O29" s="150" t="n">
        <f aca="false">N29/$N$12</f>
        <v>0</v>
      </c>
      <c r="P29" s="58"/>
      <c r="R29" s="151"/>
    </row>
    <row r="30" customFormat="false" ht="15.75" hidden="false" customHeight="false" outlineLevel="0" collapsed="false">
      <c r="A30" s="15" t="s">
        <v>152</v>
      </c>
      <c r="B30" s="118" t="n">
        <f aca="false">C30/$C$58</f>
        <v>0.0125141867370665</v>
      </c>
      <c r="C30" s="123" t="n">
        <v>990</v>
      </c>
      <c r="D30" s="79" t="n">
        <f aca="false">C30/$N$12</f>
        <v>7.27841963797081</v>
      </c>
      <c r="E30" s="32"/>
      <c r="F30" s="31"/>
      <c r="G30" s="32"/>
      <c r="H30" s="140"/>
      <c r="I30" s="145"/>
      <c r="J30" s="146"/>
      <c r="L30" s="15" t="s">
        <v>153</v>
      </c>
      <c r="M30" s="32"/>
      <c r="N30" s="101" t="n">
        <v>0</v>
      </c>
      <c r="O30" s="150" t="n">
        <f aca="false">N30/$N$12</f>
        <v>0</v>
      </c>
      <c r="P30" s="58"/>
      <c r="R30" s="147"/>
    </row>
    <row r="31" customFormat="false" ht="15.75" hidden="false" customHeight="false" outlineLevel="0" collapsed="false">
      <c r="A31" s="15" t="s">
        <v>154</v>
      </c>
      <c r="B31" s="118" t="n">
        <f aca="false">C31/$C$58</f>
        <v>0.0505497300621504</v>
      </c>
      <c r="C31" s="123" t="n">
        <v>3999</v>
      </c>
      <c r="D31" s="79" t="n">
        <f aca="false">C31/$N$12</f>
        <v>29.4004041739851</v>
      </c>
      <c r="E31" s="32"/>
      <c r="F31" s="152" t="s">
        <v>155</v>
      </c>
      <c r="G31" s="153" t="n">
        <f aca="false">Debt!B31</f>
        <v>61666.6025948104</v>
      </c>
      <c r="H31" s="153"/>
      <c r="I31" s="145"/>
      <c r="J31" s="146"/>
      <c r="L31" s="15" t="s">
        <v>156</v>
      </c>
      <c r="M31" s="32"/>
      <c r="N31" s="101" t="n">
        <v>0</v>
      </c>
      <c r="O31" s="150" t="n">
        <f aca="false">N31/$N$12</f>
        <v>0</v>
      </c>
      <c r="P31" s="58"/>
      <c r="R31" s="147"/>
    </row>
    <row r="32" customFormat="false" ht="15.75" hidden="false" customHeight="false" outlineLevel="0" collapsed="false">
      <c r="A32" s="15" t="s">
        <v>157</v>
      </c>
      <c r="B32" s="118" t="n">
        <f aca="false">C32/$C$58</f>
        <v>0.0360256890915551</v>
      </c>
      <c r="C32" s="123" t="n">
        <v>2850</v>
      </c>
      <c r="D32" s="79" t="n">
        <f aca="false">C32/$N$12</f>
        <v>20.953026230522</v>
      </c>
      <c r="E32" s="32"/>
      <c r="F32" s="152" t="s">
        <v>158</v>
      </c>
      <c r="G32" s="154" t="n">
        <v>17</v>
      </c>
      <c r="H32" s="153"/>
      <c r="I32" s="145"/>
      <c r="J32" s="146"/>
      <c r="L32" s="15" t="s">
        <v>159</v>
      </c>
      <c r="M32" s="32"/>
      <c r="N32" s="101" t="n">
        <v>0</v>
      </c>
      <c r="O32" s="150" t="n">
        <f aca="false">N32/$N$12</f>
        <v>0</v>
      </c>
      <c r="P32" s="58"/>
      <c r="Q32" s="155"/>
      <c r="R32" s="147"/>
    </row>
    <row r="33" customFormat="false" ht="15.75" hidden="false" customHeight="false" outlineLevel="0" collapsed="false">
      <c r="A33" s="81" t="s">
        <v>160</v>
      </c>
      <c r="B33" s="156" t="n">
        <f aca="false">C33/$C$58</f>
        <v>0</v>
      </c>
      <c r="C33" s="157" t="n">
        <v>0</v>
      </c>
      <c r="D33" s="96" t="n">
        <f aca="false">C33/$N$12</f>
        <v>0</v>
      </c>
      <c r="E33" s="32"/>
      <c r="F33" s="152" t="s">
        <v>161</v>
      </c>
      <c r="G33" s="158" t="n">
        <f aca="false">G32*365.25+G28</f>
        <v>42948.25</v>
      </c>
      <c r="H33" s="158"/>
      <c r="I33" s="145"/>
      <c r="J33" s="146"/>
      <c r="L33" s="15" t="s">
        <v>162</v>
      </c>
      <c r="M33" s="32"/>
      <c r="N33" s="101" t="n">
        <v>0</v>
      </c>
      <c r="O33" s="150" t="n">
        <f aca="false">N33/$N$12</f>
        <v>0</v>
      </c>
      <c r="P33" s="58"/>
      <c r="R33" s="147"/>
    </row>
    <row r="34" customFormat="false" ht="15.75" hidden="false" customHeight="false" outlineLevel="0" collapsed="false">
      <c r="A34" s="15" t="s">
        <v>163</v>
      </c>
      <c r="B34" s="118" t="n">
        <f aca="false">SUM(B20:B33)</f>
        <v>0.919203026635946</v>
      </c>
      <c r="C34" s="78" t="n">
        <f aca="false">SUM(C20:C33)</f>
        <v>72718.3488219951</v>
      </c>
      <c r="D34" s="79" t="n">
        <f aca="false">SUM(D20:D33)</f>
        <v>534.620866774567</v>
      </c>
      <c r="E34" s="32"/>
      <c r="F34" s="152" t="s">
        <v>164</v>
      </c>
      <c r="G34" s="159" t="n">
        <f aca="false">Debt!B9</f>
        <v>10.5650093547675</v>
      </c>
      <c r="H34" s="160" t="str">
        <f aca="false">IF(H31,Debt!L9," ")</f>
        <v> </v>
      </c>
      <c r="I34" s="145"/>
      <c r="J34" s="146"/>
      <c r="L34" s="81" t="s">
        <v>165</v>
      </c>
      <c r="M34" s="161"/>
      <c r="N34" s="136" t="n">
        <v>0</v>
      </c>
      <c r="O34" s="162" t="n">
        <f aca="false">N34/$N$12</f>
        <v>0</v>
      </c>
      <c r="P34" s="58"/>
      <c r="R34" s="147"/>
    </row>
    <row r="35" customFormat="false" ht="15.75" hidden="false" customHeight="false" outlineLevel="0" collapsed="false">
      <c r="A35" s="31"/>
      <c r="B35" s="32"/>
      <c r="C35" s="32"/>
      <c r="D35" s="100"/>
      <c r="E35" s="32"/>
      <c r="F35" s="152"/>
      <c r="G35" s="32"/>
      <c r="H35" s="32"/>
      <c r="I35" s="145"/>
      <c r="J35" s="146"/>
      <c r="L35" s="59" t="s">
        <v>166</v>
      </c>
      <c r="M35" s="140"/>
      <c r="N35" s="109" t="n">
        <f aca="false">SUM(N28:N34)</f>
        <v>550</v>
      </c>
      <c r="O35" s="163" t="n">
        <f aca="false">SUM(O28:O34)</f>
        <v>4.04356646553934</v>
      </c>
      <c r="P35" s="164"/>
      <c r="R35" s="3"/>
    </row>
    <row r="36" customFormat="false" ht="15.75" hidden="false" customHeight="false" outlineLevel="0" collapsed="false">
      <c r="A36" s="76" t="s">
        <v>167</v>
      </c>
      <c r="B36" s="32"/>
      <c r="C36" s="32"/>
      <c r="D36" s="165"/>
      <c r="E36" s="32"/>
      <c r="F36" s="15" t="s">
        <v>168</v>
      </c>
      <c r="G36" s="166" t="n">
        <v>0.0683</v>
      </c>
      <c r="H36" s="166" t="n">
        <v>0.0683</v>
      </c>
      <c r="I36" s="145"/>
      <c r="J36" s="146"/>
      <c r="L36" s="31"/>
      <c r="M36" s="32"/>
      <c r="N36" s="32"/>
      <c r="O36" s="32"/>
      <c r="P36" s="58"/>
      <c r="R36" s="3"/>
    </row>
    <row r="37" customFormat="false" ht="15.75" hidden="false" customHeight="false" outlineLevel="0" collapsed="false">
      <c r="A37" s="76" t="s">
        <v>169</v>
      </c>
      <c r="B37" s="118" t="n">
        <f aca="false">C37/$C$58</f>
        <v>0</v>
      </c>
      <c r="C37" s="123" t="n">
        <v>0</v>
      </c>
      <c r="D37" s="79" t="n">
        <f aca="false">C37/$N$12</f>
        <v>0</v>
      </c>
      <c r="E37" s="32"/>
      <c r="F37" s="15" t="s">
        <v>170</v>
      </c>
      <c r="G37" s="167" t="n">
        <v>0.01</v>
      </c>
      <c r="H37" s="167" t="n">
        <v>0.01</v>
      </c>
      <c r="I37" s="145"/>
      <c r="J37" s="146"/>
      <c r="L37" s="85" t="s">
        <v>171</v>
      </c>
      <c r="M37" s="32"/>
      <c r="N37" s="109"/>
      <c r="O37" s="141"/>
      <c r="P37" s="58"/>
      <c r="R37" s="32"/>
    </row>
    <row r="38" customFormat="false" ht="15.75" hidden="false" customHeight="false" outlineLevel="0" collapsed="false">
      <c r="A38" s="76" t="s">
        <v>172</v>
      </c>
      <c r="B38" s="118" t="n">
        <f aca="false">C38/$C$58</f>
        <v>0</v>
      </c>
      <c r="C38" s="123" t="n">
        <v>0</v>
      </c>
      <c r="D38" s="79" t="n">
        <f aca="false">C38/$N$12</f>
        <v>0</v>
      </c>
      <c r="E38" s="32"/>
      <c r="F38" s="152" t="s">
        <v>173</v>
      </c>
      <c r="G38" s="168" t="n">
        <f aca="false">Debt!B7</f>
        <v>0.0783</v>
      </c>
      <c r="H38" s="168" t="n">
        <f aca="false">SUM(H36:H37)</f>
        <v>0.0783</v>
      </c>
      <c r="I38" s="145"/>
      <c r="J38" s="146"/>
      <c r="L38" s="15" t="s">
        <v>69</v>
      </c>
      <c r="M38" s="32"/>
      <c r="N38" s="109" t="n">
        <f aca="false">IS!C17</f>
        <v>2992.1719905</v>
      </c>
      <c r="O38" s="141" t="n">
        <f aca="false">N38/$N$12</f>
        <v>21.9982660362035</v>
      </c>
      <c r="P38" s="58"/>
      <c r="R38" s="32"/>
    </row>
    <row r="39" customFormat="false" ht="15.75" hidden="false" customHeight="false" outlineLevel="0" collapsed="false">
      <c r="A39" s="76" t="s">
        <v>174</v>
      </c>
      <c r="B39" s="118" t="n">
        <f aca="false">C39/$C$58</f>
        <v>0</v>
      </c>
      <c r="C39" s="123" t="n">
        <v>0</v>
      </c>
      <c r="D39" s="79" t="n">
        <f aca="false">C39/$N$12</f>
        <v>0</v>
      </c>
      <c r="E39" s="32"/>
      <c r="F39" s="15"/>
      <c r="G39" s="34"/>
      <c r="H39" s="34"/>
      <c r="I39" s="34"/>
      <c r="J39" s="169"/>
      <c r="L39" s="15" t="s">
        <v>175</v>
      </c>
      <c r="M39" s="32"/>
      <c r="N39" s="101" t="n">
        <v>0</v>
      </c>
      <c r="O39" s="141" t="n">
        <f aca="false">N39/$N$12</f>
        <v>0</v>
      </c>
      <c r="P39" s="58"/>
      <c r="R39" s="147"/>
    </row>
    <row r="40" customFormat="false" ht="15.75" hidden="false" customHeight="false" outlineLevel="0" collapsed="false">
      <c r="A40" s="15" t="s">
        <v>176</v>
      </c>
      <c r="B40" s="118" t="n">
        <f aca="false">C40/$C$58</f>
        <v>0</v>
      </c>
      <c r="C40" s="123" t="n">
        <v>0</v>
      </c>
      <c r="D40" s="79" t="n">
        <f aca="false">C40/$N$12</f>
        <v>0</v>
      </c>
      <c r="E40" s="32"/>
      <c r="F40" s="15" t="s">
        <v>177</v>
      </c>
      <c r="G40" s="154" t="n">
        <v>4028.6613183723</v>
      </c>
      <c r="H40" s="154" t="n">
        <v>6</v>
      </c>
      <c r="I40" s="34" t="s">
        <v>178</v>
      </c>
      <c r="J40" s="170"/>
      <c r="L40" s="15" t="s">
        <v>179</v>
      </c>
      <c r="M40" s="32"/>
      <c r="N40" s="109" t="n">
        <f aca="false">IS!C25/IS!C6</f>
        <v>192.862336766786</v>
      </c>
      <c r="O40" s="141" t="n">
        <f aca="false">N40/$N$12</f>
        <v>1.41791214075588</v>
      </c>
      <c r="P40" s="58"/>
      <c r="R40" s="147"/>
    </row>
    <row r="41" customFormat="false" ht="15.75" hidden="false" customHeight="false" outlineLevel="0" collapsed="false">
      <c r="A41" s="76" t="s">
        <v>180</v>
      </c>
      <c r="B41" s="118" t="n">
        <f aca="false">C41/$C$58</f>
        <v>0</v>
      </c>
      <c r="C41" s="123" t="n">
        <v>0</v>
      </c>
      <c r="D41" s="79" t="n">
        <f aca="false">C41/$N$12</f>
        <v>0</v>
      </c>
      <c r="E41" s="32"/>
      <c r="F41" s="15" t="s">
        <v>181</v>
      </c>
      <c r="G41" s="171" t="n">
        <v>0.02</v>
      </c>
      <c r="H41" s="34"/>
      <c r="I41" s="34"/>
      <c r="J41" s="170"/>
      <c r="L41" s="15" t="s">
        <v>182</v>
      </c>
      <c r="M41" s="32"/>
      <c r="N41" s="109" t="n">
        <f aca="false">IS!C26/IS!C6</f>
        <v>0</v>
      </c>
      <c r="O41" s="141" t="n">
        <f aca="false">N41/$N$12</f>
        <v>0</v>
      </c>
      <c r="P41" s="58"/>
      <c r="R41" s="151"/>
    </row>
    <row r="42" customFormat="false" ht="16.5" hidden="false" customHeight="false" outlineLevel="0" collapsed="false">
      <c r="A42" s="76" t="s">
        <v>183</v>
      </c>
      <c r="B42" s="118" t="n">
        <f aca="false">C42/$C$58</f>
        <v>0.0126405926637035</v>
      </c>
      <c r="C42" s="123" t="n">
        <v>1000</v>
      </c>
      <c r="D42" s="79" t="n">
        <f aca="false">C42/$N$12</f>
        <v>7.35193902825335</v>
      </c>
      <c r="E42" s="32"/>
      <c r="F42" s="15" t="s">
        <v>184</v>
      </c>
      <c r="G42" s="171" t="n">
        <v>0.05</v>
      </c>
      <c r="H42" s="32"/>
      <c r="I42" s="32"/>
      <c r="J42" s="58"/>
      <c r="L42" s="102" t="s">
        <v>185</v>
      </c>
      <c r="M42" s="37"/>
      <c r="N42" s="172" t="n">
        <f aca="false">AVERAGE(IS!C27:AG27)</f>
        <v>41.5861813509398</v>
      </c>
      <c r="O42" s="173" t="n">
        <f aca="false">N42/$N$12</f>
        <v>0.305739069709996</v>
      </c>
      <c r="P42" s="104"/>
      <c r="R42" s="174"/>
    </row>
    <row r="43" customFormat="false" ht="16.5" hidden="false" customHeight="false" outlineLevel="0" collapsed="false">
      <c r="A43" s="76" t="s">
        <v>186</v>
      </c>
      <c r="B43" s="118" t="n">
        <f aca="false">C43/$C$58</f>
        <v>0</v>
      </c>
      <c r="C43" s="123" t="n">
        <v>0</v>
      </c>
      <c r="D43" s="79" t="n">
        <f aca="false">C43/$N$12</f>
        <v>0</v>
      </c>
      <c r="E43" s="32"/>
      <c r="F43" s="31"/>
      <c r="G43" s="32"/>
      <c r="H43" s="32"/>
      <c r="I43" s="32"/>
      <c r="J43" s="58"/>
      <c r="N43" s="175"/>
    </row>
    <row r="44" customFormat="false" ht="15.75" hidden="false" customHeight="false" outlineLevel="0" collapsed="false">
      <c r="A44" s="76" t="s">
        <v>187</v>
      </c>
      <c r="B44" s="118" t="n">
        <f aca="false">C44/$C$58</f>
        <v>0</v>
      </c>
      <c r="C44" s="123" t="n">
        <v>0</v>
      </c>
      <c r="D44" s="79" t="n">
        <f aca="false">C44/$N$12</f>
        <v>0</v>
      </c>
      <c r="E44" s="32"/>
      <c r="F44" s="143" t="s">
        <v>53</v>
      </c>
      <c r="G44" s="32"/>
      <c r="H44" s="32"/>
      <c r="I44" s="32"/>
      <c r="J44" s="58"/>
      <c r="L44" s="49" t="s">
        <v>188</v>
      </c>
      <c r="M44" s="51"/>
      <c r="N44" s="176"/>
      <c r="O44" s="110"/>
      <c r="P44" s="53"/>
    </row>
    <row r="45" customFormat="false" ht="15.75" hidden="false" customHeight="false" outlineLevel="0" collapsed="false">
      <c r="A45" s="76" t="s">
        <v>189</v>
      </c>
      <c r="B45" s="118" t="n">
        <f aca="false">C45/$C$58</f>
        <v>0</v>
      </c>
      <c r="C45" s="123" t="n">
        <v>0</v>
      </c>
      <c r="D45" s="79" t="n">
        <f aca="false">C45/$N$12</f>
        <v>0</v>
      </c>
      <c r="E45" s="32"/>
      <c r="F45" s="148" t="s">
        <v>190</v>
      </c>
      <c r="G45" s="149" t="n">
        <v>36739</v>
      </c>
      <c r="H45" s="32"/>
      <c r="I45" s="32"/>
      <c r="J45" s="58"/>
      <c r="L45" s="31"/>
      <c r="M45" s="177"/>
      <c r="N45" s="32"/>
      <c r="O45" s="32"/>
      <c r="P45" s="58"/>
    </row>
    <row r="46" customFormat="false" ht="15.75" hidden="false" customHeight="false" outlineLevel="0" collapsed="false">
      <c r="A46" s="15" t="s">
        <v>191</v>
      </c>
      <c r="B46" s="118" t="n">
        <f aca="false">C46/$C$58</f>
        <v>0.0380707589133235</v>
      </c>
      <c r="C46" s="78" t="n">
        <f aca="false">IDC!H35</f>
        <v>3011.78591274764</v>
      </c>
      <c r="D46" s="79" t="n">
        <f aca="false">C46/$N$12</f>
        <v>22.142466396673</v>
      </c>
      <c r="E46" s="32"/>
      <c r="F46" s="15" t="s">
        <v>192</v>
      </c>
      <c r="G46" s="178" t="n">
        <v>0.5</v>
      </c>
      <c r="H46" s="78" t="n">
        <f aca="false">G46*C11</f>
        <v>8721.80606996619</v>
      </c>
      <c r="I46" s="32"/>
      <c r="J46" s="58"/>
      <c r="L46" s="15"/>
      <c r="M46" s="32"/>
      <c r="N46" s="177" t="s">
        <v>193</v>
      </c>
      <c r="O46" s="177" t="s">
        <v>194</v>
      </c>
      <c r="P46" s="179" t="s">
        <v>195</v>
      </c>
    </row>
    <row r="47" customFormat="false" ht="16.5" hidden="false" customHeight="false" outlineLevel="0" collapsed="false">
      <c r="A47" s="15" t="s">
        <v>196</v>
      </c>
      <c r="B47" s="118" t="n">
        <f aca="false">C47/$C$58</f>
        <v>0</v>
      </c>
      <c r="C47" s="123" t="n">
        <v>0</v>
      </c>
      <c r="D47" s="79" t="n">
        <f aca="false">C47/$N$12</f>
        <v>0</v>
      </c>
      <c r="E47" s="32"/>
      <c r="F47" s="102" t="s">
        <v>197</v>
      </c>
      <c r="G47" s="180" t="n">
        <f aca="false">1-G46</f>
        <v>0.5</v>
      </c>
      <c r="H47" s="181" t="n">
        <f aca="false">G47*C11</f>
        <v>8721.80606996619</v>
      </c>
      <c r="I47" s="37"/>
      <c r="J47" s="104"/>
      <c r="L47" s="121" t="s">
        <v>198</v>
      </c>
      <c r="M47" s="32"/>
      <c r="N47" s="182"/>
      <c r="O47" s="182"/>
      <c r="P47" s="35"/>
    </row>
    <row r="48" customFormat="false" ht="16.5" hidden="false" customHeight="false" outlineLevel="0" collapsed="false">
      <c r="A48" s="15" t="s">
        <v>199</v>
      </c>
      <c r="B48" s="118" t="n">
        <f aca="false">C48/$C$58</f>
        <v>0.0300856217870275</v>
      </c>
      <c r="C48" s="78" t="n">
        <f aca="false">SUM(C22:C33)*N64</f>
        <v>2380.08</v>
      </c>
      <c r="D48" s="79" t="n">
        <f aca="false">C48/$N$12</f>
        <v>17.4982030423652</v>
      </c>
      <c r="E48" s="183"/>
      <c r="L48" s="59" t="s">
        <v>200</v>
      </c>
      <c r="M48" s="32"/>
      <c r="N48" s="184" t="n">
        <v>15</v>
      </c>
      <c r="O48" s="185" t="s">
        <v>201</v>
      </c>
      <c r="P48" s="186" t="n">
        <v>0</v>
      </c>
    </row>
    <row r="49" customFormat="false" ht="15.75" hidden="false" customHeight="false" outlineLevel="0" collapsed="false">
      <c r="A49" s="67" t="s">
        <v>202</v>
      </c>
      <c r="B49" s="156" t="n">
        <f aca="false">C49/$C$58</f>
        <v>0</v>
      </c>
      <c r="C49" s="157" t="n">
        <v>0</v>
      </c>
      <c r="D49" s="96" t="n">
        <f aca="false">C49/$N$12</f>
        <v>0</v>
      </c>
      <c r="E49" s="86"/>
      <c r="F49" s="49" t="s">
        <v>203</v>
      </c>
      <c r="G49" s="50"/>
      <c r="H49" s="110"/>
      <c r="I49" s="54"/>
      <c r="J49" s="53"/>
      <c r="L49" s="59" t="s">
        <v>204</v>
      </c>
      <c r="M49" s="32"/>
      <c r="N49" s="184" t="n">
        <v>5</v>
      </c>
      <c r="O49" s="185" t="s">
        <v>205</v>
      </c>
      <c r="P49" s="186" t="n">
        <v>0</v>
      </c>
    </row>
    <row r="50" customFormat="false" ht="15.75" hidden="false" customHeight="false" outlineLevel="0" collapsed="false">
      <c r="A50" s="15" t="s">
        <v>163</v>
      </c>
      <c r="B50" s="118" t="n">
        <f aca="false">SUM(B37:B49)</f>
        <v>0.0807969733640545</v>
      </c>
      <c r="C50" s="78" t="n">
        <f aca="false">SUM(C37:C49)</f>
        <v>6391.86591274764</v>
      </c>
      <c r="D50" s="79" t="n">
        <f aca="false">C50/$N$12</f>
        <v>46.9926084672916</v>
      </c>
      <c r="E50" s="32"/>
      <c r="F50" s="31"/>
      <c r="G50" s="32"/>
      <c r="H50" s="32"/>
      <c r="I50" s="63"/>
      <c r="J50" s="58"/>
      <c r="L50" s="59" t="s">
        <v>206</v>
      </c>
      <c r="M50" s="32"/>
      <c r="N50" s="184" t="n">
        <v>20</v>
      </c>
      <c r="O50" s="185" t="s">
        <v>205</v>
      </c>
      <c r="P50" s="186" t="n">
        <v>0</v>
      </c>
    </row>
    <row r="51" customFormat="false" ht="15.75" hidden="false" customHeight="false" outlineLevel="0" collapsed="false">
      <c r="A51" s="31"/>
      <c r="B51" s="32"/>
      <c r="C51" s="78"/>
      <c r="D51" s="165"/>
      <c r="E51" s="187"/>
      <c r="F51" s="81" t="s">
        <v>207</v>
      </c>
      <c r="G51" s="32"/>
      <c r="H51" s="32"/>
      <c r="I51" s="32"/>
      <c r="J51" s="58"/>
      <c r="L51" s="59"/>
      <c r="M51" s="32"/>
      <c r="N51" s="188"/>
      <c r="O51" s="188"/>
      <c r="P51" s="189"/>
    </row>
    <row r="52" customFormat="false" ht="15.75" hidden="false" customHeight="false" outlineLevel="0" collapsed="false">
      <c r="A52" s="76" t="s">
        <v>208</v>
      </c>
      <c r="B52" s="32"/>
      <c r="C52" s="78"/>
      <c r="D52" s="100"/>
      <c r="E52" s="187"/>
      <c r="F52" s="15" t="s">
        <v>209</v>
      </c>
      <c r="G52" s="32"/>
      <c r="H52" s="101" t="n">
        <v>3</v>
      </c>
      <c r="I52" s="63"/>
      <c r="J52" s="58"/>
      <c r="L52" s="121" t="s">
        <v>16</v>
      </c>
      <c r="M52" s="32"/>
      <c r="N52" s="188"/>
      <c r="O52" s="188"/>
      <c r="P52" s="186"/>
    </row>
    <row r="53" customFormat="false" ht="15.75" hidden="false" customHeight="false" outlineLevel="0" collapsed="false">
      <c r="A53" s="76" t="s">
        <v>210</v>
      </c>
      <c r="B53" s="118" t="n">
        <f aca="false">C53/$C$58</f>
        <v>0</v>
      </c>
      <c r="C53" s="123" t="n">
        <v>0</v>
      </c>
      <c r="D53" s="79" t="n">
        <f aca="false">C53/$N$12</f>
        <v>0</v>
      </c>
      <c r="E53" s="32"/>
      <c r="F53" s="15" t="s">
        <v>211</v>
      </c>
      <c r="G53" s="32"/>
      <c r="H53" s="92" t="n">
        <v>4.75</v>
      </c>
      <c r="I53" s="32"/>
      <c r="J53" s="58"/>
      <c r="L53" s="59" t="s">
        <v>200</v>
      </c>
      <c r="M53" s="32"/>
      <c r="N53" s="184" t="n">
        <v>30</v>
      </c>
      <c r="O53" s="185" t="s">
        <v>205</v>
      </c>
      <c r="P53" s="186" t="n">
        <v>0.1</v>
      </c>
    </row>
    <row r="54" customFormat="false" ht="15.75" hidden="false" customHeight="false" outlineLevel="0" collapsed="false">
      <c r="A54" s="76" t="s">
        <v>212</v>
      </c>
      <c r="B54" s="118" t="n">
        <f aca="false">C54/$C$58</f>
        <v>0</v>
      </c>
      <c r="C54" s="123" t="n">
        <v>0</v>
      </c>
      <c r="D54" s="79" t="n">
        <f aca="false">C54/$N$12</f>
        <v>0</v>
      </c>
      <c r="E54" s="32"/>
      <c r="F54" s="31"/>
      <c r="G54" s="32"/>
      <c r="H54" s="32"/>
      <c r="I54" s="32"/>
      <c r="J54" s="58"/>
      <c r="L54" s="59" t="s">
        <v>204</v>
      </c>
      <c r="M54" s="32"/>
      <c r="N54" s="184" t="n">
        <v>5</v>
      </c>
      <c r="O54" s="185" t="s">
        <v>205</v>
      </c>
      <c r="P54" s="186" t="n">
        <v>0</v>
      </c>
    </row>
    <row r="55" customFormat="false" ht="16.5" hidden="false" customHeight="false" outlineLevel="0" collapsed="false">
      <c r="A55" s="81" t="s">
        <v>213</v>
      </c>
      <c r="B55" s="156" t="n">
        <f aca="false">C55/$C$58</f>
        <v>0</v>
      </c>
      <c r="C55" s="157" t="n">
        <v>0</v>
      </c>
      <c r="D55" s="79" t="n">
        <f aca="false">C55/$N$12</f>
        <v>0</v>
      </c>
      <c r="E55" s="32"/>
      <c r="F55" s="81" t="s">
        <v>214</v>
      </c>
      <c r="G55" s="32"/>
      <c r="H55" s="32"/>
      <c r="I55" s="32"/>
      <c r="J55" s="58"/>
      <c r="L55" s="190" t="s">
        <v>206</v>
      </c>
      <c r="M55" s="37"/>
      <c r="N55" s="191" t="n">
        <v>20</v>
      </c>
      <c r="O55" s="192" t="s">
        <v>205</v>
      </c>
      <c r="P55" s="193" t="n">
        <v>0</v>
      </c>
    </row>
    <row r="56" customFormat="false" ht="16.5" hidden="false" customHeight="false" outlineLevel="0" collapsed="false">
      <c r="A56" s="15" t="s">
        <v>163</v>
      </c>
      <c r="B56" s="118" t="n">
        <f aca="false">SUM(B53:B55)</f>
        <v>0</v>
      </c>
      <c r="C56" s="194" t="n">
        <f aca="false">SUM(C53:C55)</f>
        <v>0</v>
      </c>
      <c r="D56" s="79" t="n">
        <f aca="false">C56/$N$12</f>
        <v>0</v>
      </c>
      <c r="E56" s="32"/>
      <c r="F56" s="15" t="s">
        <v>209</v>
      </c>
      <c r="G56" s="32"/>
      <c r="H56" s="101" t="n">
        <f aca="false">H18-H52</f>
        <v>27</v>
      </c>
      <c r="I56" s="63"/>
      <c r="J56" s="58"/>
    </row>
    <row r="57" customFormat="false" ht="15.75" hidden="false" customHeight="false" outlineLevel="0" collapsed="false">
      <c r="A57" s="31"/>
      <c r="B57" s="32"/>
      <c r="C57" s="32"/>
      <c r="D57" s="165"/>
      <c r="E57" s="32"/>
      <c r="F57" s="15" t="s">
        <v>211</v>
      </c>
      <c r="G57" s="34"/>
      <c r="H57" s="195"/>
      <c r="I57" s="63"/>
      <c r="J57" s="58"/>
      <c r="L57" s="49" t="s">
        <v>215</v>
      </c>
      <c r="M57" s="51"/>
      <c r="N57" s="196"/>
      <c r="O57" s="197"/>
      <c r="P57" s="198"/>
    </row>
    <row r="58" customFormat="false" ht="16.5" hidden="false" customHeight="false" outlineLevel="0" collapsed="false">
      <c r="A58" s="199" t="s">
        <v>216</v>
      </c>
      <c r="B58" s="200" t="n">
        <f aca="false">B56+B50+B34</f>
        <v>1</v>
      </c>
      <c r="C58" s="201" t="n">
        <f aca="false">C56+C50+C34</f>
        <v>79110.2147347428</v>
      </c>
      <c r="D58" s="202" t="n">
        <f aca="false">C58/$N$12</f>
        <v>581.613475241858</v>
      </c>
      <c r="E58" s="32"/>
      <c r="F58" s="31"/>
      <c r="G58" s="32"/>
      <c r="H58" s="32"/>
      <c r="I58" s="32"/>
      <c r="J58" s="58"/>
      <c r="L58" s="61"/>
      <c r="M58" s="60"/>
      <c r="N58" s="203"/>
      <c r="O58" s="140"/>
      <c r="P58" s="164"/>
    </row>
    <row r="59" customFormat="false" ht="16.5" hidden="false" customHeight="false" outlineLevel="0" collapsed="false">
      <c r="A59" s="32"/>
      <c r="B59" s="32"/>
      <c r="C59" s="204"/>
      <c r="D59" s="32"/>
      <c r="E59" s="32"/>
      <c r="F59" s="15" t="s">
        <v>217</v>
      </c>
      <c r="G59" s="34"/>
      <c r="H59" s="195" t="n">
        <f aca="false">P26</f>
        <v>2.05</v>
      </c>
      <c r="I59" s="63"/>
      <c r="J59" s="58"/>
      <c r="L59" s="59" t="s">
        <v>218</v>
      </c>
      <c r="M59" s="140"/>
      <c r="N59" s="182" t="n">
        <v>0.35</v>
      </c>
      <c r="O59" s="140"/>
      <c r="P59" s="164"/>
    </row>
    <row r="60" customFormat="false" ht="15.75" hidden="false" customHeight="false" outlineLevel="0" collapsed="false">
      <c r="A60" s="46" t="s">
        <v>219</v>
      </c>
      <c r="B60" s="110"/>
      <c r="C60" s="110"/>
      <c r="D60" s="205"/>
      <c r="E60" s="32"/>
      <c r="F60" s="15"/>
      <c r="G60" s="32"/>
      <c r="H60" s="182"/>
      <c r="I60" s="63"/>
      <c r="J60" s="58"/>
      <c r="L60" s="59" t="s">
        <v>220</v>
      </c>
      <c r="M60" s="140"/>
      <c r="N60" s="119" t="n">
        <v>0.07</v>
      </c>
      <c r="O60" s="206" t="s">
        <v>221</v>
      </c>
      <c r="P60" s="164"/>
    </row>
    <row r="61" customFormat="false" ht="16.5" hidden="false" customHeight="false" outlineLevel="0" collapsed="false">
      <c r="A61" s="31"/>
      <c r="B61" s="32"/>
      <c r="C61" s="32"/>
      <c r="D61" s="58"/>
      <c r="E61" s="32"/>
      <c r="F61" s="102" t="s">
        <v>222</v>
      </c>
      <c r="G61" s="37"/>
      <c r="H61" s="172" t="n">
        <f aca="false">N12*N15</f>
        <v>190425.953564064</v>
      </c>
      <c r="I61" s="207"/>
      <c r="J61" s="104"/>
      <c r="L61" s="59" t="s">
        <v>223</v>
      </c>
      <c r="M61" s="140"/>
      <c r="N61" s="119" t="n">
        <v>0.0025</v>
      </c>
      <c r="O61" s="206" t="s">
        <v>221</v>
      </c>
      <c r="P61" s="164"/>
    </row>
    <row r="62" customFormat="false" ht="15.75" hidden="false" customHeight="false" outlineLevel="0" collapsed="false">
      <c r="A62" s="208" t="s">
        <v>224</v>
      </c>
      <c r="B62" s="209"/>
      <c r="C62" s="210" t="n">
        <f aca="false">D58</f>
        <v>581.613475241858</v>
      </c>
      <c r="D62" s="58"/>
      <c r="E62" s="32"/>
      <c r="L62" s="59" t="s">
        <v>225</v>
      </c>
      <c r="M62" s="140"/>
      <c r="N62" s="119" t="n">
        <v>0</v>
      </c>
      <c r="O62" s="206" t="s">
        <v>221</v>
      </c>
      <c r="P62" s="164"/>
    </row>
    <row r="63" customFormat="false" ht="15.75" hidden="false" customHeight="false" outlineLevel="0" collapsed="false">
      <c r="A63" s="208" t="s">
        <v>226</v>
      </c>
      <c r="B63" s="209"/>
      <c r="C63" s="210" t="n">
        <f aca="false">IS!C50</f>
        <v>5.39670149870601</v>
      </c>
      <c r="D63" s="58"/>
      <c r="E63" s="32"/>
      <c r="L63" s="59" t="s">
        <v>227</v>
      </c>
      <c r="M63" s="32"/>
      <c r="N63" s="119" t="n">
        <v>0.015</v>
      </c>
      <c r="O63" s="206" t="s">
        <v>221</v>
      </c>
      <c r="P63" s="58"/>
    </row>
    <row r="64" customFormat="false" ht="16.5" hidden="false" customHeight="false" outlineLevel="0" collapsed="false">
      <c r="A64" s="31"/>
      <c r="B64" s="32"/>
      <c r="C64" s="32"/>
      <c r="D64" s="58"/>
      <c r="E64" s="32"/>
      <c r="L64" s="190" t="s">
        <v>228</v>
      </c>
      <c r="M64" s="37"/>
      <c r="N64" s="211" t="n">
        <v>0.08</v>
      </c>
      <c r="O64" s="212" t="s">
        <v>221</v>
      </c>
      <c r="P64" s="104"/>
    </row>
    <row r="65" customFormat="false" ht="15.75" hidden="false" customHeight="false" outlineLevel="0" collapsed="false">
      <c r="A65" s="15"/>
      <c r="B65" s="34"/>
      <c r="C65" s="68" t="s">
        <v>229</v>
      </c>
      <c r="D65" s="179" t="s">
        <v>230</v>
      </c>
      <c r="E65" s="32"/>
    </row>
    <row r="66" customFormat="false" ht="15.75" hidden="false" customHeight="false" outlineLevel="0" collapsed="false">
      <c r="A66" s="81" t="s">
        <v>54</v>
      </c>
      <c r="B66" s="213"/>
      <c r="C66" s="214" t="n">
        <f aca="false">Debt!D67</f>
        <v>1.31146179797809</v>
      </c>
      <c r="D66" s="215" t="n">
        <f aca="false">Debt!D68</f>
        <v>0.761670088980151</v>
      </c>
      <c r="E66" s="32"/>
    </row>
    <row r="67" customFormat="false" ht="15.75" hidden="false" customHeight="false" outlineLevel="0" collapsed="false">
      <c r="A67" s="31"/>
      <c r="B67" s="34"/>
      <c r="C67" s="32"/>
      <c r="D67" s="58"/>
      <c r="E67" s="32"/>
    </row>
    <row r="68" customFormat="false" ht="15.75" hidden="false" customHeight="false" outlineLevel="0" collapsed="false">
      <c r="A68" s="81" t="s">
        <v>231</v>
      </c>
      <c r="B68" s="32"/>
      <c r="C68" s="32"/>
      <c r="D68" s="58"/>
      <c r="E68" s="32"/>
    </row>
    <row r="69" customFormat="false" ht="15.75" hidden="false" customHeight="false" outlineLevel="0" collapsed="false">
      <c r="A69" s="15" t="s">
        <v>232</v>
      </c>
      <c r="B69" s="34"/>
      <c r="C69" s="216" t="e">
        <f aca="false">Returns!B26</f>
        <v>#VALUE!</v>
      </c>
      <c r="D69" s="58"/>
      <c r="E69" s="32"/>
    </row>
    <row r="70" customFormat="false" ht="15.75" hidden="false" customHeight="false" outlineLevel="0" collapsed="false">
      <c r="A70" s="15" t="s">
        <v>233</v>
      </c>
      <c r="B70" s="32"/>
      <c r="C70" s="216" t="e">
        <f aca="false">Returns!B33</f>
        <v>#VALUE!</v>
      </c>
      <c r="D70" s="35"/>
      <c r="E70" s="32"/>
    </row>
    <row r="71" customFormat="false" ht="15.75" hidden="false" customHeight="false" outlineLevel="0" collapsed="false">
      <c r="A71" s="15"/>
      <c r="B71" s="34"/>
      <c r="C71" s="216"/>
      <c r="D71" s="35"/>
    </row>
    <row r="72" customFormat="false" ht="15.75" hidden="false" customHeight="false" outlineLevel="0" collapsed="false">
      <c r="A72" s="81" t="s">
        <v>234</v>
      </c>
      <c r="B72" s="68" t="n">
        <f aca="false">IS!C7</f>
        <v>2001</v>
      </c>
      <c r="C72" s="68" t="n">
        <f aca="false">IS!D7</f>
        <v>2002</v>
      </c>
      <c r="D72" s="179" t="n">
        <f aca="false">IS!E7</f>
        <v>2003</v>
      </c>
      <c r="E72" s="34"/>
    </row>
    <row r="73" customFormat="false" ht="15.75" hidden="false" customHeight="false" outlineLevel="0" collapsed="false">
      <c r="A73" s="15" t="s">
        <v>235</v>
      </c>
      <c r="B73" s="194" t="n">
        <f aca="false">IS!C33</f>
        <v>4619.74741179224</v>
      </c>
      <c r="C73" s="194" t="n">
        <f aca="false">IS!D33</f>
        <v>6920.49091779347</v>
      </c>
      <c r="D73" s="217" t="n">
        <f aca="false">IS!E33</f>
        <v>6910.86571789858</v>
      </c>
      <c r="E73" s="34"/>
    </row>
    <row r="74" customFormat="false" ht="15.75" hidden="false" customHeight="false" outlineLevel="0" collapsed="false">
      <c r="A74" s="15" t="s">
        <v>236</v>
      </c>
      <c r="B74" s="194" t="n">
        <f aca="false">IS!C46</f>
        <v>1604.62553348537</v>
      </c>
      <c r="C74" s="194" t="n">
        <f aca="false">IS!D46</f>
        <v>2401.41909439159</v>
      </c>
      <c r="D74" s="217" t="n">
        <f aca="false">IS!E46</f>
        <v>2395.60066105513</v>
      </c>
      <c r="E74" s="32"/>
    </row>
    <row r="75" customFormat="false" ht="15.75" hidden="false" customHeight="false" outlineLevel="0" collapsed="false">
      <c r="A75" s="15" t="s">
        <v>237</v>
      </c>
      <c r="B75" s="194" t="n">
        <f aca="false">CF!C17</f>
        <v>-703.707140356575</v>
      </c>
      <c r="C75" s="194" t="n">
        <f aca="false">CF!D17</f>
        <v>1604.44036556379</v>
      </c>
      <c r="D75" s="217" t="n">
        <f aca="false">CF!E17</f>
        <v>789.566655120043</v>
      </c>
      <c r="E75" s="32"/>
    </row>
    <row r="76" customFormat="false" ht="16.5" hidden="false" customHeight="false" outlineLevel="0" collapsed="false">
      <c r="A76" s="102" t="s">
        <v>238</v>
      </c>
      <c r="B76" s="218" t="n">
        <f aca="false">CF!C22</f>
        <v>-855.010942007536</v>
      </c>
      <c r="C76" s="218" t="n">
        <f aca="false">CF!D22</f>
        <v>1604.44036556379</v>
      </c>
      <c r="D76" s="219" t="n">
        <f aca="false">CF!E22</f>
        <v>789.566655120043</v>
      </c>
      <c r="E76" s="32"/>
    </row>
    <row r="77" customFormat="false" ht="12.75" hidden="false" customHeight="false" outlineLevel="0" collapsed="false">
      <c r="E77" s="32"/>
    </row>
    <row r="78" customFormat="false" ht="12.75" hidden="false" customHeight="false" outlineLevel="0" collapsed="false">
      <c r="E78" s="32"/>
    </row>
    <row r="79" customFormat="false" ht="12.75" hidden="false" customHeight="false" outlineLevel="0" collapsed="false">
      <c r="E79" s="32"/>
    </row>
    <row r="80" customFormat="false" ht="12.75" hidden="false" customHeight="false" outlineLevel="0" collapsed="false">
      <c r="E80" s="32"/>
    </row>
    <row r="81" customFormat="false" ht="12.75" hidden="false" customHeight="false" outlineLevel="0" collapsed="false">
      <c r="E81" s="32"/>
    </row>
    <row r="82" customFormat="false" ht="15.75" hidden="false" customHeight="false" outlineLevel="0" collapsed="false">
      <c r="E82" s="4"/>
    </row>
    <row r="84" customFormat="false" ht="15.75" hidden="false" customHeight="false" outlineLevel="0" collapsed="false">
      <c r="E84" s="34"/>
    </row>
    <row r="85" customFormat="false" ht="15.75" hidden="false" customHeight="false" outlineLevel="0" collapsed="false">
      <c r="E85" s="34"/>
    </row>
    <row r="86" customFormat="false" ht="15.75" hidden="false" customHeight="false" outlineLevel="0" collapsed="false">
      <c r="E86" s="34"/>
    </row>
    <row r="87" customFormat="false" ht="15.75" hidden="false" customHeight="false" outlineLevel="0" collapsed="false">
      <c r="E87" s="34"/>
    </row>
    <row r="88" customFormat="false" ht="12.75" hidden="false" customHeight="false" outlineLevel="0" collapsed="false">
      <c r="E88" s="32"/>
    </row>
    <row r="89" customFormat="false" ht="15.75" hidden="false" customHeight="false" outlineLevel="0" collapsed="false">
      <c r="E89" s="34"/>
    </row>
    <row r="90" customFormat="false" ht="15.75" hidden="false" customHeight="false" outlineLevel="0" collapsed="false">
      <c r="E90" s="34"/>
    </row>
    <row r="91" customFormat="false" ht="12.75" hidden="false" customHeight="false" outlineLevel="0" collapsed="false">
      <c r="E91" s="32"/>
    </row>
    <row r="92" customFormat="false" ht="15.75" hidden="false" customHeight="false" outlineLevel="0" collapsed="false">
      <c r="E92" s="32"/>
      <c r="I92" s="220"/>
    </row>
    <row r="93" customFormat="false" ht="15.75" hidden="false" customHeight="false" outlineLevel="0" collapsed="false">
      <c r="E93" s="34"/>
    </row>
    <row r="94" customFormat="false" ht="15.75" hidden="false" customHeight="false" outlineLevel="0" collapsed="false">
      <c r="E94" s="34"/>
    </row>
    <row r="95" customFormat="false" ht="15.75" hidden="false" customHeight="false" outlineLevel="0" collapsed="false">
      <c r="E95" s="34"/>
    </row>
    <row r="96" customFormat="false" ht="15.75" hidden="false" customHeight="false" outlineLevel="0" collapsed="false">
      <c r="E96" s="68"/>
    </row>
    <row r="97" customFormat="false" ht="15.75" hidden="false" customHeight="false" outlineLevel="0" collapsed="false">
      <c r="E97" s="194"/>
    </row>
    <row r="98" customFormat="false" ht="15.75" hidden="false" customHeight="false" outlineLevel="0" collapsed="false">
      <c r="E98" s="194"/>
    </row>
    <row r="99" customFormat="false" ht="15.75" hidden="false" customHeight="false" outlineLevel="0" collapsed="false">
      <c r="E99" s="194"/>
    </row>
    <row r="100" customFormat="false" ht="15.75" hidden="false" customHeight="false" outlineLevel="0" collapsed="false">
      <c r="E100" s="194"/>
    </row>
    <row r="116" customFormat="false" ht="15.75" hidden="false" customHeight="false" outlineLevel="0" collapsed="false">
      <c r="I116" s="220"/>
    </row>
    <row r="117" customFormat="false" ht="15.75" hidden="false" customHeight="false" outlineLevel="0" collapsed="false">
      <c r="I117" s="220"/>
    </row>
    <row r="118" customFormat="false" ht="15.75" hidden="false" customHeight="false" outlineLevel="0" collapsed="false">
      <c r="I118" s="220"/>
    </row>
    <row r="119" customFormat="false" ht="15.75" hidden="false" customHeight="false" outlineLevel="0" collapsed="false">
      <c r="I119" s="220"/>
    </row>
    <row r="120" customFormat="false" ht="15.75" hidden="false" customHeight="false" outlineLevel="0" collapsed="false">
      <c r="I120" s="220"/>
    </row>
    <row r="121" customFormat="false" ht="15.75" hidden="false" customHeight="false" outlineLevel="0" collapsed="false">
      <c r="I121" s="220"/>
    </row>
    <row r="122" customFormat="false" ht="15.75" hidden="false" customHeight="false" outlineLevel="0" collapsed="false">
      <c r="I122" s="220"/>
    </row>
    <row r="123" customFormat="false" ht="15.75" hidden="false" customHeight="false" outlineLevel="0" collapsed="false">
      <c r="I123" s="220"/>
    </row>
    <row r="128" customFormat="false" ht="12.75" hidden="false" customHeight="false" outlineLevel="0" collapsed="false"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</row>
    <row r="129" customFormat="false" ht="12.75" hidden="false" customHeight="false" outlineLevel="0" collapsed="false"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</row>
    <row r="130" customFormat="false" ht="15.75" hidden="false" customHeight="false" outlineLevel="0" collapsed="false">
      <c r="J130" s="6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</row>
    <row r="131" customFormat="false" ht="12.75" hidden="false" customHeight="false" outlineLevel="0" collapsed="false">
      <c r="J131" s="32"/>
      <c r="K131" s="32"/>
      <c r="L131" s="221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</row>
    <row r="132" customFormat="false" ht="12.75" hidden="false" customHeight="false" outlineLevel="0" collapsed="false">
      <c r="J132" s="32"/>
      <c r="K132" s="32"/>
      <c r="L132" s="221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</row>
    <row r="133" customFormat="false" ht="12.75" hidden="false" customHeight="false" outlineLevel="0" collapsed="false">
      <c r="J133" s="32"/>
      <c r="K133" s="32"/>
      <c r="L133" s="221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</row>
    <row r="134" customFormat="false" ht="15.75" hidden="false" customHeight="false" outlineLevel="0" collapsed="false">
      <c r="J134" s="32"/>
      <c r="K134" s="32"/>
      <c r="L134" s="222"/>
      <c r="M134" s="195"/>
      <c r="N134" s="195"/>
      <c r="O134" s="32"/>
      <c r="P134" s="32"/>
      <c r="Q134" s="32"/>
      <c r="R134" s="32"/>
      <c r="S134" s="32"/>
      <c r="T134" s="32"/>
      <c r="U134" s="32"/>
      <c r="V134" s="32"/>
      <c r="W134" s="32"/>
      <c r="X134" s="32"/>
    </row>
    <row r="135" customFormat="false" ht="15.75" hidden="false" customHeight="false" outlineLevel="0" collapsed="false">
      <c r="J135" s="195"/>
      <c r="K135" s="195"/>
      <c r="L135" s="33"/>
      <c r="M135" s="223"/>
      <c r="N135" s="223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customFormat="false" ht="15.75" hidden="false" customHeight="false" outlineLevel="0" collapsed="false">
      <c r="J136" s="223"/>
      <c r="K136" s="223"/>
      <c r="L136" s="224"/>
      <c r="M136" s="203"/>
      <c r="N136" s="203"/>
      <c r="O136" s="32"/>
      <c r="P136" s="32"/>
      <c r="Q136" s="32"/>
      <c r="R136" s="32"/>
      <c r="S136" s="32"/>
      <c r="T136" s="32"/>
      <c r="U136" s="32"/>
      <c r="V136" s="32"/>
      <c r="W136" s="32"/>
      <c r="X136" s="32"/>
    </row>
    <row r="137" customFormat="false" ht="15.75" hidden="false" customHeight="false" outlineLevel="0" collapsed="false">
      <c r="J137" s="203"/>
      <c r="K137" s="203"/>
      <c r="L137" s="224"/>
      <c r="M137" s="203"/>
      <c r="N137" s="203"/>
      <c r="O137" s="32"/>
      <c r="P137" s="32"/>
      <c r="Q137" s="32"/>
      <c r="R137" s="32"/>
      <c r="S137" s="32"/>
      <c r="T137" s="32"/>
      <c r="U137" s="32"/>
      <c r="V137" s="32"/>
      <c r="W137" s="32"/>
      <c r="X137" s="32"/>
    </row>
    <row r="138" customFormat="false" ht="15.75" hidden="false" customHeight="false" outlineLevel="0" collapsed="false">
      <c r="J138" s="203"/>
      <c r="K138" s="203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</row>
    <row r="139" customFormat="false" ht="12.75" hidden="false" customHeight="false" outlineLevel="0" collapsed="false">
      <c r="J139" s="32"/>
      <c r="K139" s="32"/>
    </row>
    <row r="141" customFormat="false" ht="15.75" hidden="false" customHeight="false" outlineLevel="0" collapsed="false">
      <c r="J141" s="62"/>
    </row>
    <row r="142" customFormat="false" ht="12.75" hidden="false" customHeight="false" outlineLevel="0" collapsed="false">
      <c r="J142" s="32"/>
    </row>
    <row r="143" customFormat="false" ht="12.75" hidden="false" customHeight="false" outlineLevel="0" collapsed="false">
      <c r="J143" s="32"/>
    </row>
    <row r="144" customFormat="false" ht="12.75" hidden="false" customHeight="false" outlineLevel="0" collapsed="false">
      <c r="J144" s="32"/>
    </row>
    <row r="145" customFormat="false" ht="12.75" hidden="false" customHeight="false" outlineLevel="0" collapsed="false">
      <c r="J145" s="32"/>
    </row>
    <row r="146" customFormat="false" ht="12.75" hidden="false" customHeight="false" outlineLevel="0" collapsed="false">
      <c r="J146" s="32"/>
    </row>
    <row r="147" customFormat="false" ht="12.75" hidden="false" customHeight="false" outlineLevel="0" collapsed="false">
      <c r="J147" s="32"/>
    </row>
    <row r="148" customFormat="false" ht="15.75" hidden="false" customHeight="false" outlineLevel="0" collapsed="false">
      <c r="J148" s="195"/>
    </row>
    <row r="149" customFormat="false" ht="15.75" hidden="false" customHeight="false" outlineLevel="0" collapsed="false">
      <c r="J149" s="223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0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R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6" activeCellId="0" sqref="B16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56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1" t="str">
        <f aca="false">Assumptions!A3</f>
        <v>PROJECT NAME:</v>
      </c>
    </row>
    <row r="3" customFormat="false" ht="12" hidden="false" customHeight="true" outlineLevel="0" collapsed="false">
      <c r="B3" s="6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</row>
    <row r="4" customFormat="false" ht="18.75" hidden="false" customHeight="false" outlineLevel="0" collapsed="false">
      <c r="B4" s="2" t="s">
        <v>239</v>
      </c>
      <c r="C4" s="226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</row>
    <row r="5" customFormat="false" ht="18.75" hidden="false" customHeight="false" outlineLevel="0" collapsed="false">
      <c r="B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customFormat="false" ht="15.75" hidden="false" customHeight="false" outlineLevel="0" collapsed="false">
      <c r="B6" s="229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customFormat="false" ht="15.75" hidden="false" customHeight="false" outlineLevel="0" collapsed="false">
      <c r="B7" s="230"/>
      <c r="C7" s="34"/>
      <c r="D7" s="231" t="n">
        <f aca="false">(Assumptions!H17/12)</f>
        <v>0.666666666666667</v>
      </c>
      <c r="E7" s="231" t="n">
        <f aca="false">D7+1</f>
        <v>1.66666666666667</v>
      </c>
      <c r="F7" s="231" t="n">
        <f aca="false">E7+1</f>
        <v>2.66666666666667</v>
      </c>
      <c r="G7" s="231" t="n">
        <f aca="false">F7+1</f>
        <v>3.66666666666667</v>
      </c>
      <c r="H7" s="231" t="n">
        <f aca="false">G7+1</f>
        <v>4.66666666666667</v>
      </c>
      <c r="I7" s="231" t="n">
        <f aca="false">H7+1</f>
        <v>5.66666666666667</v>
      </c>
      <c r="J7" s="231" t="n">
        <f aca="false">I7+1</f>
        <v>6.66666666666667</v>
      </c>
      <c r="K7" s="231" t="n">
        <f aca="false">J7+1</f>
        <v>7.66666666666667</v>
      </c>
      <c r="L7" s="231" t="n">
        <f aca="false">K7+1</f>
        <v>8.66666666666667</v>
      </c>
      <c r="M7" s="231" t="n">
        <f aca="false">L7+1</f>
        <v>9.66666666666667</v>
      </c>
      <c r="N7" s="231" t="n">
        <f aca="false">M7+1</f>
        <v>10.6666666666667</v>
      </c>
      <c r="O7" s="231" t="n">
        <f aca="false">N7+1</f>
        <v>11.6666666666667</v>
      </c>
      <c r="P7" s="231" t="n">
        <f aca="false">O7+1</f>
        <v>12.6666666666667</v>
      </c>
      <c r="Q7" s="231" t="n">
        <f aca="false">P7+1</f>
        <v>13.6666666666667</v>
      </c>
      <c r="R7" s="231" t="n">
        <f aca="false">Q7+1</f>
        <v>14.6666666666667</v>
      </c>
      <c r="S7" s="231" t="n">
        <f aca="false">R7+1</f>
        <v>15.6666666666667</v>
      </c>
      <c r="T7" s="231" t="n">
        <f aca="false">S7+1</f>
        <v>16.6666666666667</v>
      </c>
      <c r="U7" s="231" t="n">
        <f aca="false">T7+1</f>
        <v>17.6666666666667</v>
      </c>
      <c r="V7" s="231" t="n">
        <f aca="false">U7+1</f>
        <v>18.6666666666667</v>
      </c>
      <c r="W7" s="231" t="n">
        <f aca="false">V7+1</f>
        <v>19.6666666666667</v>
      </c>
      <c r="X7" s="231" t="n">
        <f aca="false">W7+1</f>
        <v>20.6666666666667</v>
      </c>
      <c r="Y7" s="231" t="n">
        <f aca="false">X7+1</f>
        <v>21.6666666666667</v>
      </c>
      <c r="Z7" s="231" t="n">
        <f aca="false">Y7+1</f>
        <v>22.6666666666667</v>
      </c>
      <c r="AA7" s="231" t="n">
        <f aca="false">Z7+1</f>
        <v>23.6666666666667</v>
      </c>
      <c r="AB7" s="231" t="n">
        <f aca="false">AA7+1</f>
        <v>24.6666666666667</v>
      </c>
      <c r="AC7" s="231" t="n">
        <f aca="false">AB7+1</f>
        <v>25.6666666666667</v>
      </c>
      <c r="AD7" s="231" t="n">
        <f aca="false">AC7+1</f>
        <v>26.6666666666667</v>
      </c>
      <c r="AE7" s="231" t="n">
        <f aca="false">AD7+1</f>
        <v>27.6666666666667</v>
      </c>
      <c r="AF7" s="231" t="n">
        <f aca="false">AE7+1</f>
        <v>28.6666666666667</v>
      </c>
      <c r="AG7" s="231" t="n">
        <f aca="false">AF7+1</f>
        <v>29.6666666666667</v>
      </c>
      <c r="AH7" s="231" t="n">
        <f aca="false">AG7+1</f>
        <v>30.6666666666667</v>
      </c>
    </row>
    <row r="8" customFormat="false" ht="16.5" hidden="false" customHeight="false" outlineLevel="0" collapsed="false">
      <c r="B8" s="232"/>
      <c r="C8" s="232"/>
      <c r="D8" s="233" t="n">
        <f aca="false">YEAR(Assumptions!H16)</f>
        <v>2001</v>
      </c>
      <c r="E8" s="233" t="n">
        <f aca="false">D8+1</f>
        <v>2002</v>
      </c>
      <c r="F8" s="233" t="n">
        <f aca="false">E8+1</f>
        <v>2003</v>
      </c>
      <c r="G8" s="233" t="n">
        <f aca="false">F8+1</f>
        <v>2004</v>
      </c>
      <c r="H8" s="233" t="n">
        <f aca="false">G8+1</f>
        <v>2005</v>
      </c>
      <c r="I8" s="233" t="n">
        <f aca="false">H8+1</f>
        <v>2006</v>
      </c>
      <c r="J8" s="233" t="n">
        <f aca="false">I8+1</f>
        <v>2007</v>
      </c>
      <c r="K8" s="233" t="n">
        <f aca="false">J8+1</f>
        <v>2008</v>
      </c>
      <c r="L8" s="233" t="n">
        <f aca="false">K8+1</f>
        <v>2009</v>
      </c>
      <c r="M8" s="233" t="n">
        <f aca="false">L8+1</f>
        <v>2010</v>
      </c>
      <c r="N8" s="233" t="n">
        <f aca="false">M8+1</f>
        <v>2011</v>
      </c>
      <c r="O8" s="233" t="n">
        <f aca="false">N8+1</f>
        <v>2012</v>
      </c>
      <c r="P8" s="233" t="n">
        <f aca="false">O8+1</f>
        <v>2013</v>
      </c>
      <c r="Q8" s="233" t="n">
        <f aca="false">P8+1</f>
        <v>2014</v>
      </c>
      <c r="R8" s="233" t="n">
        <f aca="false">Q8+1</f>
        <v>2015</v>
      </c>
      <c r="S8" s="233" t="n">
        <f aca="false">R8+1</f>
        <v>2016</v>
      </c>
      <c r="T8" s="233" t="n">
        <f aca="false">S8+1</f>
        <v>2017</v>
      </c>
      <c r="U8" s="233" t="n">
        <f aca="false">T8+1</f>
        <v>2018</v>
      </c>
      <c r="V8" s="233" t="n">
        <f aca="false">U8+1</f>
        <v>2019</v>
      </c>
      <c r="W8" s="233" t="n">
        <f aca="false">V8+1</f>
        <v>2020</v>
      </c>
      <c r="X8" s="233" t="n">
        <f aca="false">W8+1</f>
        <v>2021</v>
      </c>
      <c r="Y8" s="233" t="n">
        <f aca="false">X8+1</f>
        <v>2022</v>
      </c>
      <c r="Z8" s="233" t="n">
        <f aca="false">Y8+1</f>
        <v>2023</v>
      </c>
      <c r="AA8" s="233" t="n">
        <f aca="false">Z8+1</f>
        <v>2024</v>
      </c>
      <c r="AB8" s="233" t="n">
        <f aca="false">AA8+1</f>
        <v>2025</v>
      </c>
      <c r="AC8" s="233" t="n">
        <f aca="false">AB8+1</f>
        <v>2026</v>
      </c>
      <c r="AD8" s="233" t="n">
        <f aca="false">AC8+1</f>
        <v>2027</v>
      </c>
      <c r="AE8" s="233" t="n">
        <f aca="false">AD8+1</f>
        <v>2028</v>
      </c>
      <c r="AF8" s="233" t="n">
        <f aca="false">AE8+1</f>
        <v>2029</v>
      </c>
      <c r="AG8" s="233" t="n">
        <f aca="false">AF8+1</f>
        <v>2030</v>
      </c>
      <c r="AH8" s="233" t="n">
        <f aca="false">AG8+1</f>
        <v>2031</v>
      </c>
    </row>
    <row r="9" customFormat="false" ht="15.75" hidden="false" customHeight="false" outlineLevel="0" collapsed="false">
      <c r="B9" s="34"/>
      <c r="C9" s="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</row>
    <row r="10" customFormat="false" ht="19.5" hidden="false" customHeight="false" outlineLevel="0" collapsed="false">
      <c r="B10" s="235" t="s">
        <v>240</v>
      </c>
      <c r="C10" s="34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</row>
    <row r="11" customFormat="false" ht="19.5" hidden="false" customHeight="false" outlineLevel="0" collapsed="false">
      <c r="B11" s="235"/>
      <c r="C11" s="34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</row>
    <row r="12" customFormat="false" ht="15.75" hidden="false" customHeight="false" outlineLevel="0" collapsed="false">
      <c r="B12" s="34" t="s">
        <v>241</v>
      </c>
      <c r="C12" s="34"/>
      <c r="D12" s="237" t="n">
        <f aca="false">Assumptions!$H$53</f>
        <v>4.75</v>
      </c>
      <c r="E12" s="237" t="n">
        <f aca="false">Assumptions!$H$53</f>
        <v>4.75</v>
      </c>
      <c r="F12" s="237" t="n">
        <f aca="false">Assumptions!$H$53</f>
        <v>4.75</v>
      </c>
      <c r="G12" s="237" t="n">
        <f aca="false">Assumptions!$H$53</f>
        <v>4.75</v>
      </c>
      <c r="H12" s="237" t="n">
        <f aca="false">Assumptions!$H$53</f>
        <v>4.75</v>
      </c>
      <c r="I12" s="237" t="n">
        <f aca="false">Assumptions!$H$53</f>
        <v>4.75</v>
      </c>
      <c r="J12" s="237" t="n">
        <f aca="false">Assumptions!$H$53</f>
        <v>4.75</v>
      </c>
      <c r="K12" s="237" t="n">
        <f aca="false">Assumptions!$H$53</f>
        <v>4.75</v>
      </c>
      <c r="L12" s="237" t="n">
        <f aca="false">Assumptions!$H$53</f>
        <v>4.75</v>
      </c>
      <c r="M12" s="237" t="n">
        <f aca="false">Assumptions!$H$53</f>
        <v>4.75</v>
      </c>
      <c r="N12" s="237" t="n">
        <f aca="false">Assumptions!$H$53</f>
        <v>4.75</v>
      </c>
      <c r="O12" s="237" t="n">
        <f aca="false">Assumptions!$H$53</f>
        <v>4.75</v>
      </c>
      <c r="P12" s="237" t="n">
        <f aca="false">Assumptions!$H$53</f>
        <v>4.75</v>
      </c>
      <c r="Q12" s="237" t="n">
        <f aca="false">Assumptions!$H$53</f>
        <v>4.75</v>
      </c>
      <c r="R12" s="237" t="n">
        <f aca="false">Assumptions!$H$53</f>
        <v>4.75</v>
      </c>
      <c r="S12" s="237" t="n">
        <f aca="false">Assumptions!$H$53</f>
        <v>4.75</v>
      </c>
      <c r="T12" s="237" t="n">
        <f aca="false">Assumptions!$H$53</f>
        <v>4.75</v>
      </c>
      <c r="U12" s="237" t="n">
        <f aca="false">Assumptions!$H$53</f>
        <v>4.75</v>
      </c>
      <c r="V12" s="237" t="n">
        <f aca="false">Assumptions!$H$53</f>
        <v>4.75</v>
      </c>
      <c r="W12" s="237" t="n">
        <f aca="false">Assumptions!$H$53</f>
        <v>4.75</v>
      </c>
      <c r="X12" s="237" t="n">
        <f aca="false">Assumptions!$H$53</f>
        <v>4.75</v>
      </c>
      <c r="Y12" s="237" t="n">
        <f aca="false">Assumptions!$H$53</f>
        <v>4.75</v>
      </c>
      <c r="Z12" s="237" t="n">
        <f aca="false">Assumptions!$H$53</f>
        <v>4.75</v>
      </c>
      <c r="AA12" s="237" t="n">
        <f aca="false">Assumptions!$H$53</f>
        <v>4.75</v>
      </c>
      <c r="AB12" s="237" t="n">
        <f aca="false">Assumptions!$H$53</f>
        <v>4.75</v>
      </c>
      <c r="AC12" s="237" t="n">
        <f aca="false">Assumptions!$H$53</f>
        <v>4.75</v>
      </c>
      <c r="AD12" s="237" t="n">
        <f aca="false">Assumptions!$H$53</f>
        <v>4.75</v>
      </c>
      <c r="AE12" s="237" t="n">
        <f aca="false">Assumptions!$H$53</f>
        <v>4.75</v>
      </c>
      <c r="AF12" s="237" t="n">
        <f aca="false">Assumptions!$H$53</f>
        <v>4.75</v>
      </c>
      <c r="AG12" s="237" t="n">
        <f aca="false">Assumptions!$H$53</f>
        <v>4.75</v>
      </c>
      <c r="AH12" s="237" t="n">
        <f aca="false">Assumptions!$H$53</f>
        <v>4.75</v>
      </c>
    </row>
    <row r="13" customFormat="false" ht="15.75" hidden="false" customHeight="false" outlineLevel="0" collapsed="false">
      <c r="B13" s="213"/>
      <c r="C13" s="34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</row>
    <row r="14" customFormat="false" ht="15.75" hidden="false" customHeight="false" outlineLevel="0" collapsed="false">
      <c r="B14" s="213" t="s">
        <v>242</v>
      </c>
      <c r="C14" s="34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</row>
    <row r="15" customFormat="false" ht="15.75" hidden="false" customHeight="false" outlineLevel="0" collapsed="false">
      <c r="A15" s="34" t="n">
        <v>1</v>
      </c>
      <c r="B15" s="34" t="s">
        <v>243</v>
      </c>
      <c r="D15" s="238" t="n">
        <v>5.49333333333333</v>
      </c>
      <c r="E15" s="238" t="n">
        <v>5.65813333333333</v>
      </c>
      <c r="F15" s="238" t="n">
        <v>5.64575616666667</v>
      </c>
      <c r="G15" s="238" t="n">
        <v>5.72133645083333</v>
      </c>
      <c r="H15" s="238" t="n">
        <v>5.69976419864167</v>
      </c>
      <c r="I15" s="238" t="n">
        <v>5.77125276655683</v>
      </c>
      <c r="J15" s="238" t="n">
        <v>5.84190086076813</v>
      </c>
      <c r="K15" s="238" t="n">
        <v>5.91159371314221</v>
      </c>
      <c r="L15" s="238" t="n">
        <v>6.08894152453647</v>
      </c>
      <c r="M15" s="238" t="n">
        <v>6.15961673866056</v>
      </c>
      <c r="N15" s="238" t="n">
        <v>6.34440524082038</v>
      </c>
      <c r="O15" s="238" t="n">
        <v>6.4159239908078</v>
      </c>
      <c r="P15" s="238" t="n">
        <v>6.60840171053204</v>
      </c>
      <c r="Q15" s="238" t="n">
        <v>6.68060461811007</v>
      </c>
      <c r="R15" s="238" t="n">
        <v>6.75119213860331</v>
      </c>
      <c r="S15" s="238" t="n">
        <v>6.82000236616985</v>
      </c>
      <c r="T15" s="238" t="n">
        <v>6.88686513446563</v>
      </c>
      <c r="U15" s="238" t="n">
        <v>6.95160166672961</v>
      </c>
      <c r="V15" s="238" t="n">
        <v>7.0140242123084</v>
      </c>
      <c r="W15" s="238" t="n">
        <v>7.07393566912187</v>
      </c>
      <c r="X15" s="238" t="n">
        <v>7.13112919155307</v>
      </c>
      <c r="Y15" s="238" t="n">
        <v>7.18538778322793</v>
      </c>
      <c r="Z15" s="238" t="n">
        <v>7.23964637490278</v>
      </c>
      <c r="AA15" s="238" t="n">
        <v>7.29390496657765</v>
      </c>
      <c r="AB15" s="238" t="n">
        <v>7.34816355825251</v>
      </c>
      <c r="AC15" s="238" t="n">
        <v>7.40242214992737</v>
      </c>
      <c r="AD15" s="238" t="n">
        <v>7.45668074160222</v>
      </c>
      <c r="AE15" s="238" t="n">
        <v>7.51093933327709</v>
      </c>
      <c r="AF15" s="238" t="n">
        <v>7.56519792495195</v>
      </c>
      <c r="AG15" s="238" t="n">
        <v>7.61945651662681</v>
      </c>
      <c r="AH15" s="238" t="n">
        <v>7.67371510830167</v>
      </c>
    </row>
    <row r="16" customFormat="false" ht="15.75" hidden="false" customHeight="false" outlineLevel="0" collapsed="false">
      <c r="A16" s="34" t="n">
        <v>2</v>
      </c>
      <c r="B16" s="34" t="s">
        <v>244</v>
      </c>
      <c r="D16" s="238" t="n">
        <v>4.3775</v>
      </c>
      <c r="E16" s="238" t="n">
        <v>4.508825</v>
      </c>
      <c r="F16" s="238" t="n">
        <v>4.73515033333333</v>
      </c>
      <c r="G16" s="238" t="n">
        <v>4.87720484333333</v>
      </c>
      <c r="H16" s="238" t="n">
        <v>5.02352098863333</v>
      </c>
      <c r="I16" s="238" t="n">
        <v>5.17422661829233</v>
      </c>
      <c r="J16" s="238" t="n">
        <v>5.3294534168411</v>
      </c>
      <c r="K16" s="238" t="n">
        <v>5.2782086724484</v>
      </c>
      <c r="L16" s="238" t="n">
        <v>5.21909273531698</v>
      </c>
      <c r="M16" s="238" t="n">
        <v>5.03968642254046</v>
      </c>
      <c r="N16" s="238" t="n">
        <v>4.96017137009593</v>
      </c>
      <c r="O16" s="238" t="n">
        <v>4.87134969672444</v>
      </c>
      <c r="P16" s="238" t="n">
        <v>4.89511237817188</v>
      </c>
      <c r="Q16" s="238" t="n">
        <v>4.91591660577911</v>
      </c>
      <c r="R16" s="238" t="n">
        <v>4.80373286785236</v>
      </c>
      <c r="S16" s="238" t="n">
        <v>4.81411931729636</v>
      </c>
      <c r="T16" s="238" t="n">
        <v>4.82080559412594</v>
      </c>
      <c r="U16" s="238" t="n">
        <v>4.96542976194972</v>
      </c>
      <c r="V16" s="238" t="n">
        <v>5.11439265480821</v>
      </c>
      <c r="W16" s="238" t="n">
        <v>5.11731516489667</v>
      </c>
      <c r="X16" s="238" t="n">
        <v>5.27083461984357</v>
      </c>
      <c r="Y16" s="238" t="n">
        <v>5.42895965843888</v>
      </c>
      <c r="Z16" s="238" t="n">
        <v>5.58708469703418</v>
      </c>
      <c r="AA16" s="238" t="n">
        <v>5.74520973562949</v>
      </c>
      <c r="AB16" s="238" t="n">
        <v>5.9033347742248</v>
      </c>
      <c r="AC16" s="238" t="n">
        <v>6.06145981282011</v>
      </c>
      <c r="AD16" s="238" t="n">
        <v>6.21958485141541</v>
      </c>
      <c r="AE16" s="238" t="n">
        <v>6.37770989001072</v>
      </c>
      <c r="AF16" s="238" t="n">
        <v>6.53583492860603</v>
      </c>
      <c r="AG16" s="238" t="n">
        <v>6.69395996720133</v>
      </c>
      <c r="AH16" s="238" t="n">
        <v>6.85208500579664</v>
      </c>
    </row>
    <row r="17" customFormat="false" ht="15.75" hidden="false" customHeight="false" outlineLevel="0" collapsed="false">
      <c r="A17" s="34" t="n">
        <v>3</v>
      </c>
      <c r="B17" s="34" t="s">
        <v>77</v>
      </c>
      <c r="D17" s="237" t="n">
        <v>0</v>
      </c>
      <c r="E17" s="237" t="n">
        <v>0</v>
      </c>
      <c r="F17" s="237" t="n">
        <v>0</v>
      </c>
      <c r="G17" s="237" t="n">
        <v>0</v>
      </c>
      <c r="H17" s="237" t="n">
        <v>0</v>
      </c>
      <c r="I17" s="237" t="n">
        <v>0</v>
      </c>
      <c r="J17" s="237" t="n">
        <v>0</v>
      </c>
      <c r="K17" s="237" t="n">
        <v>0</v>
      </c>
      <c r="L17" s="237" t="n">
        <v>0</v>
      </c>
      <c r="M17" s="237" t="n">
        <v>0</v>
      </c>
      <c r="N17" s="237" t="n">
        <v>0</v>
      </c>
      <c r="O17" s="237" t="n">
        <v>0</v>
      </c>
      <c r="P17" s="237" t="n">
        <v>0</v>
      </c>
      <c r="Q17" s="237" t="n">
        <v>0</v>
      </c>
      <c r="R17" s="237" t="n">
        <v>0</v>
      </c>
      <c r="S17" s="237" t="n">
        <v>0</v>
      </c>
      <c r="T17" s="237" t="n">
        <v>0</v>
      </c>
      <c r="U17" s="237" t="n">
        <v>0</v>
      </c>
      <c r="V17" s="237" t="n">
        <v>0</v>
      </c>
      <c r="W17" s="237" t="n">
        <v>0</v>
      </c>
      <c r="X17" s="237" t="n">
        <v>0</v>
      </c>
      <c r="Y17" s="237" t="n">
        <v>0</v>
      </c>
      <c r="Z17" s="237" t="n">
        <v>0</v>
      </c>
      <c r="AA17" s="237" t="n">
        <v>0</v>
      </c>
      <c r="AB17" s="237" t="n">
        <v>0</v>
      </c>
      <c r="AC17" s="237" t="n">
        <v>0</v>
      </c>
      <c r="AD17" s="237" t="n">
        <v>0</v>
      </c>
      <c r="AE17" s="237" t="n">
        <v>0</v>
      </c>
      <c r="AF17" s="237" t="n">
        <v>0</v>
      </c>
      <c r="AG17" s="237" t="n">
        <v>0</v>
      </c>
      <c r="AH17" s="237" t="n">
        <v>0</v>
      </c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</row>
    <row r="18" customFormat="false" ht="15.75" hidden="false" customHeight="false" outlineLevel="0" collapsed="false">
      <c r="A18" s="34" t="n">
        <v>4</v>
      </c>
      <c r="B18" s="34" t="s">
        <v>101</v>
      </c>
      <c r="D18" s="240" t="n">
        <v>0</v>
      </c>
      <c r="E18" s="240" t="n">
        <v>0</v>
      </c>
      <c r="F18" s="240" t="n">
        <v>0</v>
      </c>
      <c r="G18" s="240" t="n">
        <v>0</v>
      </c>
      <c r="H18" s="240" t="n">
        <v>0</v>
      </c>
      <c r="I18" s="240" t="n">
        <v>0</v>
      </c>
      <c r="J18" s="240" t="n">
        <v>0</v>
      </c>
      <c r="K18" s="240" t="n">
        <v>0</v>
      </c>
      <c r="L18" s="240" t="n">
        <v>0</v>
      </c>
      <c r="M18" s="240" t="n">
        <v>0</v>
      </c>
      <c r="N18" s="240" t="n">
        <v>0</v>
      </c>
      <c r="O18" s="240" t="n">
        <v>0</v>
      </c>
      <c r="P18" s="240" t="n">
        <v>0</v>
      </c>
      <c r="Q18" s="240" t="n">
        <v>0</v>
      </c>
      <c r="R18" s="240" t="n">
        <v>0</v>
      </c>
      <c r="S18" s="240" t="n">
        <v>0</v>
      </c>
      <c r="T18" s="240" t="n">
        <v>0</v>
      </c>
      <c r="U18" s="240" t="n">
        <v>0</v>
      </c>
      <c r="V18" s="240" t="n">
        <v>0</v>
      </c>
      <c r="W18" s="240" t="n">
        <v>0</v>
      </c>
      <c r="X18" s="240" t="n">
        <v>0</v>
      </c>
      <c r="Y18" s="240" t="n">
        <v>0</v>
      </c>
      <c r="Z18" s="240" t="n">
        <v>0</v>
      </c>
      <c r="AA18" s="240" t="n">
        <v>0</v>
      </c>
      <c r="AB18" s="240" t="n">
        <v>0</v>
      </c>
      <c r="AC18" s="240" t="n">
        <v>0</v>
      </c>
      <c r="AD18" s="240" t="n">
        <v>0</v>
      </c>
      <c r="AE18" s="240" t="n">
        <v>0</v>
      </c>
      <c r="AF18" s="240" t="n">
        <v>0</v>
      </c>
      <c r="AG18" s="240" t="n">
        <v>0</v>
      </c>
      <c r="AH18" s="240" t="n">
        <v>0</v>
      </c>
    </row>
    <row r="19" customFormat="false" ht="15.75" hidden="false" customHeight="false" outlineLevel="0" collapsed="false">
      <c r="A19" s="241" t="n">
        <f aca="false">Assumptions!V13</f>
        <v>1</v>
      </c>
      <c r="B19" s="34" t="s">
        <v>245</v>
      </c>
      <c r="C19" s="242"/>
      <c r="D19" s="243" t="n">
        <f aca="false">CHOOSE($A$19,D15,D16,D17,D18)</f>
        <v>5.49333333333333</v>
      </c>
      <c r="E19" s="243" t="n">
        <f aca="false">CHOOSE($A$19,E15,E16,E17,E18)</f>
        <v>5.65813333333333</v>
      </c>
      <c r="F19" s="243" t="n">
        <f aca="false">CHOOSE($A$19,F15,F16,F17,F18)</f>
        <v>5.64575616666667</v>
      </c>
      <c r="G19" s="243" t="n">
        <f aca="false">CHOOSE($A$19,G15,G16,G17,G18)</f>
        <v>5.72133645083333</v>
      </c>
      <c r="H19" s="243" t="n">
        <f aca="false">CHOOSE($A$19,H15,H16,H17,H18)</f>
        <v>5.69976419864167</v>
      </c>
      <c r="I19" s="243" t="n">
        <f aca="false">CHOOSE($A$19,I15,I16,I17,I18)</f>
        <v>5.77125276655683</v>
      </c>
      <c r="J19" s="243" t="n">
        <f aca="false">CHOOSE($A$19,J15,J16,J17,J18)</f>
        <v>5.84190086076813</v>
      </c>
      <c r="K19" s="243" t="n">
        <f aca="false">CHOOSE($A$19,K15,K16,K17,K18)</f>
        <v>5.91159371314221</v>
      </c>
      <c r="L19" s="243" t="n">
        <f aca="false">CHOOSE($A$19,L15,L16,L17,L18)</f>
        <v>6.08894152453647</v>
      </c>
      <c r="M19" s="243" t="n">
        <f aca="false">CHOOSE($A$19,M15,M16,M17,M18)</f>
        <v>6.15961673866056</v>
      </c>
      <c r="N19" s="243" t="n">
        <f aca="false">CHOOSE($A$19,N15,N16,N17,N18)</f>
        <v>6.34440524082038</v>
      </c>
      <c r="O19" s="243" t="n">
        <f aca="false">CHOOSE($A$19,O15,O16,O17,O18)</f>
        <v>6.4159239908078</v>
      </c>
      <c r="P19" s="243" t="n">
        <f aca="false">CHOOSE($A$19,P15,P16,P17,P18)</f>
        <v>6.60840171053204</v>
      </c>
      <c r="Q19" s="243" t="n">
        <f aca="false">CHOOSE($A$19,Q15,Q16,Q17,Q18)</f>
        <v>6.68060461811007</v>
      </c>
      <c r="R19" s="243" t="n">
        <f aca="false">CHOOSE($A$19,R15,R16,R17,R18)</f>
        <v>6.75119213860331</v>
      </c>
      <c r="S19" s="243" t="n">
        <f aca="false">CHOOSE($A$19,S15,S16,S17,S18)</f>
        <v>6.82000236616985</v>
      </c>
      <c r="T19" s="243" t="n">
        <f aca="false">CHOOSE($A$19,T15,T16,T17,T18)</f>
        <v>6.88686513446563</v>
      </c>
      <c r="U19" s="243" t="n">
        <f aca="false">CHOOSE($A$19,U15,U16,U17,U18)</f>
        <v>6.95160166672961</v>
      </c>
      <c r="V19" s="243" t="n">
        <f aca="false">CHOOSE($A$19,V15,V16,V17,V18)</f>
        <v>7.0140242123084</v>
      </c>
      <c r="W19" s="243" t="n">
        <f aca="false">CHOOSE($A$19,W15,W16,W17,W18)</f>
        <v>7.07393566912187</v>
      </c>
      <c r="X19" s="243" t="n">
        <f aca="false">CHOOSE($A$19,X15,X16,X17,X18)</f>
        <v>7.13112919155307</v>
      </c>
      <c r="Y19" s="243" t="n">
        <f aca="false">CHOOSE($A$19,Y15,Y16,Y17,Y18)</f>
        <v>7.18538778322793</v>
      </c>
      <c r="Z19" s="243" t="n">
        <f aca="false">CHOOSE($A$19,Z15,Z16,Z17,Z18)</f>
        <v>7.23964637490278</v>
      </c>
      <c r="AA19" s="243" t="n">
        <f aca="false">CHOOSE($A$19,AA15,AA16,AA17,AA18)</f>
        <v>7.29390496657765</v>
      </c>
      <c r="AB19" s="243" t="n">
        <f aca="false">CHOOSE($A$19,AB15,AB16,AB17,AB18)</f>
        <v>7.34816355825251</v>
      </c>
      <c r="AC19" s="243" t="n">
        <f aca="false">CHOOSE($A$19,AC15,AC16,AC17,AC18)</f>
        <v>7.40242214992737</v>
      </c>
      <c r="AD19" s="243" t="n">
        <f aca="false">CHOOSE($A$19,AD15,AD16,AD17,AD18)</f>
        <v>7.45668074160222</v>
      </c>
      <c r="AE19" s="243" t="n">
        <f aca="false">CHOOSE($A$19,AE15,AE16,AE17,AE18)</f>
        <v>7.51093933327709</v>
      </c>
      <c r="AF19" s="243" t="n">
        <f aca="false">CHOOSE($A$19,AF15,AF16,AF17,AF18)</f>
        <v>7.56519792495195</v>
      </c>
      <c r="AG19" s="243" t="n">
        <f aca="false">CHOOSE($A$19,AG15,AG16,AG17,AG18)</f>
        <v>7.61945651662681</v>
      </c>
      <c r="AH19" s="243" t="n">
        <f aca="false">CHOOSE($A$19,AH15,AH16,AH17,AH18)</f>
        <v>7.67371510830167</v>
      </c>
    </row>
    <row r="20" customFormat="false" ht="15.75" hidden="false" customHeight="false" outlineLevel="0" collapsed="false">
      <c r="C20" s="242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5"/>
      <c r="Z20" s="246"/>
      <c r="AA20" s="246"/>
    </row>
    <row r="21" customFormat="false" ht="15.75" hidden="false" customHeight="false" outlineLevel="0" collapsed="false">
      <c r="B21" s="6" t="s">
        <v>246</v>
      </c>
      <c r="C21" s="242"/>
      <c r="D21" s="247" t="n">
        <f aca="false">IF(AND(C7&lt;$D$7+Assumptions!$H$52,D7&lt;$D$7+Assumptions!$H$52),D12,IF(AND(C7&lt;$D$7+Assumptions!$H$52,D7&gt;=$D$7+Assumptions!$H$52),D12*(1-$D$7)+D19*$D$7,D19))</f>
        <v>4.75</v>
      </c>
      <c r="E21" s="248" t="n">
        <f aca="false">IF(AND(D7&lt;$D$7+Assumptions!$H$52,E7&lt;$D$7+Assumptions!$H$52),E12,IF(AND(D7&lt;$D$7+Assumptions!$H$52,E7&gt;=$D$7+Assumptions!$H$52),E12*(1-$D$7)+E19*$D$7,E19))</f>
        <v>4.75</v>
      </c>
      <c r="F21" s="248" t="n">
        <f aca="false">IF(AND(E7&lt;$D$7+Assumptions!$H$52,F7&lt;$D$7+Assumptions!$H$52),F12,IF(AND(E7&lt;$D$7+Assumptions!$H$52,F7&gt;=$D$7+Assumptions!$H$52),F12*(1-$D$7)+F19*$D$7,F19))</f>
        <v>4.75</v>
      </c>
      <c r="G21" s="248" t="n">
        <f aca="false">IF(AND(F7&lt;$D$7+Assumptions!$H$52,G7&lt;$D$7+Assumptions!$H$52),G12,IF(AND(F7&lt;$D$7+Assumptions!$H$52,G7&gt;=$D$7+Assumptions!$H$52),G12*(1-$D$7)+G19*$D$7,G19))</f>
        <v>5.39755763388889</v>
      </c>
      <c r="H21" s="248" t="n">
        <f aca="false">IF(AND(G7&lt;$D$7+Assumptions!$H$52,H7&lt;$D$7+Assumptions!$H$52),H12,IF(AND(G7&lt;$D$7+Assumptions!$H$52,H7&gt;=$D$7+Assumptions!$H$52),H12*(1-$D$7)+H19*$D$7,H19))</f>
        <v>5.69976419864167</v>
      </c>
      <c r="I21" s="248" t="n">
        <f aca="false">IF(AND(H7&lt;$D$7+Assumptions!$H$52,I7&lt;$D$7+Assumptions!$H$52),I12,IF(AND(H7&lt;$D$7+Assumptions!$H$52,I7&gt;=$D$7+Assumptions!$H$52),I12*(1-$D$7)+I19*$D$7,I19))</f>
        <v>5.77125276655683</v>
      </c>
      <c r="J21" s="248" t="n">
        <f aca="false">IF(AND(I7&lt;$D$7+Assumptions!$H$52,J7&lt;$D$7+Assumptions!$H$52),J12,IF(AND(I7&lt;$D$7+Assumptions!$H$52,J7&gt;=$D$7+Assumptions!$H$52),J12*(1-$D$7)+J19*$D$7,J19))</f>
        <v>5.84190086076813</v>
      </c>
      <c r="K21" s="248" t="n">
        <f aca="false">IF(AND(J7&lt;$D$7+Assumptions!$H$52,K7&lt;$D$7+Assumptions!$H$52),K12,IF(AND(J7&lt;$D$7+Assumptions!$H$52,K7&gt;=$D$7+Assumptions!$H$52),K12*(1-$D$7)+K19*$D$7,K19))</f>
        <v>5.91159371314221</v>
      </c>
      <c r="L21" s="248" t="n">
        <f aca="false">IF(AND(K7&lt;$D$7+Assumptions!$H$52,L7&lt;$D$7+Assumptions!$H$52),L12,IF(AND(K7&lt;$D$7+Assumptions!$H$52,L7&gt;=$D$7+Assumptions!$H$52),L12*(1-$D$7)+L19*$D$7,L19))</f>
        <v>6.08894152453647</v>
      </c>
      <c r="M21" s="248" t="n">
        <f aca="false">IF(AND(L7&lt;$D$7+Assumptions!$H$52,M7&lt;$D$7+Assumptions!$H$52),M12,IF(AND(L7&lt;$D$7+Assumptions!$H$52,M7&gt;=$D$7+Assumptions!$H$52),M12*(1-$D$7)+M19*$D$7,M19))</f>
        <v>6.15961673866056</v>
      </c>
      <c r="N21" s="248" t="n">
        <f aca="false">IF(AND(M7&lt;$D$7+Assumptions!$H$52,N7&lt;$D$7+Assumptions!$H$52),N12,IF(AND(M7&lt;$D$7+Assumptions!$H$52,N7&gt;=$D$7+Assumptions!$H$52),N12*(1-$D$7)+N19*$D$7,N19))</f>
        <v>6.34440524082038</v>
      </c>
      <c r="O21" s="248" t="n">
        <f aca="false">IF(AND(N7&lt;$D$7+Assumptions!$H$52,O7&lt;$D$7+Assumptions!$H$52),O12,IF(AND(N7&lt;$D$7+Assumptions!$H$52,O7&gt;=$D$7+Assumptions!$H$52),O12*(1-$D$7)+O19*$D$7,O19))</f>
        <v>6.4159239908078</v>
      </c>
      <c r="P21" s="248" t="n">
        <f aca="false">IF(AND(O7&lt;$D$7+Assumptions!$H$52,P7&lt;$D$7+Assumptions!$H$52),P12,IF(AND(O7&lt;$D$7+Assumptions!$H$52,P7&gt;=$D$7+Assumptions!$H$52),P12*(1-$D$7)+P19*$D$7,P19))</f>
        <v>6.60840171053204</v>
      </c>
      <c r="Q21" s="249" t="n">
        <f aca="false">IF(AND(P7&lt;$D$7+Assumptions!$H$52,Q7&lt;$D$7+Assumptions!$H$52),Q12,IF(AND(P7&lt;$D$7+Assumptions!$H$52,Q7&gt;=$D$7+Assumptions!$H$52),Q12*(1-$D$7)+Q19*$D$7,Q19))</f>
        <v>6.68060461811007</v>
      </c>
      <c r="R21" s="248" t="n">
        <f aca="false">IF(AND(Q7&lt;$D$7+Assumptions!$H$52,R7&lt;$D$7+Assumptions!$H$52),R12,IF(AND(Q7&lt;$D$7+Assumptions!$H$52,R7&gt;=$D$7+Assumptions!$H$52),R12*(1-$D$7)+R19*$D$7,R19))</f>
        <v>6.75119213860331</v>
      </c>
      <c r="S21" s="248" t="n">
        <f aca="false">IF(AND(R7&lt;$D$7+Assumptions!$H$52,S7&lt;$D$7+Assumptions!$H$52),S12,IF(AND(R7&lt;$D$7+Assumptions!$H$52,S7&gt;=$D$7+Assumptions!$H$52),S12*(1-$D$7)+S19*$D$7,S19))</f>
        <v>6.82000236616985</v>
      </c>
      <c r="T21" s="248" t="n">
        <f aca="false">IF(AND(S7&lt;$D$7+Assumptions!$H$52,T7&lt;$D$7+Assumptions!$H$52),T12,IF(AND(S7&lt;$D$7+Assumptions!$H$52,T7&gt;=$D$7+Assumptions!$H$52),T12*(1-$D$7)+T19*$D$7,T19))</f>
        <v>6.88686513446563</v>
      </c>
      <c r="U21" s="248" t="n">
        <f aca="false">IF(AND(T7&lt;$D$7+Assumptions!$H$52,U7&lt;$D$7+Assumptions!$H$52),U12,IF(AND(T7&lt;$D$7+Assumptions!$H$52,U7&gt;=$D$7+Assumptions!$H$52),U12*(1-$D$7)+U19*$D$7,U19))</f>
        <v>6.95160166672961</v>
      </c>
      <c r="V21" s="248" t="n">
        <f aca="false">IF(AND(U7&lt;$D$7+Assumptions!$H$52,V7&lt;$D$7+Assumptions!$H$52),V12,IF(AND(U7&lt;$D$7+Assumptions!$H$52,V7&gt;=$D$7+Assumptions!$H$52),V12*(1-$D$7)+V19*$D$7,V19))</f>
        <v>7.0140242123084</v>
      </c>
      <c r="W21" s="248" t="n">
        <f aca="false">IF(AND(V7&lt;$D$7+Assumptions!$H$52,W7&lt;$D$7+Assumptions!$H$52),W12,IF(AND(V7&lt;$D$7+Assumptions!$H$52,W7&gt;=$D$7+Assumptions!$H$52),W12*(1-$D$7)+W19*$D$7,W19))</f>
        <v>7.07393566912187</v>
      </c>
      <c r="X21" s="248" t="n">
        <f aca="false">IF(AND(W7&lt;$D$7+Assumptions!$H$52,X7&lt;$D$7+Assumptions!$H$52),X12,IF(AND(W7&lt;$D$7+Assumptions!$H$52,X7&gt;=$D$7+Assumptions!$H$52),X12*(1-$D$7)+X19*$D$7,X19))</f>
        <v>7.13112919155307</v>
      </c>
      <c r="Y21" s="248" t="n">
        <f aca="false">IF(AND(X7&lt;$D$7+Assumptions!$H$52,Y7&lt;$D$7+Assumptions!$H$52),Y12,IF(AND(X7&lt;$D$7+Assumptions!$H$52,Y7&gt;=$D$7+Assumptions!$H$52),Y12*(1-$D$7)+Y19*$D$7,Y19))</f>
        <v>7.18538778322793</v>
      </c>
      <c r="Z21" s="248" t="n">
        <f aca="false">IF(AND(Y7&lt;$D$7+Assumptions!$H$52,Z7&lt;$D$7+Assumptions!$H$52),Z12,IF(AND(Y7&lt;$D$7+Assumptions!$H$52,Z7&gt;=$D$7+Assumptions!$H$52),Z12*(1-$D$7)+Z19*$D$7,Z19))</f>
        <v>7.23964637490278</v>
      </c>
      <c r="AA21" s="248" t="n">
        <f aca="false">IF(AND(Z7&lt;$D$7+Assumptions!$H$52,AA7&lt;$D$7+Assumptions!$H$52),AA12,IF(AND(Z7&lt;$D$7+Assumptions!$H$52,AA7&gt;=$D$7+Assumptions!$H$52),AA12*(1-$D$7)+AA19*$D$7,AA19))</f>
        <v>7.29390496657765</v>
      </c>
      <c r="AB21" s="248" t="n">
        <f aca="false">IF(AND(AA7&lt;$D$7+Assumptions!$H$52,AB7&lt;$D$7+Assumptions!$H$52),AB12,IF(AND(AA7&lt;$D$7+Assumptions!$H$52,AB7&gt;=$D$7+Assumptions!$H$52),AB12*(1-$D$7)+AB19*$D$7,AB19))</f>
        <v>7.34816355825251</v>
      </c>
      <c r="AC21" s="248" t="n">
        <f aca="false">IF(AND(AB7&lt;$D$7+Assumptions!$H$52,AC7&lt;$D$7+Assumptions!$H$52),AC12,IF(AND(AB7&lt;$D$7+Assumptions!$H$52,AC7&gt;=$D$7+Assumptions!$H$52),AC12*(1-$D$7)+AC19*$D$7,AC19))</f>
        <v>7.40242214992737</v>
      </c>
      <c r="AD21" s="248" t="n">
        <f aca="false">IF(AND(AC7&lt;$D$7+Assumptions!$H$52,AD7&lt;$D$7+Assumptions!$H$52),AD12,IF(AND(AC7&lt;$D$7+Assumptions!$H$52,AD7&gt;=$D$7+Assumptions!$H$52),AD12*(1-$D$7)+AD19*$D$7,AD19))</f>
        <v>7.45668074160222</v>
      </c>
      <c r="AE21" s="248" t="n">
        <f aca="false">IF(AND(AD7&lt;$D$7+Assumptions!$H$52,AE7&lt;$D$7+Assumptions!$H$52),AE12,IF(AND(AD7&lt;$D$7+Assumptions!$H$52,AE7&gt;=$D$7+Assumptions!$H$52),AE12*(1-$D$7)+AE19*$D$7,AE19))</f>
        <v>7.51093933327709</v>
      </c>
      <c r="AF21" s="248" t="n">
        <f aca="false">IF(AND(AE7&lt;$D$7+Assumptions!$H$52,AF7&lt;$D$7+Assumptions!$H$52),AF12,IF(AND(AE7&lt;$D$7+Assumptions!$H$52,AF7&gt;=$D$7+Assumptions!$H$52),AF12*(1-$D$7)+AF19*$D$7,AF19))</f>
        <v>7.56519792495195</v>
      </c>
      <c r="AG21" s="248" t="n">
        <f aca="false">IF(AND(AF7&lt;$D$7+Assumptions!$H$52,AG7&lt;$D$7+Assumptions!$H$52),AG12,IF(AND(AF7&lt;$D$7+Assumptions!$H$52,AG7&gt;=$D$7+Assumptions!$H$52),AG12*(1-$D$7)+AG19*$D$7,AG19))</f>
        <v>7.61945651662681</v>
      </c>
      <c r="AH21" s="249" t="n">
        <f aca="false">IF(AND(AG7&lt;$D$7+Assumptions!$H$52,AH7&lt;$D$7+Assumptions!$H$52),AH12,IF(AND(AG7&lt;$D$7+Assumptions!$H$52,AH7&gt;=$D$7+Assumptions!$H$52),AH12*(1-$D$7)+AH19*$D$7,AH19))</f>
        <v>7.67371510830167</v>
      </c>
    </row>
    <row r="22" customFormat="false" ht="15.75" hidden="false" customHeight="false" outlineLevel="0" collapsed="false">
      <c r="C22" s="242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5"/>
      <c r="Z22" s="246"/>
      <c r="AA22" s="246"/>
    </row>
    <row r="23" customFormat="false" ht="15.75" hidden="false" customHeight="false" outlineLevel="0" collapsed="false">
      <c r="B23" s="34"/>
      <c r="C23" s="24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customFormat="false" ht="19.5" hidden="false" customHeight="false" outlineLevel="0" collapsed="false">
      <c r="B24" s="235" t="s">
        <v>247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</row>
    <row r="25" customFormat="false" ht="15.75" hidden="false" customHeight="false" outlineLevel="0" collapsed="false">
      <c r="A25" s="34" t="n">
        <v>1</v>
      </c>
      <c r="B25" s="34" t="s">
        <v>248</v>
      </c>
      <c r="C25" s="250"/>
      <c r="D25" s="237" t="n">
        <v>2.2</v>
      </c>
      <c r="E25" s="237" t="n">
        <v>2.2</v>
      </c>
      <c r="F25" s="237" t="n">
        <v>2.2</v>
      </c>
      <c r="G25" s="237" t="n">
        <v>2.2</v>
      </c>
      <c r="H25" s="237" t="n">
        <v>2.2</v>
      </c>
      <c r="I25" s="237" t="n">
        <v>2.2</v>
      </c>
      <c r="J25" s="237" t="n">
        <v>2.2</v>
      </c>
      <c r="K25" s="237" t="n">
        <v>2.2</v>
      </c>
      <c r="L25" s="237" t="n">
        <v>2.2</v>
      </c>
      <c r="M25" s="237" t="n">
        <v>2.2</v>
      </c>
      <c r="N25" s="237" t="n">
        <v>2.2</v>
      </c>
      <c r="O25" s="237" t="n">
        <v>2.2</v>
      </c>
      <c r="P25" s="237" t="n">
        <v>2.2</v>
      </c>
      <c r="Q25" s="237" t="n">
        <v>2.2</v>
      </c>
      <c r="R25" s="237" t="n">
        <v>2.2</v>
      </c>
      <c r="S25" s="237" t="n">
        <v>2.2</v>
      </c>
      <c r="T25" s="237" t="n">
        <v>2.2</v>
      </c>
      <c r="U25" s="237" t="n">
        <v>2.2</v>
      </c>
      <c r="V25" s="237" t="n">
        <v>2.2</v>
      </c>
      <c r="W25" s="237" t="n">
        <v>2.2</v>
      </c>
      <c r="X25" s="237" t="n">
        <v>2.2</v>
      </c>
      <c r="Y25" s="237" t="n">
        <v>2.2</v>
      </c>
      <c r="Z25" s="237" t="n">
        <v>2.2</v>
      </c>
      <c r="AA25" s="237" t="n">
        <v>2.2</v>
      </c>
      <c r="AB25" s="237" t="n">
        <v>2.2</v>
      </c>
      <c r="AC25" s="237" t="n">
        <v>2.2</v>
      </c>
      <c r="AD25" s="237" t="n">
        <v>2.2</v>
      </c>
      <c r="AE25" s="237" t="n">
        <v>2.2</v>
      </c>
      <c r="AF25" s="237" t="n">
        <v>2.2</v>
      </c>
      <c r="AG25" s="237" t="n">
        <v>2.2</v>
      </c>
      <c r="AH25" s="237" t="n">
        <v>2.2</v>
      </c>
    </row>
    <row r="26" customFormat="false" ht="15.75" hidden="false" customHeight="false" outlineLevel="0" collapsed="false">
      <c r="A26" s="34" t="n">
        <v>2</v>
      </c>
      <c r="B26" s="34" t="s">
        <v>249</v>
      </c>
      <c r="C26" s="34"/>
      <c r="D26" s="237" t="n">
        <v>2.5</v>
      </c>
      <c r="E26" s="237" t="n">
        <v>2.5</v>
      </c>
      <c r="F26" s="237" t="n">
        <v>2.5</v>
      </c>
      <c r="G26" s="237" t="n">
        <v>2.5</v>
      </c>
      <c r="H26" s="237" t="n">
        <v>2.5</v>
      </c>
      <c r="I26" s="237" t="n">
        <v>2.5</v>
      </c>
      <c r="J26" s="237" t="n">
        <v>2.5</v>
      </c>
      <c r="K26" s="237" t="n">
        <v>2.5</v>
      </c>
      <c r="L26" s="237" t="n">
        <v>2.5</v>
      </c>
      <c r="M26" s="237" t="n">
        <v>2.5</v>
      </c>
      <c r="N26" s="237" t="n">
        <v>2.5</v>
      </c>
      <c r="O26" s="237" t="n">
        <v>2.5</v>
      </c>
      <c r="P26" s="237" t="n">
        <v>2.5</v>
      </c>
      <c r="Q26" s="237" t="n">
        <v>2.5</v>
      </c>
      <c r="R26" s="237" t="n">
        <v>2.5</v>
      </c>
      <c r="S26" s="237" t="n">
        <v>2.5</v>
      </c>
      <c r="T26" s="237" t="n">
        <v>2.5</v>
      </c>
      <c r="U26" s="237" t="n">
        <v>2.5</v>
      </c>
      <c r="V26" s="237" t="n">
        <v>2.5</v>
      </c>
      <c r="W26" s="237" t="n">
        <v>2.5</v>
      </c>
      <c r="X26" s="237" t="n">
        <v>2.5</v>
      </c>
      <c r="Y26" s="237" t="n">
        <v>2.5</v>
      </c>
      <c r="Z26" s="237" t="n">
        <v>2.5</v>
      </c>
      <c r="AA26" s="237" t="n">
        <v>2.5</v>
      </c>
      <c r="AB26" s="237" t="n">
        <v>2.5</v>
      </c>
      <c r="AC26" s="237" t="n">
        <v>2.5</v>
      </c>
      <c r="AD26" s="237" t="n">
        <v>2.5</v>
      </c>
      <c r="AE26" s="237" t="n">
        <v>2.5</v>
      </c>
      <c r="AF26" s="237" t="n">
        <v>2.5</v>
      </c>
      <c r="AG26" s="237" t="n">
        <v>2.5</v>
      </c>
      <c r="AH26" s="237" t="n">
        <v>2.5</v>
      </c>
    </row>
    <row r="27" customFormat="false" ht="15.75" hidden="false" customHeight="false" outlineLevel="0" collapsed="false">
      <c r="A27" s="34" t="n">
        <v>3</v>
      </c>
      <c r="B27" s="34" t="s">
        <v>250</v>
      </c>
      <c r="C27" s="34"/>
      <c r="D27" s="133" t="n">
        <v>1.5</v>
      </c>
      <c r="E27" s="133" t="n">
        <v>1.5</v>
      </c>
      <c r="F27" s="133" t="n">
        <v>1.5</v>
      </c>
      <c r="G27" s="133" t="n">
        <v>1.5</v>
      </c>
      <c r="H27" s="133" t="n">
        <v>1.5</v>
      </c>
      <c r="I27" s="133" t="n">
        <v>1.5</v>
      </c>
      <c r="J27" s="133" t="n">
        <v>1.5</v>
      </c>
      <c r="K27" s="133" t="n">
        <v>1.5</v>
      </c>
      <c r="L27" s="133" t="n">
        <v>1.5</v>
      </c>
      <c r="M27" s="133" t="n">
        <v>1.5</v>
      </c>
      <c r="N27" s="133" t="n">
        <v>1.5</v>
      </c>
      <c r="O27" s="133" t="n">
        <v>1.5</v>
      </c>
      <c r="P27" s="133" t="n">
        <v>1.5</v>
      </c>
      <c r="Q27" s="133" t="n">
        <v>1.5</v>
      </c>
      <c r="R27" s="133" t="n">
        <v>1.5</v>
      </c>
      <c r="S27" s="133" t="n">
        <v>1.5</v>
      </c>
      <c r="T27" s="133" t="n">
        <v>1.5</v>
      </c>
      <c r="U27" s="133" t="n">
        <v>1.5</v>
      </c>
      <c r="V27" s="133" t="n">
        <v>1.5</v>
      </c>
      <c r="W27" s="133" t="n">
        <v>1.5</v>
      </c>
      <c r="X27" s="133" t="n">
        <v>1.5</v>
      </c>
      <c r="Y27" s="133" t="n">
        <v>1.5</v>
      </c>
      <c r="Z27" s="133" t="n">
        <v>1.5</v>
      </c>
      <c r="AA27" s="133" t="n">
        <v>1.5</v>
      </c>
      <c r="AB27" s="133" t="n">
        <v>1.5</v>
      </c>
      <c r="AC27" s="133" t="n">
        <v>1.5</v>
      </c>
      <c r="AD27" s="133" t="n">
        <v>1.5</v>
      </c>
      <c r="AE27" s="133" t="n">
        <v>1.5</v>
      </c>
      <c r="AF27" s="133" t="n">
        <v>1.5</v>
      </c>
      <c r="AG27" s="133" t="n">
        <v>1.5</v>
      </c>
      <c r="AH27" s="133" t="n">
        <v>1.5</v>
      </c>
    </row>
    <row r="28" customFormat="false" ht="15.75" hidden="false" customHeight="false" outlineLevel="0" collapsed="false">
      <c r="B28" s="34" t="s">
        <v>251</v>
      </c>
      <c r="C28" s="34"/>
      <c r="D28" s="251" t="n">
        <f aca="false">Assumptions!$N$63</f>
        <v>0.015</v>
      </c>
      <c r="E28" s="251" t="n">
        <f aca="false">Assumptions!$N$63</f>
        <v>0.015</v>
      </c>
      <c r="F28" s="251" t="n">
        <f aca="false">Assumptions!$N$63</f>
        <v>0.015</v>
      </c>
      <c r="G28" s="251" t="n">
        <f aca="false">Assumptions!$N$63</f>
        <v>0.015</v>
      </c>
      <c r="H28" s="251" t="n">
        <f aca="false">Assumptions!$N$63</f>
        <v>0.015</v>
      </c>
      <c r="I28" s="251" t="n">
        <f aca="false">Assumptions!$N$63</f>
        <v>0.015</v>
      </c>
      <c r="J28" s="251" t="n">
        <f aca="false">Assumptions!$N$63</f>
        <v>0.015</v>
      </c>
      <c r="K28" s="251" t="n">
        <f aca="false">Assumptions!$N$63</f>
        <v>0.015</v>
      </c>
      <c r="L28" s="251" t="n">
        <f aca="false">Assumptions!$N$63</f>
        <v>0.015</v>
      </c>
      <c r="M28" s="251" t="n">
        <f aca="false">Assumptions!$N$63</f>
        <v>0.015</v>
      </c>
      <c r="N28" s="251" t="n">
        <f aca="false">Assumptions!$N$63</f>
        <v>0.015</v>
      </c>
      <c r="O28" s="251" t="n">
        <f aca="false">Assumptions!$N$63</f>
        <v>0.015</v>
      </c>
      <c r="P28" s="251" t="n">
        <f aca="false">Assumptions!$N$63</f>
        <v>0.015</v>
      </c>
      <c r="Q28" s="251" t="n">
        <f aca="false">Assumptions!$N$63</f>
        <v>0.015</v>
      </c>
      <c r="R28" s="251" t="n">
        <f aca="false">Assumptions!$N$63</f>
        <v>0.015</v>
      </c>
      <c r="S28" s="251" t="n">
        <f aca="false">Assumptions!$N$63</f>
        <v>0.015</v>
      </c>
      <c r="T28" s="251" t="n">
        <f aca="false">Assumptions!$N$63</f>
        <v>0.015</v>
      </c>
      <c r="U28" s="251" t="n">
        <f aca="false">Assumptions!$N$63</f>
        <v>0.015</v>
      </c>
      <c r="V28" s="251" t="n">
        <f aca="false">Assumptions!$N$63</f>
        <v>0.015</v>
      </c>
      <c r="W28" s="251" t="n">
        <f aca="false">Assumptions!$N$63</f>
        <v>0.015</v>
      </c>
      <c r="X28" s="251" t="n">
        <f aca="false">Assumptions!$N$63</f>
        <v>0.015</v>
      </c>
      <c r="Y28" s="251" t="n">
        <f aca="false">Assumptions!$N$63</f>
        <v>0.015</v>
      </c>
      <c r="Z28" s="251" t="n">
        <f aca="false">Assumptions!$N$63</f>
        <v>0.015</v>
      </c>
      <c r="AA28" s="251" t="n">
        <f aca="false">Assumptions!$N$63</f>
        <v>0.015</v>
      </c>
      <c r="AB28" s="251" t="n">
        <f aca="false">Assumptions!$N$63</f>
        <v>0.015</v>
      </c>
      <c r="AC28" s="251" t="n">
        <f aca="false">Assumptions!$N$63</f>
        <v>0.015</v>
      </c>
      <c r="AD28" s="251" t="n">
        <f aca="false">Assumptions!$N$63</f>
        <v>0.015</v>
      </c>
      <c r="AE28" s="251" t="n">
        <f aca="false">Assumptions!$N$63</f>
        <v>0.015</v>
      </c>
      <c r="AF28" s="251" t="n">
        <f aca="false">Assumptions!$N$63</f>
        <v>0.015</v>
      </c>
      <c r="AG28" s="251" t="n">
        <f aca="false">Assumptions!$N$63</f>
        <v>0.015</v>
      </c>
      <c r="AH28" s="251" t="n">
        <f aca="false">Assumptions!$N$63</f>
        <v>0.015</v>
      </c>
    </row>
    <row r="29" customFormat="false" ht="15.75" hidden="false" customHeight="false" outlineLevel="0" collapsed="false">
      <c r="B29" s="34"/>
      <c r="C29" s="34"/>
    </row>
    <row r="30" customFormat="false" ht="15.75" hidden="false" customHeight="false" outlineLevel="0" collapsed="false">
      <c r="A30" s="241" t="n">
        <v>1</v>
      </c>
      <c r="B30" s="252" t="s">
        <v>252</v>
      </c>
      <c r="D30" s="253" t="n">
        <f aca="false">IF(Assumptions!$U$14="Index",'Price Assumption'!D25*(1+'Price Assumption'!D28),IF(Assumptions!$U$14="Fixed",'Price Assumption'!D26*(1+'Price Assumption'!D28),'Price Assumption'!D27*(1+'Price Assumption'!D28)))</f>
        <v>1.5225</v>
      </c>
      <c r="E30" s="254" t="n">
        <f aca="false">IF(Assumptions!$U$14="Index",'Price Assumption'!E25*(1+'Price Assumption'!E28),IF(Assumptions!$U$14="Fixed",'Price Assumption'!E26*(1+'Price Assumption'!E28),'Price Assumption'!E27*(1+'Price Assumption'!E28)))</f>
        <v>1.5225</v>
      </c>
      <c r="F30" s="254" t="n">
        <f aca="false">IF(Assumptions!$U$14="Index",'Price Assumption'!F25*(1+'Price Assumption'!F28),IF(Assumptions!$U$14="Fixed",'Price Assumption'!F26*(1+'Price Assumption'!F28),'Price Assumption'!F27*(1+'Price Assumption'!F28)))</f>
        <v>1.5225</v>
      </c>
      <c r="G30" s="254" t="n">
        <f aca="false">IF(Assumptions!$U$14="Index",'Price Assumption'!G25*(1+'Price Assumption'!G28),IF(Assumptions!$U$14="Fixed",'Price Assumption'!G26*(1+'Price Assumption'!G28),'Price Assumption'!G27*(1+'Price Assumption'!G28)))</f>
        <v>1.5225</v>
      </c>
      <c r="H30" s="254" t="n">
        <f aca="false">IF(Assumptions!$U$14="Index",'Price Assumption'!H25*(1+'Price Assumption'!H28),IF(Assumptions!$U$14="Fixed",'Price Assumption'!H26*(1+'Price Assumption'!H28),'Price Assumption'!H27*(1+'Price Assumption'!H28)))</f>
        <v>1.5225</v>
      </c>
      <c r="I30" s="254" t="n">
        <f aca="false">IF(Assumptions!$U$14="Index",'Price Assumption'!I25*(1+'Price Assumption'!I28),IF(Assumptions!$U$14="Fixed",'Price Assumption'!I26*(1+'Price Assumption'!I28),'Price Assumption'!I27*(1+'Price Assumption'!I28)))</f>
        <v>1.5225</v>
      </c>
      <c r="J30" s="254" t="n">
        <f aca="false">IF(Assumptions!$U$14="Index",'Price Assumption'!J25*(1+'Price Assumption'!J28),IF(Assumptions!$U$14="Fixed",'Price Assumption'!J26*(1+'Price Assumption'!J28),'Price Assumption'!J27*(1+'Price Assumption'!J28)))</f>
        <v>1.5225</v>
      </c>
      <c r="K30" s="254" t="n">
        <f aca="false">IF(Assumptions!$U$14="Index",'Price Assumption'!K25*(1+'Price Assumption'!K28),IF(Assumptions!$U$14="Fixed",'Price Assumption'!K26*(1+'Price Assumption'!K28),'Price Assumption'!K27*(1+'Price Assumption'!K28)))</f>
        <v>1.5225</v>
      </c>
      <c r="L30" s="254" t="n">
        <f aca="false">IF(Assumptions!$U$14="Index",'Price Assumption'!L25*(1+'Price Assumption'!L28),IF(Assumptions!$U$14="Fixed",'Price Assumption'!L26*(1+'Price Assumption'!L28),'Price Assumption'!L27*(1+'Price Assumption'!L28)))</f>
        <v>1.5225</v>
      </c>
      <c r="M30" s="254" t="n">
        <f aca="false">IF(Assumptions!$U$14="Index",'Price Assumption'!M25*(1+'Price Assumption'!M28),IF(Assumptions!$U$14="Fixed",'Price Assumption'!M26*(1+'Price Assumption'!M28),'Price Assumption'!M27*(1+'Price Assumption'!M28)))</f>
        <v>1.5225</v>
      </c>
      <c r="N30" s="254" t="n">
        <f aca="false">IF(Assumptions!$U$14="Index",'Price Assumption'!N25*(1+'Price Assumption'!N28),IF(Assumptions!$U$14="Fixed",'Price Assumption'!N26*(1+'Price Assumption'!N28),'Price Assumption'!N27*(1+'Price Assumption'!N28)))</f>
        <v>1.5225</v>
      </c>
      <c r="O30" s="254" t="n">
        <f aca="false">IF(Assumptions!$U$14="Index",'Price Assumption'!O25*(1+'Price Assumption'!O28),IF(Assumptions!$U$14="Fixed",'Price Assumption'!O26*(1+'Price Assumption'!O28),'Price Assumption'!O27*(1+'Price Assumption'!O28)))</f>
        <v>1.5225</v>
      </c>
      <c r="P30" s="254" t="n">
        <f aca="false">IF(Assumptions!$U$14="Index",'Price Assumption'!P25*(1+'Price Assumption'!P28),IF(Assumptions!$U$14="Fixed",'Price Assumption'!P26*(1+'Price Assumption'!P28),'Price Assumption'!P27*(1+'Price Assumption'!P28)))</f>
        <v>1.5225</v>
      </c>
      <c r="Q30" s="255" t="n">
        <f aca="false">IF(Assumptions!$U$14="Index",'Price Assumption'!Q25*(1+'Price Assumption'!Q28),IF(Assumptions!$U$14="Fixed",'Price Assumption'!Q26*(1+'Price Assumption'!Q28),'Price Assumption'!Q27*(1+'Price Assumption'!Q28)))</f>
        <v>1.5225</v>
      </c>
      <c r="R30" s="254" t="n">
        <f aca="false">IF(Assumptions!$U$14="Index",'Price Assumption'!R25*(1+'Price Assumption'!R28),IF(Assumptions!$U$14="Fixed",'Price Assumption'!R26*(1+'Price Assumption'!R28),'Price Assumption'!R27*(1+'Price Assumption'!R28)))</f>
        <v>1.5225</v>
      </c>
      <c r="S30" s="254" t="n">
        <f aca="false">IF(Assumptions!$U$14="Index",'Price Assumption'!S25*(1+'Price Assumption'!S28),IF(Assumptions!$U$14="Fixed",'Price Assumption'!S26*(1+'Price Assumption'!S28),'Price Assumption'!S27*(1+'Price Assumption'!S28)))</f>
        <v>1.5225</v>
      </c>
      <c r="T30" s="254" t="n">
        <f aca="false">IF(Assumptions!$U$14="Index",'Price Assumption'!T25*(1+'Price Assumption'!T28),IF(Assumptions!$U$14="Fixed",'Price Assumption'!T26*(1+'Price Assumption'!T28),'Price Assumption'!T27*(1+'Price Assumption'!T28)))</f>
        <v>1.5225</v>
      </c>
      <c r="U30" s="254" t="n">
        <f aca="false">IF(Assumptions!$U$14="Index",'Price Assumption'!U25*(1+'Price Assumption'!U28),IF(Assumptions!$U$14="Fixed",'Price Assumption'!U26*(1+'Price Assumption'!U28),'Price Assumption'!U27*(1+'Price Assumption'!U28)))</f>
        <v>1.5225</v>
      </c>
      <c r="V30" s="254" t="n">
        <f aca="false">IF(Assumptions!$U$14="Index",'Price Assumption'!V25*(1+'Price Assumption'!V28),IF(Assumptions!$U$14="Fixed",'Price Assumption'!V26*(1+'Price Assumption'!V28),'Price Assumption'!V27*(1+'Price Assumption'!V28)))</f>
        <v>1.5225</v>
      </c>
      <c r="W30" s="254" t="n">
        <f aca="false">IF(Assumptions!$U$14="Index",'Price Assumption'!W25*(1+'Price Assumption'!W28),IF(Assumptions!$U$14="Fixed",'Price Assumption'!W26*(1+'Price Assumption'!W28),'Price Assumption'!W27*(1+'Price Assumption'!W28)))</f>
        <v>1.5225</v>
      </c>
      <c r="X30" s="254" t="n">
        <f aca="false">IF(Assumptions!$U$14="Index",'Price Assumption'!X25*(1+'Price Assumption'!X28),IF(Assumptions!$U$14="Fixed",'Price Assumption'!X26*(1+'Price Assumption'!X28),'Price Assumption'!X27*(1+'Price Assumption'!X28)))</f>
        <v>1.5225</v>
      </c>
      <c r="Y30" s="254" t="n">
        <f aca="false">IF(Assumptions!$U$14="Index",'Price Assumption'!Y25*(1+'Price Assumption'!Y28),IF(Assumptions!$U$14="Fixed",'Price Assumption'!Y26*(1+'Price Assumption'!Y28),'Price Assumption'!Y27*(1+'Price Assumption'!Y28)))</f>
        <v>1.5225</v>
      </c>
      <c r="Z30" s="254" t="n">
        <f aca="false">IF(Assumptions!$U$14="Index",'Price Assumption'!Z25*(1+'Price Assumption'!Z28),IF(Assumptions!$U$14="Fixed",'Price Assumption'!Z26*(1+'Price Assumption'!Z28),'Price Assumption'!Z27*(1+'Price Assumption'!Z28)))</f>
        <v>1.5225</v>
      </c>
      <c r="AA30" s="254" t="n">
        <f aca="false">IF(Assumptions!$U$14="Index",'Price Assumption'!AA25*(1+'Price Assumption'!AA28),IF(Assumptions!$U$14="Fixed",'Price Assumption'!AA26*(1+'Price Assumption'!AA28),'Price Assumption'!AA27*(1+'Price Assumption'!AA28)))</f>
        <v>1.5225</v>
      </c>
      <c r="AB30" s="254" t="n">
        <f aca="false">IF(Assumptions!$U$14="Index",'Price Assumption'!AB25*(1+'Price Assumption'!AB28),IF(Assumptions!$U$14="Fixed",'Price Assumption'!AB26*(1+'Price Assumption'!AB28),'Price Assumption'!AB27*(1+'Price Assumption'!AB28)))</f>
        <v>1.5225</v>
      </c>
      <c r="AC30" s="254" t="n">
        <f aca="false">IF(Assumptions!$U$14="Index",'Price Assumption'!AC25*(1+'Price Assumption'!AC28),IF(Assumptions!$U$14="Fixed",'Price Assumption'!AC26*(1+'Price Assumption'!AC28),'Price Assumption'!AC27*(1+'Price Assumption'!AC28)))</f>
        <v>1.5225</v>
      </c>
      <c r="AD30" s="254" t="n">
        <f aca="false">IF(Assumptions!$U$14="Index",'Price Assumption'!AD25*(1+'Price Assumption'!AD28),IF(Assumptions!$U$14="Fixed",'Price Assumption'!AD26*(1+'Price Assumption'!AD28),'Price Assumption'!AD27*(1+'Price Assumption'!AD28)))</f>
        <v>1.5225</v>
      </c>
      <c r="AE30" s="254" t="n">
        <f aca="false">IF(Assumptions!$U$14="Index",'Price Assumption'!AE25*(1+'Price Assumption'!AE28),IF(Assumptions!$U$14="Fixed",'Price Assumption'!AE26*(1+'Price Assumption'!AE28),'Price Assumption'!AE27*(1+'Price Assumption'!AE28)))</f>
        <v>1.5225</v>
      </c>
      <c r="AF30" s="254" t="n">
        <f aca="false">IF(Assumptions!$U$14="Index",'Price Assumption'!AF25*(1+'Price Assumption'!AF28),IF(Assumptions!$U$14="Fixed",'Price Assumption'!AF26*(1+'Price Assumption'!AF28),'Price Assumption'!AF27*(1+'Price Assumption'!AF28)))</f>
        <v>1.5225</v>
      </c>
      <c r="AG30" s="254" t="n">
        <f aca="false">IF(Assumptions!$U$14="Index",'Price Assumption'!AG25*(1+'Price Assumption'!AG28),IF(Assumptions!$U$14="Fixed",'Price Assumption'!AG26*(1+'Price Assumption'!AG28),'Price Assumption'!AG27*(1+'Price Assumption'!AG28)))</f>
        <v>1.5225</v>
      </c>
      <c r="AH30" s="255" t="n">
        <f aca="false">IF(Assumptions!$U$14="Index",'Price Assumption'!AH25*(1+'Price Assumption'!AH28),IF(Assumptions!$U$14="Fixed",'Price Assumption'!AH26*(1+'Price Assumption'!AH28),'Price Assumption'!AH27*(1+'Price Assumption'!AH28)))</f>
        <v>1.5225</v>
      </c>
    </row>
    <row r="33" customFormat="false" ht="19.5" hidden="false" customHeight="false" outlineLevel="0" collapsed="false">
      <c r="B33" s="235" t="s">
        <v>253</v>
      </c>
      <c r="C33" s="34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</row>
    <row r="34" customFormat="false" ht="15.75" hidden="false" customHeight="false" outlineLevel="0" collapsed="false">
      <c r="A34" s="34"/>
      <c r="B34" s="34" t="s">
        <v>254</v>
      </c>
      <c r="D34" s="239" t="n">
        <f aca="false">Assumptions!$H$14*'Price Assumption'!D30/1000</f>
        <v>15.7130471687168</v>
      </c>
      <c r="E34" s="239" t="n">
        <f aca="false">Assumptions!$H$14*'Price Assumption'!E30/1000</f>
        <v>15.7130471687168</v>
      </c>
      <c r="F34" s="239" t="n">
        <f aca="false">Assumptions!$H$14*'Price Assumption'!F30/1000</f>
        <v>15.7130471687168</v>
      </c>
      <c r="G34" s="239" t="n">
        <f aca="false">Assumptions!$H$14*'Price Assumption'!G30/1000</f>
        <v>15.7130471687168</v>
      </c>
      <c r="H34" s="239" t="n">
        <f aca="false">Assumptions!$H$14*'Price Assumption'!H30/1000</f>
        <v>15.7130471687168</v>
      </c>
      <c r="I34" s="239" t="n">
        <f aca="false">Assumptions!$H$14*'Price Assumption'!I30/1000</f>
        <v>15.7130471687168</v>
      </c>
      <c r="J34" s="239" t="n">
        <f aca="false">Assumptions!$H$14*'Price Assumption'!J30/1000</f>
        <v>15.7130471687168</v>
      </c>
      <c r="K34" s="239" t="n">
        <f aca="false">Assumptions!$H$14*'Price Assumption'!K30/1000</f>
        <v>15.7130471687168</v>
      </c>
      <c r="L34" s="239" t="n">
        <f aca="false">Assumptions!$H$14*'Price Assumption'!L30/1000</f>
        <v>15.7130471687168</v>
      </c>
      <c r="M34" s="239" t="n">
        <f aca="false">Assumptions!$H$14*'Price Assumption'!M30/1000</f>
        <v>15.7130471687168</v>
      </c>
      <c r="N34" s="239" t="n">
        <f aca="false">Assumptions!$H$14*'Price Assumption'!N30/1000</f>
        <v>15.7130471687168</v>
      </c>
      <c r="O34" s="239" t="n">
        <f aca="false">Assumptions!$H$14*'Price Assumption'!O30/1000</f>
        <v>15.7130471687168</v>
      </c>
      <c r="P34" s="239" t="n">
        <f aca="false">Assumptions!$H$14*'Price Assumption'!P30/1000</f>
        <v>15.7130471687168</v>
      </c>
      <c r="Q34" s="239" t="n">
        <f aca="false">Assumptions!$H$14*'Price Assumption'!Q30/1000</f>
        <v>15.7130471687168</v>
      </c>
      <c r="R34" s="239" t="n">
        <f aca="false">Assumptions!$H$14*'Price Assumption'!R30/1000</f>
        <v>15.7130471687168</v>
      </c>
      <c r="S34" s="239" t="n">
        <f aca="false">Assumptions!$H$14*'Price Assumption'!S30/1000</f>
        <v>15.7130471687168</v>
      </c>
      <c r="T34" s="239" t="n">
        <f aca="false">Assumptions!$H$14*'Price Assumption'!T30/1000</f>
        <v>15.7130471687168</v>
      </c>
      <c r="U34" s="239" t="n">
        <f aca="false">Assumptions!$H$14*'Price Assumption'!U30/1000</f>
        <v>15.7130471687168</v>
      </c>
      <c r="V34" s="239" t="n">
        <f aca="false">Assumptions!$H$14*'Price Assumption'!V30/1000</f>
        <v>15.7130471687168</v>
      </c>
      <c r="W34" s="239" t="n">
        <f aca="false">Assumptions!$H$14*'Price Assumption'!W30/1000</f>
        <v>15.7130471687168</v>
      </c>
      <c r="X34" s="239" t="n">
        <f aca="false">Assumptions!$H$14*'Price Assumption'!X30/1000</f>
        <v>15.7130471687168</v>
      </c>
      <c r="Y34" s="239" t="n">
        <f aca="false">Assumptions!$H$14*'Price Assumption'!Y30/1000</f>
        <v>15.7130471687168</v>
      </c>
      <c r="Z34" s="239" t="n">
        <f aca="false">Assumptions!$H$14*'Price Assumption'!Z30/1000</f>
        <v>15.7130471687168</v>
      </c>
      <c r="AA34" s="239" t="n">
        <f aca="false">Assumptions!$H$14*'Price Assumption'!AA30/1000</f>
        <v>15.7130471687168</v>
      </c>
      <c r="AB34" s="239" t="n">
        <f aca="false">Assumptions!$H$14*'Price Assumption'!AB30/1000</f>
        <v>15.7130471687168</v>
      </c>
      <c r="AC34" s="239" t="n">
        <f aca="false">Assumptions!$H$14*'Price Assumption'!AC30/1000</f>
        <v>15.7130471687168</v>
      </c>
      <c r="AD34" s="239" t="n">
        <f aca="false">Assumptions!$H$14*'Price Assumption'!AD30/1000</f>
        <v>15.7130471687168</v>
      </c>
      <c r="AE34" s="239" t="n">
        <f aca="false">Assumptions!$H$14*'Price Assumption'!AE30/1000</f>
        <v>15.7130471687168</v>
      </c>
      <c r="AF34" s="239" t="n">
        <f aca="false">Assumptions!$H$14*'Price Assumption'!AF30/1000</f>
        <v>15.7130471687168</v>
      </c>
      <c r="AG34" s="239" t="n">
        <f aca="false">Assumptions!$H$14*'Price Assumption'!AG30/1000</f>
        <v>15.7130471687168</v>
      </c>
      <c r="AH34" s="239" t="n">
        <f aca="false">Assumptions!$H$14*'Price Assumption'!AH30/1000</f>
        <v>15.7130471687168</v>
      </c>
    </row>
    <row r="35" customFormat="false" ht="15.75" hidden="false" customHeight="false" outlineLevel="0" collapsed="false">
      <c r="A35" s="34"/>
      <c r="B35" s="213" t="s">
        <v>255</v>
      </c>
      <c r="C35" s="10"/>
      <c r="D35" s="256" t="n">
        <f aca="false">Assumptions!$H$59*(1+Assumptions!$N$20)^(D7)</f>
        <v>2.0907976864364</v>
      </c>
      <c r="E35" s="256" t="n">
        <f aca="false">Assumptions!$H$59*(1+Assumptions!$N$20)^(E7)</f>
        <v>2.15352161702949</v>
      </c>
      <c r="F35" s="256" t="n">
        <f aca="false">Assumptions!$H$59*(1+Assumptions!$N$20)^(F7)</f>
        <v>2.21812726554038</v>
      </c>
      <c r="G35" s="256" t="n">
        <f aca="false">Assumptions!$H$59*(1+Assumptions!$N$20)^(G7)</f>
        <v>2.28467108350659</v>
      </c>
      <c r="H35" s="256" t="n">
        <f aca="false">Assumptions!$H$59*(1+Assumptions!$N$20)^(H7)</f>
        <v>2.35321121601179</v>
      </c>
      <c r="I35" s="256" t="n">
        <f aca="false">Assumptions!$H$59*(1+Assumptions!$N$20)^(I7)</f>
        <v>2.42380755249214</v>
      </c>
      <c r="J35" s="256" t="n">
        <f aca="false">Assumptions!$H$59*(1+Assumptions!$N$20)^(J7)</f>
        <v>2.49652177906691</v>
      </c>
      <c r="K35" s="256" t="n">
        <f aca="false">Assumptions!$H$59*(1+Assumptions!$N$20)^(K7)</f>
        <v>2.57141743243891</v>
      </c>
      <c r="L35" s="256" t="n">
        <f aca="false">Assumptions!$H$59*(1+Assumptions!$N$20)^(L7)</f>
        <v>2.64855995541208</v>
      </c>
      <c r="M35" s="256" t="n">
        <f aca="false">Assumptions!$H$59*(1+Assumptions!$N$20)^(M7)</f>
        <v>2.72801675407444</v>
      </c>
      <c r="N35" s="256" t="n">
        <f aca="false">Assumptions!$H$59*(1+Assumptions!$N$20)^(N7)</f>
        <v>2.80985725669668</v>
      </c>
      <c r="O35" s="256" t="n">
        <f aca="false">Assumptions!$H$59*(1+Assumptions!$N$20)^(O7)</f>
        <v>2.89415297439758</v>
      </c>
      <c r="P35" s="256" t="n">
        <f aca="false">Assumptions!$H$59*(1+Assumptions!$N$20)^(P7)</f>
        <v>2.9809775636295</v>
      </c>
      <c r="Q35" s="256" t="n">
        <f aca="false">Assumptions!$H$59*(1+Assumptions!$N$20)^(Q7)</f>
        <v>3.07040689053839</v>
      </c>
      <c r="R35" s="256" t="n">
        <f aca="false">Assumptions!$H$59*(1+Assumptions!$N$20)^(R7)</f>
        <v>3.16251909725454</v>
      </c>
      <c r="S35" s="256" t="n">
        <f aca="false">Assumptions!$H$59*(1+Assumptions!$N$20)^(S7)</f>
        <v>3.25739467017218</v>
      </c>
      <c r="T35" s="256" t="n">
        <f aca="false">Assumptions!$H$59*(1+Assumptions!$N$20)^(T7)</f>
        <v>3.35511651027734</v>
      </c>
      <c r="U35" s="256" t="n">
        <f aca="false">Assumptions!$H$59*(1+Assumptions!$N$20)^(U7)</f>
        <v>3.45577000558566</v>
      </c>
      <c r="V35" s="256" t="n">
        <f aca="false">Assumptions!$H$59*(1+Assumptions!$N$20)^(V7)</f>
        <v>3.55944310575323</v>
      </c>
      <c r="W35" s="256" t="n">
        <f aca="false">Assumptions!$H$59*(1+Assumptions!$N$20)^(W7)</f>
        <v>3.66622639892583</v>
      </c>
      <c r="X35" s="256" t="n">
        <f aca="false">Assumptions!$H$59*(1+Assumptions!$N$20)^(X7)</f>
        <v>3.7762131908936</v>
      </c>
      <c r="Y35" s="256" t="n">
        <f aca="false">Assumptions!$H$59*(1+Assumptions!$N$20)^(Y7)</f>
        <v>3.88949958662041</v>
      </c>
      <c r="Z35" s="256" t="n">
        <f aca="false">Assumptions!$H$59*(1+Assumptions!$N$20)^(Z7)</f>
        <v>4.00618457421903</v>
      </c>
      <c r="AA35" s="256" t="n">
        <f aca="false">Assumptions!$H$59*(1+Assumptions!$N$20)^(AA7)</f>
        <v>4.1263701114456</v>
      </c>
      <c r="AB35" s="256" t="n">
        <f aca="false">Assumptions!$H$59*(1+Assumptions!$N$20)^(AB7)</f>
        <v>4.25016121478897</v>
      </c>
      <c r="AC35" s="256" t="n">
        <f aca="false">Assumptions!$H$59*(1+Assumptions!$N$20)^(AC7)</f>
        <v>4.37766605123263</v>
      </c>
      <c r="AD35" s="256" t="n">
        <f aca="false">Assumptions!$H$59*(1+Assumptions!$N$20)^(AD7)</f>
        <v>4.50899603276961</v>
      </c>
      <c r="AE35" s="256" t="n">
        <f aca="false">Assumptions!$H$59*(1+Assumptions!$N$20)^(AE7)</f>
        <v>4.6442659137527</v>
      </c>
      <c r="AF35" s="256" t="n">
        <f aca="false">Assumptions!$H$59*(1+Assumptions!$N$20)^(AF7)</f>
        <v>4.78359389116528</v>
      </c>
      <c r="AG35" s="256" t="n">
        <f aca="false">Assumptions!$H$59*(1+Assumptions!$N$20)^(AG7)</f>
        <v>4.92710170790024</v>
      </c>
      <c r="AH35" s="256" t="n">
        <f aca="false">Assumptions!$H$59*(1+Assumptions!$N$20)^(AH7)</f>
        <v>5.07491475913725</v>
      </c>
    </row>
    <row r="36" customFormat="false" ht="15.75" hidden="false" customHeight="false" outlineLevel="0" collapsed="false">
      <c r="A36" s="34"/>
      <c r="B36" s="34" t="s">
        <v>256</v>
      </c>
      <c r="D36" s="257" t="n">
        <f aca="false">SUM(D34:D35)</f>
        <v>17.8038448551532</v>
      </c>
      <c r="E36" s="257" t="n">
        <f aca="false">SUM(E34:E35)</f>
        <v>17.8665687857462</v>
      </c>
      <c r="F36" s="257" t="n">
        <f aca="false">SUM(F34:F35)</f>
        <v>17.9311744342571</v>
      </c>
      <c r="G36" s="257" t="n">
        <f aca="false">SUM(G34:G35)</f>
        <v>17.9977182522233</v>
      </c>
      <c r="H36" s="257" t="n">
        <f aca="false">SUM(H34:H35)</f>
        <v>18.0662583847285</v>
      </c>
      <c r="I36" s="257" t="n">
        <f aca="false">SUM(I34:I35)</f>
        <v>18.1368547212089</v>
      </c>
      <c r="J36" s="257" t="n">
        <f aca="false">SUM(J34:J35)</f>
        <v>18.2095689477837</v>
      </c>
      <c r="K36" s="257" t="n">
        <f aca="false">SUM(K34:K35)</f>
        <v>18.2844646011557</v>
      </c>
      <c r="L36" s="257" t="n">
        <f aca="false">SUM(L34:L35)</f>
        <v>18.3616071241288</v>
      </c>
      <c r="M36" s="257" t="n">
        <f aca="false">SUM(M34:M35)</f>
        <v>18.4410639227912</v>
      </c>
      <c r="N36" s="257" t="n">
        <f aca="false">SUM(N34:N35)</f>
        <v>18.5229044254134</v>
      </c>
      <c r="O36" s="257" t="n">
        <f aca="false">SUM(O34:O35)</f>
        <v>18.6072001431143</v>
      </c>
      <c r="P36" s="257" t="n">
        <f aca="false">SUM(P34:P35)</f>
        <v>18.6940247323463</v>
      </c>
      <c r="Q36" s="257" t="n">
        <f aca="false">SUM(Q34:Q35)</f>
        <v>18.7834540592551</v>
      </c>
      <c r="R36" s="257" t="n">
        <f aca="false">SUM(R34:R35)</f>
        <v>18.8755662659713</v>
      </c>
      <c r="S36" s="257" t="n">
        <f aca="false">SUM(S34:S35)</f>
        <v>18.9704418388889</v>
      </c>
      <c r="T36" s="257" t="n">
        <f aca="false">SUM(T34:T35)</f>
        <v>19.0681636789941</v>
      </c>
      <c r="U36" s="257" t="n">
        <f aca="false">SUM(U34:U35)</f>
        <v>19.1688171743024</v>
      </c>
      <c r="V36" s="257" t="n">
        <f aca="false">SUM(V34:V35)</f>
        <v>19.27249027447</v>
      </c>
      <c r="W36" s="257" t="n">
        <f aca="false">SUM(W34:W35)</f>
        <v>19.3792735676426</v>
      </c>
      <c r="X36" s="257" t="n">
        <f aca="false">SUM(X34:X35)</f>
        <v>19.4892603596104</v>
      </c>
      <c r="Y36" s="257" t="n">
        <f aca="false">SUM(Y34:Y35)</f>
        <v>19.6025467553372</v>
      </c>
      <c r="Z36" s="257" t="n">
        <f aca="false">SUM(Z34:Z35)</f>
        <v>19.7192317429358</v>
      </c>
      <c r="AA36" s="257" t="n">
        <f aca="false">SUM(AA34:AA35)</f>
        <v>19.8394172801623</v>
      </c>
      <c r="AB36" s="257" t="n">
        <f aca="false">SUM(AB34:AB35)</f>
        <v>19.9632083835057</v>
      </c>
      <c r="AC36" s="257" t="n">
        <f aca="false">SUM(AC34:AC35)</f>
        <v>20.0907132199494</v>
      </c>
      <c r="AD36" s="257" t="n">
        <f aca="false">SUM(AD34:AD35)</f>
        <v>20.2220432014864</v>
      </c>
      <c r="AE36" s="257" t="n">
        <f aca="false">SUM(AE34:AE35)</f>
        <v>20.3573130824695</v>
      </c>
      <c r="AF36" s="257" t="n">
        <f aca="false">SUM(AF34:AF35)</f>
        <v>20.496641059882</v>
      </c>
      <c r="AG36" s="257" t="n">
        <f aca="false">SUM(AG34:AG35)</f>
        <v>20.640148876617</v>
      </c>
      <c r="AH36" s="257" t="n">
        <f aca="false">SUM(AH34:AH35)</f>
        <v>20.787961927854</v>
      </c>
      <c r="AI36" s="239"/>
      <c r="AJ36" s="239"/>
    </row>
    <row r="37" customFormat="false" ht="15.75" hidden="false" customHeight="false" outlineLevel="0" collapsed="false">
      <c r="B37" s="34"/>
      <c r="C37" s="34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</row>
    <row r="38" customFormat="false" ht="15.75" hidden="false" customHeight="false" outlineLevel="0" collapsed="false">
      <c r="A38" s="241" t="str">
        <f aca="false">Assumptions!W14</f>
        <v>Pass-through</v>
      </c>
      <c r="B38" s="252" t="s">
        <v>257</v>
      </c>
      <c r="D38" s="253" t="n">
        <f aca="false">IF($A$38="Pass-through",D36,D34)</f>
        <v>17.8038448551532</v>
      </c>
      <c r="E38" s="254" t="n">
        <f aca="false">IF($A$38="Pass-through",E36,E34)</f>
        <v>17.8665687857462</v>
      </c>
      <c r="F38" s="254" t="n">
        <f aca="false">IF($A$38="Pass-through",F36,F34)</f>
        <v>17.9311744342571</v>
      </c>
      <c r="G38" s="254" t="n">
        <f aca="false">IF($A$38="Pass-through",G36,G34)</f>
        <v>17.9977182522233</v>
      </c>
      <c r="H38" s="254" t="n">
        <f aca="false">IF($A$38="Pass-through",H36,H34)</f>
        <v>18.0662583847285</v>
      </c>
      <c r="I38" s="254" t="n">
        <f aca="false">IF($A$38="Pass-through",I36,I34)</f>
        <v>18.1368547212089</v>
      </c>
      <c r="J38" s="254" t="n">
        <f aca="false">IF($A$38="Pass-through",J36,J34)</f>
        <v>18.2095689477837</v>
      </c>
      <c r="K38" s="254" t="n">
        <f aca="false">IF($A$38="Pass-through",K36,K34)</f>
        <v>18.2844646011557</v>
      </c>
      <c r="L38" s="254" t="n">
        <f aca="false">IF($A$38="Pass-through",L36,L34)</f>
        <v>18.3616071241288</v>
      </c>
      <c r="M38" s="254" t="n">
        <f aca="false">IF($A$38="Pass-through",M36,M34)</f>
        <v>18.4410639227912</v>
      </c>
      <c r="N38" s="254" t="n">
        <f aca="false">IF($A$38="Pass-through",N36,N34)</f>
        <v>18.5229044254134</v>
      </c>
      <c r="O38" s="254" t="n">
        <f aca="false">IF($A$38="Pass-through",O36,O34)</f>
        <v>18.6072001431143</v>
      </c>
      <c r="P38" s="254" t="n">
        <f aca="false">IF($A$38="Pass-through",P36,P34)</f>
        <v>18.6940247323463</v>
      </c>
      <c r="Q38" s="255" t="n">
        <f aca="false">IF($A$38="Pass-through",Q36,Q34)</f>
        <v>18.7834540592551</v>
      </c>
      <c r="R38" s="254" t="n">
        <f aca="false">IF($A$38="Pass-through",R36,R34)</f>
        <v>18.8755662659713</v>
      </c>
      <c r="S38" s="254" t="n">
        <f aca="false">IF($A$38="Pass-through",S36,S34)</f>
        <v>18.9704418388889</v>
      </c>
      <c r="T38" s="254" t="n">
        <f aca="false">IF($A$38="Pass-through",T36,T34)</f>
        <v>19.0681636789941</v>
      </c>
      <c r="U38" s="254" t="n">
        <f aca="false">IF($A$38="Pass-through",U36,U34)</f>
        <v>19.1688171743024</v>
      </c>
      <c r="V38" s="254" t="n">
        <f aca="false">IF($A$38="Pass-through",V36,V34)</f>
        <v>19.27249027447</v>
      </c>
      <c r="W38" s="254" t="n">
        <f aca="false">IF($A$38="Pass-through",W36,W34)</f>
        <v>19.3792735676426</v>
      </c>
      <c r="X38" s="254" t="n">
        <f aca="false">IF($A$38="Pass-through",X36,X34)</f>
        <v>19.4892603596104</v>
      </c>
      <c r="Y38" s="254" t="n">
        <f aca="false">IF($A$38="Pass-through",Y36,Y34)</f>
        <v>19.6025467553372</v>
      </c>
      <c r="Z38" s="254" t="n">
        <f aca="false">IF($A$38="Pass-through",Z36,Z34)</f>
        <v>19.7192317429358</v>
      </c>
      <c r="AA38" s="254" t="n">
        <f aca="false">IF($A$38="Pass-through",AA36,AA34)</f>
        <v>19.8394172801623</v>
      </c>
      <c r="AB38" s="254" t="n">
        <f aca="false">IF($A$38="Pass-through",AB36,AB34)</f>
        <v>19.9632083835057</v>
      </c>
      <c r="AC38" s="254" t="n">
        <f aca="false">IF($A$38="Pass-through",AC36,AC34)</f>
        <v>20.0907132199494</v>
      </c>
      <c r="AD38" s="254" t="n">
        <f aca="false">IF($A$38="Pass-through",AD36,AD34)</f>
        <v>20.2220432014864</v>
      </c>
      <c r="AE38" s="254" t="n">
        <f aca="false">IF($A$38="Pass-through",AE36,AE34)</f>
        <v>20.3573130824695</v>
      </c>
      <c r="AF38" s="254" t="n">
        <f aca="false">IF($A$38="Pass-through",AF36,AF34)</f>
        <v>20.496641059882</v>
      </c>
      <c r="AG38" s="254" t="n">
        <f aca="false">IF($A$38="Pass-through",AG36,AG34)</f>
        <v>20.640148876617</v>
      </c>
      <c r="AH38" s="255" t="n">
        <f aca="false">IF($A$38="Pass-through",AH36,AH34)</f>
        <v>20.787961927854</v>
      </c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5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40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258" t="s">
        <v>258</v>
      </c>
      <c r="B4" s="3"/>
    </row>
    <row r="6" customFormat="false" ht="12.75" hidden="false" customHeight="false" outlineLevel="0" collapsed="false">
      <c r="C6" s="231" t="n">
        <f aca="false">'Price Assumption'!D7</f>
        <v>0.666666666666667</v>
      </c>
      <c r="D6" s="231" t="n">
        <f aca="false">'Price Assumption'!E7</f>
        <v>1.66666666666667</v>
      </c>
      <c r="E6" s="231" t="n">
        <f aca="false">'Price Assumption'!F7</f>
        <v>2.66666666666667</v>
      </c>
      <c r="F6" s="231" t="n">
        <f aca="false">'Price Assumption'!G7</f>
        <v>3.66666666666667</v>
      </c>
      <c r="G6" s="231" t="n">
        <f aca="false">'Price Assumption'!H7</f>
        <v>4.66666666666667</v>
      </c>
      <c r="H6" s="231" t="n">
        <f aca="false">'Price Assumption'!I7</f>
        <v>5.66666666666667</v>
      </c>
      <c r="I6" s="231" t="n">
        <f aca="false">'Price Assumption'!J7</f>
        <v>6.66666666666667</v>
      </c>
      <c r="J6" s="231" t="n">
        <f aca="false">'Price Assumption'!K7</f>
        <v>7.66666666666667</v>
      </c>
      <c r="K6" s="231" t="n">
        <f aca="false">'Price Assumption'!L7</f>
        <v>8.66666666666667</v>
      </c>
      <c r="L6" s="231" t="n">
        <f aca="false">'Price Assumption'!M7</f>
        <v>9.66666666666667</v>
      </c>
      <c r="M6" s="231" t="n">
        <f aca="false">'Price Assumption'!N7</f>
        <v>10.6666666666667</v>
      </c>
      <c r="N6" s="231" t="n">
        <f aca="false">'Price Assumption'!O7</f>
        <v>11.6666666666667</v>
      </c>
      <c r="O6" s="231" t="n">
        <f aca="false">'Price Assumption'!P7</f>
        <v>12.6666666666667</v>
      </c>
      <c r="P6" s="231" t="n">
        <f aca="false">'Price Assumption'!Q7</f>
        <v>13.6666666666667</v>
      </c>
      <c r="Q6" s="231" t="n">
        <f aca="false">'Price Assumption'!R7</f>
        <v>14.6666666666667</v>
      </c>
      <c r="R6" s="231" t="n">
        <f aca="false">'Price Assumption'!S7</f>
        <v>15.6666666666667</v>
      </c>
      <c r="S6" s="231" t="n">
        <f aca="false">'Price Assumption'!T7</f>
        <v>16.6666666666667</v>
      </c>
      <c r="T6" s="231" t="n">
        <f aca="false">'Price Assumption'!U7</f>
        <v>17.6666666666667</v>
      </c>
      <c r="U6" s="231" t="n">
        <f aca="false">'Price Assumption'!V7</f>
        <v>18.6666666666667</v>
      </c>
      <c r="V6" s="231" t="n">
        <f aca="false">'Price Assumption'!W7</f>
        <v>19.6666666666667</v>
      </c>
      <c r="W6" s="231" t="n">
        <f aca="false">'Price Assumption'!X7</f>
        <v>20.6666666666667</v>
      </c>
      <c r="X6" s="231" t="n">
        <f aca="false">'Price Assumption'!Y7</f>
        <v>21.6666666666667</v>
      </c>
      <c r="Y6" s="231" t="n">
        <f aca="false">'Price Assumption'!Z7</f>
        <v>22.6666666666667</v>
      </c>
      <c r="Z6" s="231" t="n">
        <f aca="false">'Price Assumption'!AA7</f>
        <v>23.6666666666667</v>
      </c>
      <c r="AA6" s="231" t="n">
        <f aca="false">'Price Assumption'!AB7</f>
        <v>24.6666666666667</v>
      </c>
      <c r="AB6" s="231" t="n">
        <f aca="false">'Price Assumption'!AC7</f>
        <v>25.6666666666667</v>
      </c>
      <c r="AC6" s="231" t="n">
        <f aca="false">'Price Assumption'!AD7</f>
        <v>26.6666666666667</v>
      </c>
      <c r="AD6" s="231" t="n">
        <f aca="false">'Price Assumption'!AE7</f>
        <v>27.6666666666667</v>
      </c>
      <c r="AE6" s="231" t="n">
        <f aca="false">'Price Assumption'!AF7</f>
        <v>28.6666666666667</v>
      </c>
      <c r="AF6" s="231" t="n">
        <f aca="false">'Price Assumption'!AG7</f>
        <v>29.6666666666667</v>
      </c>
      <c r="AG6" s="231" t="n">
        <f aca="false">'Price Assumption'!AH7</f>
        <v>30.6666666666667</v>
      </c>
    </row>
    <row r="7" customFormat="false" ht="13.5" hidden="false" customHeight="false" outlineLevel="0" collapsed="false">
      <c r="A7" s="259" t="s">
        <v>259</v>
      </c>
      <c r="B7" s="260"/>
      <c r="C7" s="260" t="n">
        <f aca="false">'Price Assumption'!D8</f>
        <v>2001</v>
      </c>
      <c r="D7" s="260" t="n">
        <f aca="false">'Price Assumption'!E8</f>
        <v>2002</v>
      </c>
      <c r="E7" s="260" t="n">
        <f aca="false">'Price Assumption'!F8</f>
        <v>2003</v>
      </c>
      <c r="F7" s="260" t="n">
        <f aca="false">'Price Assumption'!G8</f>
        <v>2004</v>
      </c>
      <c r="G7" s="260" t="n">
        <f aca="false">'Price Assumption'!H8</f>
        <v>2005</v>
      </c>
      <c r="H7" s="260" t="n">
        <f aca="false">'Price Assumption'!I8</f>
        <v>2006</v>
      </c>
      <c r="I7" s="260" t="n">
        <f aca="false">'Price Assumption'!J8</f>
        <v>2007</v>
      </c>
      <c r="J7" s="260" t="n">
        <f aca="false">'Price Assumption'!K8</f>
        <v>2008</v>
      </c>
      <c r="K7" s="260" t="n">
        <f aca="false">'Price Assumption'!L8</f>
        <v>2009</v>
      </c>
      <c r="L7" s="260" t="n">
        <f aca="false">'Price Assumption'!M8</f>
        <v>2010</v>
      </c>
      <c r="M7" s="260" t="n">
        <f aca="false">'Price Assumption'!N8</f>
        <v>2011</v>
      </c>
      <c r="N7" s="260" t="n">
        <f aca="false">'Price Assumption'!O8</f>
        <v>2012</v>
      </c>
      <c r="O7" s="260" t="n">
        <f aca="false">'Price Assumption'!P8</f>
        <v>2013</v>
      </c>
      <c r="P7" s="260" t="n">
        <f aca="false">'Price Assumption'!Q8</f>
        <v>2014</v>
      </c>
      <c r="Q7" s="260" t="n">
        <f aca="false">'Price Assumption'!R8</f>
        <v>2015</v>
      </c>
      <c r="R7" s="260" t="n">
        <f aca="false">'Price Assumption'!S8</f>
        <v>2016</v>
      </c>
      <c r="S7" s="260" t="n">
        <f aca="false">'Price Assumption'!T8</f>
        <v>2017</v>
      </c>
      <c r="T7" s="260" t="n">
        <f aca="false">'Price Assumption'!U8</f>
        <v>2018</v>
      </c>
      <c r="U7" s="260" t="n">
        <f aca="false">'Price Assumption'!V8</f>
        <v>2019</v>
      </c>
      <c r="V7" s="260" t="n">
        <f aca="false">'Price Assumption'!W8</f>
        <v>2020</v>
      </c>
      <c r="W7" s="260" t="n">
        <f aca="false">'Price Assumption'!X8</f>
        <v>2021</v>
      </c>
      <c r="X7" s="260" t="n">
        <f aca="false">'Price Assumption'!Y8</f>
        <v>2022</v>
      </c>
      <c r="Y7" s="260" t="n">
        <f aca="false">'Price Assumption'!Z8</f>
        <v>2023</v>
      </c>
      <c r="Z7" s="260" t="n">
        <f aca="false">'Price Assumption'!AA8</f>
        <v>2024</v>
      </c>
      <c r="AA7" s="260" t="n">
        <f aca="false">'Price Assumption'!AB8</f>
        <v>2025</v>
      </c>
      <c r="AB7" s="260" t="n">
        <f aca="false">'Price Assumption'!AC8</f>
        <v>2026</v>
      </c>
      <c r="AC7" s="260" t="n">
        <f aca="false">'Price Assumption'!AD8</f>
        <v>2027</v>
      </c>
      <c r="AD7" s="260" t="n">
        <f aca="false">'Price Assumption'!AE8</f>
        <v>2028</v>
      </c>
      <c r="AE7" s="260" t="n">
        <f aca="false">'Price Assumption'!AF8</f>
        <v>2029</v>
      </c>
      <c r="AF7" s="260" t="n">
        <f aca="false">'Price Assumption'!AG8</f>
        <v>2030</v>
      </c>
      <c r="AG7" s="260" t="n">
        <f aca="false">'Price Assumption'!AH8</f>
        <v>2031</v>
      </c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</row>
    <row r="8" customFormat="false" ht="12.75" hidden="false" customHeight="false" outlineLevel="0" collapsed="false">
      <c r="A8" s="261"/>
      <c r="C8" s="262" t="n">
        <f aca="false">Assumptions!H16+365.25*Assumptions!H17/12</f>
        <v>37255.5</v>
      </c>
      <c r="D8" s="262" t="n">
        <f aca="false">C8+365.25</f>
        <v>37620.75</v>
      </c>
      <c r="E8" s="262" t="n">
        <f aca="false">D8+365.25</f>
        <v>37986</v>
      </c>
      <c r="F8" s="262" t="n">
        <f aca="false">E8+365.25</f>
        <v>38351.25</v>
      </c>
      <c r="G8" s="262" t="n">
        <f aca="false">F8+365.25</f>
        <v>38716.5</v>
      </c>
      <c r="H8" s="262" t="n">
        <f aca="false">G8+365.25</f>
        <v>39081.75</v>
      </c>
      <c r="I8" s="262" t="n">
        <f aca="false">H8+365.25</f>
        <v>39447</v>
      </c>
      <c r="J8" s="262" t="n">
        <f aca="false">I8+365.25</f>
        <v>39812.25</v>
      </c>
      <c r="K8" s="262" t="n">
        <f aca="false">J8+365.25</f>
        <v>40177.5</v>
      </c>
      <c r="L8" s="262" t="n">
        <f aca="false">K8+365.25</f>
        <v>40542.75</v>
      </c>
      <c r="M8" s="262" t="n">
        <f aca="false">L8+365.25</f>
        <v>40908</v>
      </c>
      <c r="N8" s="262" t="n">
        <f aca="false">M8+365.25</f>
        <v>41273.25</v>
      </c>
      <c r="O8" s="262" t="n">
        <f aca="false">N8+365.25</f>
        <v>41638.5</v>
      </c>
      <c r="P8" s="262" t="n">
        <f aca="false">O8+365.25</f>
        <v>42003.75</v>
      </c>
      <c r="Q8" s="262" t="n">
        <f aca="false">P8+365.25</f>
        <v>42369</v>
      </c>
      <c r="R8" s="262" t="n">
        <f aca="false">Q8+365.25</f>
        <v>42734.25</v>
      </c>
      <c r="S8" s="262" t="n">
        <f aca="false">R8+365.25</f>
        <v>43099.5</v>
      </c>
      <c r="T8" s="262" t="n">
        <f aca="false">S8+365.25</f>
        <v>43464.75</v>
      </c>
      <c r="U8" s="262" t="n">
        <f aca="false">T8+365.25</f>
        <v>43830</v>
      </c>
      <c r="V8" s="262" t="n">
        <f aca="false">U8+365.25</f>
        <v>44195.25</v>
      </c>
      <c r="W8" s="262" t="n">
        <f aca="false">V8+365.25</f>
        <v>44560.5</v>
      </c>
      <c r="X8" s="262" t="n">
        <f aca="false">W8+365.25</f>
        <v>44925.75</v>
      </c>
      <c r="Y8" s="262" t="n">
        <f aca="false">X8+365.25</f>
        <v>45291</v>
      </c>
      <c r="Z8" s="262" t="n">
        <f aca="false">Y8+365.25</f>
        <v>45656.25</v>
      </c>
      <c r="AA8" s="262" t="n">
        <f aca="false">Z8+365.25</f>
        <v>46021.5</v>
      </c>
      <c r="AB8" s="262" t="n">
        <f aca="false">AA8+365.25</f>
        <v>46386.75</v>
      </c>
      <c r="AC8" s="262" t="n">
        <f aca="false">AB8+365.25</f>
        <v>46752</v>
      </c>
      <c r="AD8" s="262" t="n">
        <f aca="false">AC8+365.25</f>
        <v>47117.25</v>
      </c>
      <c r="AE8" s="262" t="n">
        <f aca="false">AD8+365.25</f>
        <v>47482.5</v>
      </c>
      <c r="AF8" s="262" t="n">
        <f aca="false">AE8+365.25</f>
        <v>47847.75</v>
      </c>
      <c r="AG8" s="262" t="n">
        <f aca="false">AF8+365.25</f>
        <v>48213</v>
      </c>
    </row>
    <row r="9" customFormat="false" ht="12.75" hidden="false" customHeight="false" outlineLevel="0" collapsed="false">
      <c r="A9" s="263" t="s">
        <v>260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</row>
    <row r="10" customFormat="false" ht="12.75" hidden="false" customHeight="false" outlineLevel="0" collapsed="false">
      <c r="A10" s="265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</row>
    <row r="11" customFormat="false" ht="12.75" hidden="false" customHeight="false" outlineLevel="0" collapsed="false">
      <c r="A11" s="147" t="s">
        <v>261</v>
      </c>
      <c r="C11" s="266" t="n">
        <f aca="false">IF(C6&lt;Assumptions!$H$18,C6*12*'Price Assumption'!D21*Assumptions!$N$12,IF(AND(B6&lt;Assumptions!$H$18,C6&gt;Assumptions!$H$18),(1-$C$6)*12*'Price Assumption'!D21*Assumptions!$N$12,0))</f>
        <v>5168.70445388173</v>
      </c>
      <c r="D11" s="266" t="n">
        <f aca="false">IF(D6&lt;Assumptions!$H$18,12*'Price Assumption'!E21*Assumptions!$N$12,IF(AND(C6&lt;Assumptions!$H$18,D6&gt;Assumptions!$H$18),(1-$C$6)*12*'Price Assumption'!E21*Assumptions!$N$12,0))</f>
        <v>7753.0566808226</v>
      </c>
      <c r="E11" s="266" t="n">
        <f aca="false">IF(E6&lt;Assumptions!$H$18,12*'Price Assumption'!F21*Assumptions!$N$12,IF(AND(D6&lt;Assumptions!$H$18,E6&gt;Assumptions!$H$18),(1-$C$6)*12*'Price Assumption'!F21*Assumptions!$N$12,0))</f>
        <v>7753.0566808226</v>
      </c>
      <c r="F11" s="266" t="n">
        <f aca="false">IF(F6&lt;Assumptions!$H$18,12*'Price Assumption'!G21*Assumptions!$N$12,IF(AND(E6&lt;Assumptions!$H$18,F6&gt;Assumptions!$H$18),(1-$C$6)*12*'Price Assumption'!G21*Assumptions!$N$12,0))</f>
        <v>8810.014794431</v>
      </c>
      <c r="G11" s="266" t="n">
        <f aca="false">IF(G6&lt;Assumptions!$H$18,12*'Price Assumption'!H21*Assumptions!$N$12,IF(AND(F6&lt;Assumptions!$H$18,G6&gt;Assumptions!$H$18),(1-$C$6)*12*'Price Assumption'!H21*Assumptions!$N$12,0))</f>
        <v>9303.28313671415</v>
      </c>
      <c r="H11" s="266" t="n">
        <f aca="false">IF(H6&lt;Assumptions!$H$18,12*'Price Assumption'!I21*Assumptions!$N$12,IF(AND(G6&lt;Assumptions!$H$18,H6&gt;Assumptions!$H$18),(1-$C$6)*12*'Price Assumption'!I21*Assumptions!$N$12,0))</f>
        <v>9419.96838283565</v>
      </c>
      <c r="I11" s="266" t="n">
        <f aca="false">IF(I6&lt;Assumptions!$H$18,12*'Price Assumption'!J21*Assumptions!$N$12,IF(AND(H6&lt;Assumptions!$H$18,I6&gt;Assumptions!$H$18),(1-$C$6)*12*'Price Assumption'!J21*Assumptions!$N$12,0))</f>
        <v>9535.2817889014</v>
      </c>
      <c r="J11" s="266" t="n">
        <f aca="false">IF(J6&lt;Assumptions!$H$18,12*'Price Assumption'!K21*Assumptions!$N$12,IF(AND(I6&lt;Assumptions!$H$18,J6&gt;Assumptions!$H$18),(1-$C$6)*12*'Price Assumption'!K21*Assumptions!$N$12,0))</f>
        <v>9649.03602778654</v>
      </c>
      <c r="K11" s="266" t="n">
        <f aca="false">IF(K6&lt;Assumptions!$H$18,12*'Price Assumption'!L21*Assumptions!$N$12,IF(AND(J6&lt;Assumptions!$H$18,K6&gt;Assumptions!$H$18),(1-$C$6)*12*'Price Assumption'!L21*Assumptions!$N$12,0))</f>
        <v>9938.50710862014</v>
      </c>
      <c r="L11" s="266" t="n">
        <f aca="false">IF(L6&lt;Assumptions!$H$18,12*'Price Assumption'!M21*Assumptions!$N$12,IF(AND(K6&lt;Assumptions!$H$18,L6&gt;Assumptions!$H$18),(1-$C$6)*12*'Price Assumption'!M21*Assumptions!$N$12,0))</f>
        <v>10053.8647804166</v>
      </c>
      <c r="M11" s="266" t="n">
        <f aca="false">IF(M6&lt;Assumptions!$H$18,12*'Price Assumption'!N21*Assumptions!$N$12,IF(AND(L6&lt;Assumptions!$H$18,M6&gt;Assumptions!$H$18),(1-$C$6)*12*'Price Assumption'!N21*Assumptions!$N$12,0))</f>
        <v>10355.4807238291</v>
      </c>
      <c r="N11" s="266" t="n">
        <f aca="false">IF(N6&lt;Assumptions!$H$18,12*'Price Assumption'!O21*Assumptions!$N$12,IF(AND(M6&lt;Assumptions!$H$18,N6&gt;Assumptions!$H$18),(1-$C$6)*12*'Price Assumption'!O21*Assumptions!$N$12,0))</f>
        <v>10472.2152338068</v>
      </c>
      <c r="O11" s="266" t="n">
        <f aca="false">IF(O6&lt;Assumptions!$H$18,12*'Price Assumption'!P21*Assumptions!$N$12,IF(AND(N6&lt;Assumptions!$H$18,O6&gt;Assumptions!$H$18),(1-$C$6)*12*'Price Assumption'!P21*Assumptions!$N$12,0))</f>
        <v>10786.381690821</v>
      </c>
      <c r="P11" s="266" t="n">
        <f aca="false">IF(P6&lt;Assumptions!$H$18,12*'Price Assumption'!Q21*Assumptions!$N$12,IF(AND(O6&lt;Assumptions!$H$18,P6&gt;Assumptions!$H$18),(1-$C$6)*12*'Price Assumption'!Q21*Assumptions!$N$12,0))</f>
        <v>10904.2328981837</v>
      </c>
      <c r="Q11" s="266" t="n">
        <f aca="false">IF(Q6&lt;Assumptions!$H$18,12*'Price Assumption'!R21*Assumptions!$N$12,IF(AND(P6&lt;Assumptions!$H$18,Q6&gt;Assumptions!$H$18),(1-$C$6)*12*'Price Assumption'!R21*Assumptions!$N$12,0))</f>
        <v>11019.4474344664</v>
      </c>
      <c r="R11" s="266" t="n">
        <f aca="false">IF(R6&lt;Assumptions!$H$18,12*'Price Assumption'!S21*Assumptions!$N$12,IF(AND(Q6&lt;Assumptions!$H$18,R6&gt;Assumptions!$H$18),(1-$C$6)*12*'Price Assumption'!S21*Assumptions!$N$12,0))</f>
        <v>11131.7610333177</v>
      </c>
      <c r="S11" s="266" t="n">
        <f aca="false">IF(S6&lt;Assumptions!$H$18,12*'Price Assumption'!T21*Assumptions!$N$12,IF(AND(R6&lt;Assumptions!$H$18,S6&gt;Assumptions!$H$18),(1-$C$6)*12*'Price Assumption'!T21*Assumptions!$N$12,0))</f>
        <v>11240.895945409</v>
      </c>
      <c r="T11" s="266" t="n">
        <f aca="false">IF(T6&lt;Assumptions!$H$18,12*'Price Assumption'!U21*Assumptions!$N$12,IF(AND(S6&lt;Assumptions!$H$18,T6&gt;Assumptions!$H$18),(1-$C$6)*12*'Price Assumption'!U21*Assumptions!$N$12,0))</f>
        <v>11346.5603672959</v>
      </c>
      <c r="U11" s="266" t="n">
        <f aca="false">IF(U6&lt;Assumptions!$H$18,12*'Price Assumption'!V21*Assumptions!$N$12,IF(AND(T6&lt;Assumptions!$H$18,U6&gt;Assumptions!$H$18),(1-$C$6)*12*'Price Assumption'!V21*Assumptions!$N$12,0))</f>
        <v>11448.4478481451</v>
      </c>
      <c r="V11" s="266" t="n">
        <f aca="false">IF(V6&lt;Assumptions!$H$18,12*'Price Assumption'!W21*Assumptions!$N$12,IF(AND(U6&lt;Assumptions!$H$18,V6&gt;Assumptions!$H$18),(1-$C$6)*12*'Price Assumption'!W21*Assumptions!$N$12,0))</f>
        <v>11546.2366735146</v>
      </c>
      <c r="W11" s="266" t="n">
        <f aca="false">IF(W6&lt;Assumptions!$H$18,12*'Price Assumption'!X21*Assumptions!$N$12,IF(AND(V6&lt;Assumptions!$H$18,W6&gt;Assumptions!$H$18),(1-$C$6)*12*'Price Assumption'!X21*Assumptions!$N$12,0))</f>
        <v>11639.5892253431</v>
      </c>
      <c r="X11" s="266" t="n">
        <f aca="false">IF(X6&lt;Assumptions!$H$18,12*'Price Assumption'!Y21*Assumptions!$N$12,IF(AND(W6&lt;Assumptions!$H$18,X6&gt;Assumptions!$H$18),(1-$C$6)*12*'Price Assumption'!Y21*Assumptions!$N$12,0))</f>
        <v>11728.151317275</v>
      </c>
      <c r="Y11" s="266" t="n">
        <f aca="false">IF(Y6&lt;Assumptions!$H$18,12*'Price Assumption'!Z21*Assumptions!$N$12,IF(AND(X6&lt;Assumptions!$H$18,Y6&gt;Assumptions!$H$18),(1-$C$6)*12*'Price Assumption'!Z21*Assumptions!$N$12,0))</f>
        <v>11816.713409207</v>
      </c>
      <c r="Z11" s="266" t="n">
        <f aca="false">IF(Z6&lt;Assumptions!$H$18,12*'Price Assumption'!AA21*Assumptions!$N$12,IF(AND(Y6&lt;Assumptions!$H$18,Z6&gt;Assumptions!$H$18),(1-$C$6)*12*'Price Assumption'!AA21*Assumptions!$N$12,0))</f>
        <v>11905.2755011389</v>
      </c>
      <c r="AA11" s="266" t="n">
        <f aca="false">IF(AA6&lt;Assumptions!$H$18,12*'Price Assumption'!AB21*Assumptions!$N$12,IF(AND(Z6&lt;Assumptions!$H$18,AA6&gt;Assumptions!$H$18),(1-$C$6)*12*'Price Assumption'!AB21*Assumptions!$N$12,0))</f>
        <v>11993.8375930709</v>
      </c>
      <c r="AB11" s="266" t="n">
        <f aca="false">IF(AB6&lt;Assumptions!$H$18,12*'Price Assumption'!AC21*Assumptions!$N$12,IF(AND(AA6&lt;Assumptions!$H$18,AB6&gt;Assumptions!$H$18),(1-$C$6)*12*'Price Assumption'!AC21*Assumptions!$N$12,0))</f>
        <v>12082.3996850029</v>
      </c>
      <c r="AC11" s="266" t="n">
        <f aca="false">IF(AC6&lt;Assumptions!$H$18,12*'Price Assumption'!AD21*Assumptions!$N$12,IF(AND(AB6&lt;Assumptions!$H$18,AC6&gt;Assumptions!$H$18),(1-$C$6)*12*'Price Assumption'!AD21*Assumptions!$N$12,0))</f>
        <v>12170.9617769348</v>
      </c>
      <c r="AD11" s="266" t="n">
        <f aca="false">IF(AD6&lt;Assumptions!$H$18,12*'Price Assumption'!AE21*Assumptions!$N$12,IF(AND(AC6&lt;Assumptions!$H$18,AD6&gt;Assumptions!$H$18),(1-$C$6)*12*'Price Assumption'!AE21*Assumptions!$N$12,0))</f>
        <v>12259.5238688668</v>
      </c>
      <c r="AE11" s="266" t="n">
        <f aca="false">IF(AE6&lt;Assumptions!$H$18,12*'Price Assumption'!AF21*Assumptions!$N$12,IF(AND(AD6&lt;Assumptions!$H$18,AE6&gt;Assumptions!$H$18),(1-$C$6)*12*'Price Assumption'!AF21*Assumptions!$N$12,0))</f>
        <v>12348.0859607987</v>
      </c>
      <c r="AF11" s="266" t="n">
        <f aca="false">IF(AF6&lt;Assumptions!$H$18,12*'Price Assumption'!AG21*Assumptions!$N$12,IF(AND(AE6&lt;Assumptions!$H$18,AF6&gt;Assumptions!$H$18),(1-$C$6)*12*'Price Assumption'!AG21*Assumptions!$N$12,0))</f>
        <v>12436.6480527307</v>
      </c>
      <c r="AG11" s="266" t="n">
        <f aca="false">IF(AG6&lt;Assumptions!$H$18,12*'Price Assumption'!AH21*Assumptions!$N$12,IF(AND(AF6&lt;Assumptions!$H$18,AG6&gt;Assumptions!$H$18),(1-$C$6)*12*'Price Assumption'!AH21*Assumptions!$N$12,0))</f>
        <v>4175.07004822088</v>
      </c>
    </row>
    <row r="12" customFormat="false" ht="12.75" hidden="false" customHeight="false" outlineLevel="0" collapsed="false">
      <c r="A12" s="147" t="s">
        <v>262</v>
      </c>
      <c r="C12" s="266" t="n">
        <f aca="false">'Price Assumption'!D38*Assumptions!$H$61/1000</f>
        <v>3390.31413364919</v>
      </c>
      <c r="D12" s="266" t="n">
        <f aca="false">'Price Assumption'!E38*Assumptions!$H$61/1000</f>
        <v>3402.25839794367</v>
      </c>
      <c r="E12" s="266" t="n">
        <f aca="false">'Price Assumption'!F38*Assumptions!$H$61/1000</f>
        <v>3414.56099016698</v>
      </c>
      <c r="F12" s="266" t="n">
        <f aca="false">'Price Assumption'!G38*Assumptions!$H$61/1000</f>
        <v>3427.23266015699</v>
      </c>
      <c r="G12" s="266" t="n">
        <f aca="false">'Price Assumption'!H38*Assumptions!$H$61/1000</f>
        <v>3440.2844802467</v>
      </c>
      <c r="H12" s="266" t="n">
        <f aca="false">'Price Assumption'!I38*Assumptions!$H$61/1000</f>
        <v>3453.7278549391</v>
      </c>
      <c r="I12" s="266" t="n">
        <f aca="false">'Price Assumption'!J38*Assumptions!$H$61/1000</f>
        <v>3467.57453087227</v>
      </c>
      <c r="J12" s="266" t="n">
        <f aca="false">'Price Assumption'!K38*Assumptions!$H$61/1000</f>
        <v>3481.83660708344</v>
      </c>
      <c r="K12" s="266" t="n">
        <f aca="false">'Price Assumption'!L38*Assumptions!$H$61/1000</f>
        <v>3496.52654558094</v>
      </c>
      <c r="L12" s="266" t="n">
        <f aca="false">'Price Assumption'!M38*Assumptions!$H$61/1000</f>
        <v>3511.65718223337</v>
      </c>
      <c r="M12" s="266" t="n">
        <f aca="false">'Price Assumption'!N38*Assumptions!$H$61/1000</f>
        <v>3527.24173798537</v>
      </c>
      <c r="N12" s="266" t="n">
        <f aca="false">'Price Assumption'!O38*Assumptions!$H$61/1000</f>
        <v>3543.29383040993</v>
      </c>
      <c r="O12" s="266" t="n">
        <f aca="false">'Price Assumption'!P38*Assumptions!$H$61/1000</f>
        <v>3559.82748560723</v>
      </c>
      <c r="P12" s="266" t="n">
        <f aca="false">'Price Assumption'!Q38*Assumptions!$H$61/1000</f>
        <v>3576.85715046045</v>
      </c>
      <c r="Q12" s="266" t="n">
        <f aca="false">'Price Assumption'!R38*Assumptions!$H$61/1000</f>
        <v>3594.39770525926</v>
      </c>
      <c r="R12" s="266" t="n">
        <f aca="false">'Price Assumption'!S38*Assumptions!$H$61/1000</f>
        <v>3612.46447670204</v>
      </c>
      <c r="S12" s="266" t="n">
        <f aca="false">'Price Assumption'!T38*Assumptions!$H$61/1000</f>
        <v>3631.0732512881</v>
      </c>
      <c r="T12" s="266" t="n">
        <f aca="false">'Price Assumption'!U38*Assumptions!$H$61/1000</f>
        <v>3650.24028911174</v>
      </c>
      <c r="U12" s="266" t="n">
        <f aca="false">'Price Assumption'!V38*Assumptions!$H$61/1000</f>
        <v>3669.98233807009</v>
      </c>
      <c r="V12" s="266" t="n">
        <f aca="false">'Price Assumption'!W38*Assumptions!$H$61/1000</f>
        <v>3690.3166484972</v>
      </c>
      <c r="W12" s="266" t="n">
        <f aca="false">'Price Assumption'!X38*Assumptions!$H$61/1000</f>
        <v>3711.26098823711</v>
      </c>
      <c r="X12" s="266" t="n">
        <f aca="false">'Price Assumption'!Y38*Assumptions!$H$61/1000</f>
        <v>3732.83365816922</v>
      </c>
      <c r="Y12" s="266" t="n">
        <f aca="false">'Price Assumption'!Z38*Assumptions!$H$61/1000</f>
        <v>3755.0535081993</v>
      </c>
      <c r="Z12" s="266" t="n">
        <f aca="false">'Price Assumption'!AA38*Assumptions!$H$61/1000</f>
        <v>3777.93995373028</v>
      </c>
      <c r="AA12" s="266" t="n">
        <f aca="false">'Price Assumption'!AB38*Assumptions!$H$61/1000</f>
        <v>3801.51299262719</v>
      </c>
      <c r="AB12" s="266" t="n">
        <f aca="false">'Price Assumption'!AC38*Assumptions!$H$61/1000</f>
        <v>3825.793222691</v>
      </c>
      <c r="AC12" s="266" t="n">
        <f aca="false">'Price Assumption'!AD38*Assumptions!$H$61/1000</f>
        <v>3850.80185965673</v>
      </c>
      <c r="AD12" s="266" t="n">
        <f aca="false">'Price Assumption'!AE38*Assumptions!$H$61/1000</f>
        <v>3876.56075573144</v>
      </c>
      <c r="AE12" s="266" t="n">
        <f aca="false">'Price Assumption'!AF38*Assumptions!$H$61/1000</f>
        <v>3903.09241868838</v>
      </c>
      <c r="AF12" s="266" t="n">
        <f aca="false">'Price Assumption'!AG38*Assumptions!$H$61/1000</f>
        <v>3930.42003153403</v>
      </c>
      <c r="AG12" s="266" t="n">
        <f aca="false">'Price Assumption'!AH38*Assumptions!$H$61/1000</f>
        <v>3958.56747276505</v>
      </c>
    </row>
    <row r="13" customFormat="false" ht="12.75" hidden="false" customHeight="false" outlineLevel="0" collapsed="false">
      <c r="A13" s="267" t="s">
        <v>263</v>
      </c>
      <c r="C13" s="268" t="n">
        <v>0</v>
      </c>
      <c r="D13" s="268" t="n">
        <v>0</v>
      </c>
      <c r="E13" s="268" t="n">
        <v>0</v>
      </c>
      <c r="F13" s="268" t="n">
        <v>0</v>
      </c>
      <c r="G13" s="268" t="n">
        <v>0</v>
      </c>
      <c r="H13" s="268" t="n">
        <v>0</v>
      </c>
      <c r="I13" s="268" t="n">
        <v>0</v>
      </c>
      <c r="J13" s="268" t="n">
        <v>0</v>
      </c>
      <c r="K13" s="268" t="n">
        <v>0</v>
      </c>
      <c r="L13" s="268" t="n">
        <v>0</v>
      </c>
      <c r="M13" s="268" t="n">
        <v>0</v>
      </c>
      <c r="N13" s="268" t="n">
        <v>0</v>
      </c>
      <c r="O13" s="268" t="n">
        <v>0</v>
      </c>
      <c r="P13" s="268" t="n">
        <v>0</v>
      </c>
      <c r="Q13" s="268" t="n">
        <v>0</v>
      </c>
      <c r="R13" s="268" t="n">
        <v>0</v>
      </c>
      <c r="S13" s="268" t="n">
        <v>0</v>
      </c>
      <c r="T13" s="268" t="n">
        <v>0</v>
      </c>
      <c r="U13" s="268" t="n">
        <v>0</v>
      </c>
      <c r="V13" s="268" t="n">
        <v>0</v>
      </c>
      <c r="W13" s="268" t="n">
        <v>0</v>
      </c>
      <c r="X13" s="268" t="n">
        <v>0</v>
      </c>
      <c r="Y13" s="268" t="n">
        <v>0</v>
      </c>
      <c r="Z13" s="268" t="n">
        <v>0</v>
      </c>
      <c r="AA13" s="268" t="n">
        <v>0</v>
      </c>
      <c r="AB13" s="268" t="n">
        <v>0</v>
      </c>
      <c r="AC13" s="268" t="n">
        <v>0</v>
      </c>
      <c r="AD13" s="268" t="n">
        <v>0</v>
      </c>
      <c r="AE13" s="268" t="n">
        <v>0</v>
      </c>
      <c r="AF13" s="268" t="n">
        <v>0</v>
      </c>
      <c r="AG13" s="268" t="n">
        <v>0</v>
      </c>
    </row>
    <row r="14" customFormat="false" ht="12.75" hidden="false" customHeight="false" outlineLevel="0" collapsed="false">
      <c r="A14" s="269" t="s">
        <v>264</v>
      </c>
      <c r="C14" s="264" t="n">
        <f aca="false">SUM(C11:C13)</f>
        <v>8559.01858753092</v>
      </c>
      <c r="D14" s="264" t="n">
        <f aca="false">SUM(D11:D13)</f>
        <v>11155.3150787663</v>
      </c>
      <c r="E14" s="264" t="n">
        <f aca="false">SUM(E11:E13)</f>
        <v>11167.6176709896</v>
      </c>
      <c r="F14" s="264" t="n">
        <f aca="false">SUM(F11:F13)</f>
        <v>12237.247454588</v>
      </c>
      <c r="G14" s="264" t="n">
        <f aca="false">SUM(G11:G13)</f>
        <v>12743.5676169608</v>
      </c>
      <c r="H14" s="264" t="n">
        <f aca="false">SUM(H11:H13)</f>
        <v>12873.6962377748</v>
      </c>
      <c r="I14" s="264" t="n">
        <f aca="false">SUM(I11:I13)</f>
        <v>13002.8563197737</v>
      </c>
      <c r="J14" s="264" t="n">
        <f aca="false">SUM(J11:J13)</f>
        <v>13130.87263487</v>
      </c>
      <c r="K14" s="264" t="n">
        <f aca="false">SUM(K11:K13)</f>
        <v>13435.0336542011</v>
      </c>
      <c r="L14" s="264" t="n">
        <f aca="false">SUM(L11:L13)</f>
        <v>13565.52196265</v>
      </c>
      <c r="M14" s="264" t="n">
        <f aca="false">SUM(M11:M13)</f>
        <v>13882.7224618145</v>
      </c>
      <c r="N14" s="264" t="n">
        <f aca="false">SUM(N11:N13)</f>
        <v>14015.5090642168</v>
      </c>
      <c r="O14" s="264" t="n">
        <f aca="false">SUM(O11:O13)</f>
        <v>14346.2091764283</v>
      </c>
      <c r="P14" s="264" t="n">
        <f aca="false">SUM(P11:P13)</f>
        <v>14481.0900486442</v>
      </c>
      <c r="Q14" s="264" t="n">
        <f aca="false">SUM(Q11:Q13)</f>
        <v>14613.8451397257</v>
      </c>
      <c r="R14" s="264" t="n">
        <f aca="false">SUM(R11:R13)</f>
        <v>14744.2255100197</v>
      </c>
      <c r="S14" s="264" t="n">
        <f aca="false">SUM(S11:S13)</f>
        <v>14871.9691966971</v>
      </c>
      <c r="T14" s="264" t="n">
        <f aca="false">SUM(T11:T13)</f>
        <v>14996.8006564076</v>
      </c>
      <c r="U14" s="264" t="n">
        <f aca="false">SUM(U11:U13)</f>
        <v>15118.4301862152</v>
      </c>
      <c r="V14" s="264" t="n">
        <f aca="false">SUM(V11:V13)</f>
        <v>15236.5533220118</v>
      </c>
      <c r="W14" s="264" t="n">
        <f aca="false">SUM(W11:W13)</f>
        <v>15350.8502135802</v>
      </c>
      <c r="X14" s="264" t="n">
        <f aca="false">SUM(X11:X13)</f>
        <v>15460.9849754442</v>
      </c>
      <c r="Y14" s="264" t="n">
        <f aca="false">SUM(Y11:Y13)</f>
        <v>15571.7669174063</v>
      </c>
      <c r="Z14" s="264" t="n">
        <f aca="false">SUM(Z11:Z13)</f>
        <v>15683.2154548692</v>
      </c>
      <c r="AA14" s="264" t="n">
        <f aca="false">SUM(AA11:AA13)</f>
        <v>15795.3505856981</v>
      </c>
      <c r="AB14" s="264" t="n">
        <f aca="false">SUM(AB11:AB13)</f>
        <v>15908.1929076939</v>
      </c>
      <c r="AC14" s="264" t="n">
        <f aca="false">SUM(AC11:AC13)</f>
        <v>16021.7636365915</v>
      </c>
      <c r="AD14" s="264" t="n">
        <f aca="false">SUM(AD11:AD13)</f>
        <v>16136.0846245982</v>
      </c>
      <c r="AE14" s="264" t="n">
        <f aca="false">SUM(AE11:AE13)</f>
        <v>16251.1783794871</v>
      </c>
      <c r="AF14" s="264" t="n">
        <f aca="false">SUM(AF11:AF13)</f>
        <v>16367.0680842647</v>
      </c>
      <c r="AG14" s="264" t="n">
        <f aca="false">SUM(AG11:AG13)</f>
        <v>8133.63752098593</v>
      </c>
    </row>
    <row r="15" customFormat="false" ht="12.75" hidden="false" customHeight="false" outlineLevel="0" collapsed="false">
      <c r="A15" s="140"/>
      <c r="Y15" s="1"/>
      <c r="Z15" s="1"/>
    </row>
    <row r="16" customFormat="false" ht="12.75" hidden="false" customHeight="false" outlineLevel="0" collapsed="false">
      <c r="A16" s="263" t="s">
        <v>265</v>
      </c>
      <c r="Y16" s="1"/>
      <c r="Z16" s="1"/>
    </row>
    <row r="17" customFormat="false" ht="12.75" hidden="false" customHeight="false" outlineLevel="0" collapsed="false">
      <c r="A17" s="147" t="s">
        <v>266</v>
      </c>
      <c r="C17" s="270" t="n">
        <f aca="false">Assumptions!$H$61*'Price Assumption'!D30*Assumptions!$H$14/1000000</f>
        <v>2992.1719905</v>
      </c>
      <c r="D17" s="270" t="n">
        <f aca="false">Assumptions!$H$61*'Price Assumption'!E30*Assumptions!$H$14/1000000</f>
        <v>2992.1719905</v>
      </c>
      <c r="E17" s="270" t="n">
        <f aca="false">Assumptions!$H$61*'Price Assumption'!F30*Assumptions!$H$14/1000000</f>
        <v>2992.1719905</v>
      </c>
      <c r="F17" s="270" t="n">
        <f aca="false">Assumptions!$H$61*'Price Assumption'!G30*Assumptions!$H$14/1000000</f>
        <v>2992.1719905</v>
      </c>
      <c r="G17" s="270" t="n">
        <f aca="false">Assumptions!$H$61*'Price Assumption'!H30*Assumptions!$H$14/1000000</f>
        <v>2992.1719905</v>
      </c>
      <c r="H17" s="270" t="n">
        <f aca="false">Assumptions!$H$61*'Price Assumption'!I30*Assumptions!$H$14/1000000</f>
        <v>2992.1719905</v>
      </c>
      <c r="I17" s="270" t="n">
        <f aca="false">Assumptions!$H$61*'Price Assumption'!J30*Assumptions!$H$14/1000000</f>
        <v>2992.1719905</v>
      </c>
      <c r="J17" s="270" t="n">
        <f aca="false">Assumptions!$H$61*'Price Assumption'!K30*Assumptions!$H$14/1000000</f>
        <v>2992.1719905</v>
      </c>
      <c r="K17" s="270" t="n">
        <f aca="false">Assumptions!$H$61*'Price Assumption'!L30*Assumptions!$H$14/1000000</f>
        <v>2992.1719905</v>
      </c>
      <c r="L17" s="270" t="n">
        <f aca="false">Assumptions!$H$61*'Price Assumption'!M30*Assumptions!$H$14/1000000</f>
        <v>2992.1719905</v>
      </c>
      <c r="M17" s="270" t="n">
        <f aca="false">Assumptions!$H$61*'Price Assumption'!N30*Assumptions!$H$14/1000000</f>
        <v>2992.1719905</v>
      </c>
      <c r="N17" s="270" t="n">
        <f aca="false">Assumptions!$H$61*'Price Assumption'!O30*Assumptions!$H$14/1000000</f>
        <v>2992.1719905</v>
      </c>
      <c r="O17" s="270" t="n">
        <f aca="false">Assumptions!$H$61*'Price Assumption'!P30*Assumptions!$H$14/1000000</f>
        <v>2992.1719905</v>
      </c>
      <c r="P17" s="270" t="n">
        <f aca="false">Assumptions!$H$61*'Price Assumption'!Q30*Assumptions!$H$14/1000000</f>
        <v>2992.1719905</v>
      </c>
      <c r="Q17" s="270" t="n">
        <f aca="false">Assumptions!$H$61*'Price Assumption'!R30*Assumptions!$H$14/1000000</f>
        <v>2992.1719905</v>
      </c>
      <c r="R17" s="270" t="n">
        <f aca="false">Assumptions!$H$61*'Price Assumption'!S30*Assumptions!$H$14/1000000</f>
        <v>2992.1719905</v>
      </c>
      <c r="S17" s="270" t="n">
        <f aca="false">Assumptions!$H$61*'Price Assumption'!T30*Assumptions!$H$14/1000000</f>
        <v>2992.1719905</v>
      </c>
      <c r="T17" s="270" t="n">
        <f aca="false">Assumptions!$H$61*'Price Assumption'!U30*Assumptions!$H$14/1000000</f>
        <v>2992.1719905</v>
      </c>
      <c r="U17" s="270" t="n">
        <f aca="false">Assumptions!$H$61*'Price Assumption'!V30*Assumptions!$H$14/1000000</f>
        <v>2992.1719905</v>
      </c>
      <c r="V17" s="270" t="n">
        <f aca="false">Assumptions!$H$61*'Price Assumption'!W30*Assumptions!$H$14/1000000</f>
        <v>2992.1719905</v>
      </c>
      <c r="W17" s="270" t="n">
        <f aca="false">Assumptions!$H$61*'Price Assumption'!X30*Assumptions!$H$14/1000000</f>
        <v>2992.1719905</v>
      </c>
      <c r="X17" s="270" t="n">
        <f aca="false">Assumptions!$H$61*'Price Assumption'!Y30*Assumptions!$H$14/1000000</f>
        <v>2992.1719905</v>
      </c>
      <c r="Y17" s="270" t="n">
        <f aca="false">Assumptions!$H$61*'Price Assumption'!Z30*Assumptions!$H$14/1000000</f>
        <v>2992.1719905</v>
      </c>
      <c r="Z17" s="270" t="n">
        <f aca="false">Assumptions!$H$61*'Price Assumption'!AA30*Assumptions!$H$14/1000000</f>
        <v>2992.1719905</v>
      </c>
      <c r="AA17" s="270" t="n">
        <f aca="false">Assumptions!$H$61*'Price Assumption'!AB30*Assumptions!$H$14/1000000</f>
        <v>2992.1719905</v>
      </c>
      <c r="AB17" s="270" t="n">
        <f aca="false">Assumptions!$H$61*'Price Assumption'!AC30*Assumptions!$H$14/1000000</f>
        <v>2992.1719905</v>
      </c>
      <c r="AC17" s="270" t="n">
        <f aca="false">Assumptions!$H$61*'Price Assumption'!AD30*Assumptions!$H$14/1000000</f>
        <v>2992.1719905</v>
      </c>
      <c r="AD17" s="270" t="n">
        <f aca="false">Assumptions!$H$61*'Price Assumption'!AE30*Assumptions!$H$14/1000000</f>
        <v>2992.1719905</v>
      </c>
      <c r="AE17" s="270" t="n">
        <f aca="false">Assumptions!$H$61*'Price Assumption'!AF30*Assumptions!$H$14/1000000</f>
        <v>2992.1719905</v>
      </c>
      <c r="AF17" s="270" t="n">
        <f aca="false">Assumptions!$H$61*'Price Assumption'!AG30*Assumptions!$H$14/1000000</f>
        <v>2992.1719905</v>
      </c>
      <c r="AG17" s="270" t="n">
        <f aca="false">Assumptions!$H$61*'Price Assumption'!AH30*Assumptions!$H$14/1000000</f>
        <v>2992.1719905</v>
      </c>
    </row>
    <row r="18" customFormat="false" ht="12.75" hidden="false" customHeight="false" outlineLevel="0" collapsed="false">
      <c r="A18" s="147" t="s">
        <v>148</v>
      </c>
      <c r="C18" s="266" t="n">
        <f aca="false">Assumptions!$N28*C6</f>
        <v>366.666666666667</v>
      </c>
      <c r="D18" s="266" t="n">
        <f aca="false">Assumptions!$N28*(1+Assumptions!$N$20)</f>
        <v>566.5</v>
      </c>
      <c r="E18" s="266" t="n">
        <f aca="false">D18*(1+Assumptions!$N$20)</f>
        <v>583.495</v>
      </c>
      <c r="F18" s="266" t="n">
        <f aca="false">E18*(1+Assumptions!$N$20)</f>
        <v>600.99985</v>
      </c>
      <c r="G18" s="266" t="n">
        <f aca="false">F18*(1+Assumptions!$N$20)</f>
        <v>619.0298455</v>
      </c>
      <c r="H18" s="266" t="n">
        <f aca="false">G18*(1+Assumptions!$N$20)</f>
        <v>637.600740865</v>
      </c>
      <c r="I18" s="266" t="n">
        <f aca="false">H18*(1+Assumptions!$N$20)</f>
        <v>656.72876309095</v>
      </c>
      <c r="J18" s="266" t="n">
        <f aca="false">I18*(1+Assumptions!$N$20)</f>
        <v>676.430625983679</v>
      </c>
      <c r="K18" s="266" t="n">
        <f aca="false">J18*(1+Assumptions!$N$20)</f>
        <v>696.723544763189</v>
      </c>
      <c r="L18" s="266" t="n">
        <f aca="false">K18*(1+Assumptions!$N$20)</f>
        <v>717.625251106085</v>
      </c>
      <c r="M18" s="266" t="n">
        <f aca="false">L18*(1+Assumptions!$N$20)</f>
        <v>739.154008639267</v>
      </c>
      <c r="N18" s="266" t="n">
        <f aca="false">M18*(1+Assumptions!$N$20)</f>
        <v>761.328628898445</v>
      </c>
      <c r="O18" s="266" t="n">
        <f aca="false">N18*(1+Assumptions!$N$20)</f>
        <v>784.168487765399</v>
      </c>
      <c r="P18" s="266" t="n">
        <f aca="false">O18*(1+Assumptions!$N$20)</f>
        <v>807.693542398361</v>
      </c>
      <c r="Q18" s="266" t="n">
        <f aca="false">P18*(1+Assumptions!$N$20)</f>
        <v>831.924348670312</v>
      </c>
      <c r="R18" s="266" t="n">
        <f aca="false">Q18*(1+Assumptions!$N$20)</f>
        <v>856.882079130421</v>
      </c>
      <c r="S18" s="266" t="n">
        <f aca="false">R18*(1+Assumptions!$N$20)</f>
        <v>882.588541504334</v>
      </c>
      <c r="T18" s="266" t="n">
        <f aca="false">S18*(1+Assumptions!$N$20)</f>
        <v>909.066197749464</v>
      </c>
      <c r="U18" s="266" t="n">
        <f aca="false">T18*(1+Assumptions!$N$20)</f>
        <v>936.338183681948</v>
      </c>
      <c r="V18" s="266" t="n">
        <f aca="false">U18*(1+Assumptions!$N$20)</f>
        <v>964.428329192406</v>
      </c>
      <c r="W18" s="266" t="n">
        <f aca="false">V18*(1+Assumptions!$N$20)</f>
        <v>993.361179068178</v>
      </c>
      <c r="X18" s="266" t="n">
        <f aca="false">W18*(1+Assumptions!$N$20)</f>
        <v>1023.16201444022</v>
      </c>
      <c r="Y18" s="266" t="n">
        <f aca="false">X18*(1+Assumptions!$N$20)</f>
        <v>1053.85687487343</v>
      </c>
      <c r="Z18" s="266" t="n">
        <f aca="false">Y18*(1+Assumptions!$N$20)</f>
        <v>1085.47258111963</v>
      </c>
      <c r="AA18" s="266" t="n">
        <f aca="false">Z18*(1+Assumptions!$N$20)</f>
        <v>1118.03675855322</v>
      </c>
      <c r="AB18" s="266" t="n">
        <f aca="false">AA18*(1+Assumptions!$N$20)</f>
        <v>1151.57786130982</v>
      </c>
      <c r="AC18" s="266" t="n">
        <f aca="false">AB18*(1+Assumptions!$N$20)</f>
        <v>1186.12519714911</v>
      </c>
      <c r="AD18" s="266" t="n">
        <f aca="false">AC18*(1+Assumptions!$N$20)</f>
        <v>1221.70895306359</v>
      </c>
      <c r="AE18" s="266" t="n">
        <f aca="false">AD18*(1+Assumptions!$N$20)</f>
        <v>1258.3602216555</v>
      </c>
      <c r="AF18" s="266" t="n">
        <f aca="false">AE18*(1+Assumptions!$N$20)</f>
        <v>1296.11102830516</v>
      </c>
      <c r="AG18" s="266" t="n">
        <f aca="false">AF18*(1+Assumptions!$N$20)</f>
        <v>1334.99435915431</v>
      </c>
    </row>
    <row r="19" customFormat="false" ht="12.75" hidden="false" customHeight="false" outlineLevel="0" collapsed="false">
      <c r="A19" s="147" t="s">
        <v>267</v>
      </c>
      <c r="C19" s="270" t="n">
        <f aca="false">+(Assumptions!$P$24*Assumptions!$H$61)/1000*(1+Assumptions!$N$20)^IS!C6</f>
        <v>97.1078397924854</v>
      </c>
      <c r="D19" s="266" t="n">
        <f aca="false">C19*(1+Assumptions!$N$20)</f>
        <v>100.02107498626</v>
      </c>
      <c r="E19" s="266" t="n">
        <f aca="false">D19*(1+Assumptions!$N$20)</f>
        <v>103.021707235848</v>
      </c>
      <c r="F19" s="266" t="n">
        <f aca="false">E19*(1+Assumptions!$N$20)</f>
        <v>106.112358452923</v>
      </c>
      <c r="G19" s="266" t="n">
        <f aca="false">F19*(1+Assumptions!$N$20)</f>
        <v>109.295729206511</v>
      </c>
      <c r="H19" s="266" t="n">
        <f aca="false">G19*(1+Assumptions!$N$20)</f>
        <v>112.574601082706</v>
      </c>
      <c r="I19" s="266" t="n">
        <f aca="false">H19*(1+Assumptions!$N$20)</f>
        <v>115.951839115187</v>
      </c>
      <c r="J19" s="266" t="n">
        <f aca="false">I19*(1+Assumptions!$N$20)</f>
        <v>119.430394288643</v>
      </c>
      <c r="K19" s="266" t="n">
        <f aca="false">J19*(1+Assumptions!$N$20)</f>
        <v>123.013306117302</v>
      </c>
      <c r="L19" s="266" t="n">
        <f aca="false">K19*(1+Assumptions!$N$20)</f>
        <v>126.703705300821</v>
      </c>
      <c r="M19" s="266" t="n">
        <f aca="false">L19*(1+Assumptions!$N$20)</f>
        <v>130.504816459846</v>
      </c>
      <c r="N19" s="266" t="n">
        <f aca="false">M19*(1+Assumptions!$N$20)</f>
        <v>134.419960953642</v>
      </c>
      <c r="O19" s="266" t="n">
        <f aca="false">N19*(1+Assumptions!$N$20)</f>
        <v>138.452559782251</v>
      </c>
      <c r="P19" s="266" t="n">
        <f aca="false">O19*(1+Assumptions!$N$20)</f>
        <v>142.606136575718</v>
      </c>
      <c r="Q19" s="266" t="n">
        <f aca="false">P19*(1+Assumptions!$N$20)</f>
        <v>146.88432067299</v>
      </c>
      <c r="R19" s="266" t="n">
        <f aca="false">Q19*(1+Assumptions!$N$20)</f>
        <v>151.29085029318</v>
      </c>
      <c r="S19" s="266" t="n">
        <f aca="false">R19*(1+Assumptions!$N$20)</f>
        <v>155.829575801975</v>
      </c>
      <c r="T19" s="266" t="n">
        <f aca="false">S19*(1+Assumptions!$N$20)</f>
        <v>160.504463076034</v>
      </c>
      <c r="U19" s="266" t="n">
        <f aca="false">T19*(1+Assumptions!$N$20)</f>
        <v>165.319596968315</v>
      </c>
      <c r="V19" s="266" t="n">
        <f aca="false">U19*(1+Assumptions!$N$20)</f>
        <v>170.279184877365</v>
      </c>
      <c r="W19" s="266" t="n">
        <f aca="false">V19*(1+Assumptions!$N$20)</f>
        <v>175.387560423686</v>
      </c>
      <c r="X19" s="266" t="n">
        <f aca="false">W19*(1+Assumptions!$N$20)</f>
        <v>180.649187236396</v>
      </c>
      <c r="Y19" s="266" t="n">
        <f aca="false">X19*(1+Assumptions!$N$20)</f>
        <v>186.068662853488</v>
      </c>
      <c r="Z19" s="266" t="n">
        <f aca="false">Y19*(1+Assumptions!$N$20)</f>
        <v>191.650722739093</v>
      </c>
      <c r="AA19" s="266" t="n">
        <f aca="false">Z19*(1+Assumptions!$N$20)</f>
        <v>197.400244421265</v>
      </c>
      <c r="AB19" s="266" t="n">
        <f aca="false">AA19*(1+Assumptions!$N$20)</f>
        <v>203.322251753903</v>
      </c>
      <c r="AC19" s="266" t="n">
        <f aca="false">AB19*(1+Assumptions!$N$20)</f>
        <v>209.421919306521</v>
      </c>
      <c r="AD19" s="266" t="n">
        <f aca="false">AC19*(1+Assumptions!$N$20)</f>
        <v>215.704576885716</v>
      </c>
      <c r="AE19" s="266" t="n">
        <f aca="false">AD19*(1+Assumptions!$N$20)</f>
        <v>222.175714192288</v>
      </c>
      <c r="AF19" s="266" t="n">
        <f aca="false">AE19*(1+Assumptions!$N$20)</f>
        <v>228.840985618056</v>
      </c>
      <c r="AG19" s="266" t="n">
        <f aca="false">AF19*(1+Assumptions!$N$20)</f>
        <v>235.706215186598</v>
      </c>
    </row>
    <row r="20" customFormat="false" ht="12.75" hidden="false" customHeight="false" outlineLevel="0" collapsed="false">
      <c r="A20" s="147" t="s">
        <v>139</v>
      </c>
      <c r="C20" s="266" t="n">
        <f aca="false">Assumptions!$P$25*Assumptions!$H$61/1000*(1+Assumptions!$N$20)^IS!C6</f>
        <v>301.034303356705</v>
      </c>
      <c r="D20" s="266" t="n">
        <f aca="false">C20*(1+Assumptions!$N$20)</f>
        <v>310.065332457406</v>
      </c>
      <c r="E20" s="266" t="n">
        <f aca="false">D20*(1+Assumptions!$N$20)</f>
        <v>319.367292431128</v>
      </c>
      <c r="F20" s="266" t="n">
        <f aca="false">E20*(1+Assumptions!$N$20)</f>
        <v>328.948311204062</v>
      </c>
      <c r="G20" s="266" t="n">
        <f aca="false">F20*(1+Assumptions!$N$20)</f>
        <v>338.816760540184</v>
      </c>
      <c r="H20" s="266" t="n">
        <f aca="false">G20*(1+Assumptions!$N$20)</f>
        <v>348.98126335639</v>
      </c>
      <c r="I20" s="266" t="n">
        <f aca="false">H20*(1+Assumptions!$N$20)</f>
        <v>359.450701257081</v>
      </c>
      <c r="J20" s="266" t="n">
        <f aca="false">I20*(1+Assumptions!$N$20)</f>
        <v>370.234222294794</v>
      </c>
      <c r="K20" s="266" t="n">
        <f aca="false">J20*(1+Assumptions!$N$20)</f>
        <v>381.341248963638</v>
      </c>
      <c r="L20" s="266" t="n">
        <f aca="false">K20*(1+Assumptions!$N$20)</f>
        <v>392.781486432547</v>
      </c>
      <c r="M20" s="266" t="n">
        <f aca="false">L20*(1+Assumptions!$N$20)</f>
        <v>404.564931025523</v>
      </c>
      <c r="N20" s="266" t="n">
        <f aca="false">M20*(1+Assumptions!$N$20)</f>
        <v>416.701878956289</v>
      </c>
      <c r="O20" s="266" t="n">
        <f aca="false">N20*(1+Assumptions!$N$20)</f>
        <v>429.202935324977</v>
      </c>
      <c r="P20" s="266" t="n">
        <f aca="false">O20*(1+Assumptions!$N$20)</f>
        <v>442.079023384727</v>
      </c>
      <c r="Q20" s="266" t="n">
        <f aca="false">P20*(1+Assumptions!$N$20)</f>
        <v>455.341394086269</v>
      </c>
      <c r="R20" s="266" t="n">
        <f aca="false">Q20*(1+Assumptions!$N$20)</f>
        <v>469.001635908857</v>
      </c>
      <c r="S20" s="266" t="n">
        <f aca="false">R20*(1+Assumptions!$N$20)</f>
        <v>483.071684986122</v>
      </c>
      <c r="T20" s="266" t="n">
        <f aca="false">S20*(1+Assumptions!$N$20)</f>
        <v>497.563835535706</v>
      </c>
      <c r="U20" s="266" t="n">
        <f aca="false">T20*(1+Assumptions!$N$20)</f>
        <v>512.490750601777</v>
      </c>
      <c r="V20" s="266" t="n">
        <f aca="false">U20*(1+Assumptions!$N$20)</f>
        <v>527.865473119831</v>
      </c>
      <c r="W20" s="266" t="n">
        <f aca="false">V20*(1+Assumptions!$N$20)</f>
        <v>543.701437313426</v>
      </c>
      <c r="X20" s="266" t="n">
        <f aca="false">W20*(1+Assumptions!$N$20)</f>
        <v>560.012480432828</v>
      </c>
      <c r="Y20" s="266" t="n">
        <f aca="false">X20*(1+Assumptions!$N$20)</f>
        <v>576.812854845813</v>
      </c>
      <c r="Z20" s="266" t="n">
        <f aca="false">Y20*(1+Assumptions!$N$20)</f>
        <v>594.117240491188</v>
      </c>
      <c r="AA20" s="266" t="n">
        <f aca="false">Z20*(1+Assumptions!$N$20)</f>
        <v>611.940757705923</v>
      </c>
      <c r="AB20" s="266" t="n">
        <f aca="false">AA20*(1+Assumptions!$N$20)</f>
        <v>630.298980437101</v>
      </c>
      <c r="AC20" s="266" t="n">
        <f aca="false">AB20*(1+Assumptions!$N$20)</f>
        <v>649.207949850214</v>
      </c>
      <c r="AD20" s="266" t="n">
        <f aca="false">AC20*(1+Assumptions!$N$20)</f>
        <v>668.684188345721</v>
      </c>
      <c r="AE20" s="266" t="n">
        <f aca="false">AD20*(1+Assumptions!$N$20)</f>
        <v>688.744713996092</v>
      </c>
      <c r="AF20" s="266" t="n">
        <f aca="false">AE20*(1+Assumptions!$N$20)</f>
        <v>709.407055415975</v>
      </c>
      <c r="AG20" s="266" t="n">
        <f aca="false">AF20*(1+Assumptions!$N$20)</f>
        <v>730.689267078454</v>
      </c>
    </row>
    <row r="21" customFormat="false" ht="12.75" hidden="false" customHeight="false" outlineLevel="0" collapsed="false">
      <c r="A21" s="147" t="s">
        <v>151</v>
      </c>
      <c r="C21" s="266" t="n">
        <f aca="false">Assumptions!$N29*Assumptions!H17/12</f>
        <v>0</v>
      </c>
      <c r="D21" s="266" t="n">
        <f aca="false">Assumptions!$N29*(1+Assumptions!$N$20)</f>
        <v>0</v>
      </c>
      <c r="E21" s="266" t="n">
        <f aca="false">D21*(1+Assumptions!$N$20)</f>
        <v>0</v>
      </c>
      <c r="F21" s="266" t="n">
        <f aca="false">E21*(1+Assumptions!$N$20)</f>
        <v>0</v>
      </c>
      <c r="G21" s="266" t="n">
        <f aca="false">F21*(1+Assumptions!$N$20)</f>
        <v>0</v>
      </c>
      <c r="H21" s="266" t="n">
        <f aca="false">G21*(1+Assumptions!$N$20)</f>
        <v>0</v>
      </c>
      <c r="I21" s="266" t="n">
        <f aca="false">H21*(1+Assumptions!$N$20)</f>
        <v>0</v>
      </c>
      <c r="J21" s="266" t="n">
        <f aca="false">I21*(1+Assumptions!$N$20)</f>
        <v>0</v>
      </c>
      <c r="K21" s="266" t="n">
        <f aca="false">J21*(1+Assumptions!$N$20)</f>
        <v>0</v>
      </c>
      <c r="L21" s="266" t="n">
        <f aca="false">K21*(1+Assumptions!$N$20)</f>
        <v>0</v>
      </c>
      <c r="M21" s="266" t="n">
        <f aca="false">L21*(1+Assumptions!$N$20)</f>
        <v>0</v>
      </c>
      <c r="N21" s="266" t="n">
        <f aca="false">M21*(1+Assumptions!$N$20)</f>
        <v>0</v>
      </c>
      <c r="O21" s="266" t="n">
        <f aca="false">N21*(1+Assumptions!$N$20)</f>
        <v>0</v>
      </c>
      <c r="P21" s="266" t="n">
        <f aca="false">O21*(1+Assumptions!$N$20)</f>
        <v>0</v>
      </c>
      <c r="Q21" s="266" t="n">
        <f aca="false">P21*(1+Assumptions!$N$20)</f>
        <v>0</v>
      </c>
      <c r="R21" s="266" t="n">
        <f aca="false">Q21*(1+Assumptions!$N$20)</f>
        <v>0</v>
      </c>
      <c r="S21" s="266" t="n">
        <f aca="false">R21*(1+Assumptions!$N$20)</f>
        <v>0</v>
      </c>
      <c r="T21" s="266" t="n">
        <f aca="false">S21*(1+Assumptions!$N$20)</f>
        <v>0</v>
      </c>
      <c r="U21" s="266" t="n">
        <f aca="false">T21*(1+Assumptions!$N$20)</f>
        <v>0</v>
      </c>
      <c r="V21" s="266" t="n">
        <f aca="false">U21*(1+Assumptions!$N$20)</f>
        <v>0</v>
      </c>
      <c r="W21" s="266" t="n">
        <f aca="false">V21*(1+Assumptions!$N$20)</f>
        <v>0</v>
      </c>
      <c r="X21" s="266" t="n">
        <f aca="false">W21*(1+Assumptions!$N$20)</f>
        <v>0</v>
      </c>
      <c r="Y21" s="266" t="n">
        <f aca="false">X21*(1+Assumptions!$N$20)</f>
        <v>0</v>
      </c>
      <c r="Z21" s="266" t="n">
        <f aca="false">Y21*(1+Assumptions!$N$20)</f>
        <v>0</v>
      </c>
      <c r="AA21" s="266" t="n">
        <f aca="false">Z21*(1+Assumptions!$N$20)</f>
        <v>0</v>
      </c>
      <c r="AB21" s="266" t="n">
        <f aca="false">AA21*(1+Assumptions!$N$20)</f>
        <v>0</v>
      </c>
      <c r="AC21" s="266" t="n">
        <f aca="false">AB21*(1+Assumptions!$N$20)</f>
        <v>0</v>
      </c>
      <c r="AD21" s="266" t="n">
        <f aca="false">AC21*(1+Assumptions!$N$20)</f>
        <v>0</v>
      </c>
      <c r="AE21" s="266" t="n">
        <f aca="false">AD21*(1+Assumptions!$N$20)</f>
        <v>0</v>
      </c>
      <c r="AF21" s="266" t="n">
        <f aca="false">AE21*(1+Assumptions!$N$20)</f>
        <v>0</v>
      </c>
      <c r="AG21" s="266" t="n">
        <f aca="false">AF21*(1+Assumptions!$N$20)</f>
        <v>0</v>
      </c>
    </row>
    <row r="22" customFormat="false" ht="12.75" hidden="false" customHeight="false" outlineLevel="0" collapsed="false">
      <c r="A22" s="147" t="s">
        <v>153</v>
      </c>
      <c r="C22" s="266" t="n">
        <f aca="false">Assumptions!$N30*Assumptions!H17/12</f>
        <v>0</v>
      </c>
      <c r="D22" s="266" t="n">
        <f aca="false">(Assumptions!$N30)*(1+Assumptions!$N$20)</f>
        <v>0</v>
      </c>
      <c r="E22" s="266" t="n">
        <f aca="false">D22*(1+Assumptions!$N$20)</f>
        <v>0</v>
      </c>
      <c r="F22" s="266" t="n">
        <f aca="false">E22*(1+Assumptions!$N$20)</f>
        <v>0</v>
      </c>
      <c r="G22" s="266" t="n">
        <f aca="false">F22*(1+Assumptions!$N$20)</f>
        <v>0</v>
      </c>
      <c r="H22" s="266" t="n">
        <f aca="false">G22*(1+Assumptions!$N$20)</f>
        <v>0</v>
      </c>
      <c r="I22" s="266" t="n">
        <f aca="false">H22*(1+Assumptions!$N$20)</f>
        <v>0</v>
      </c>
      <c r="J22" s="266" t="n">
        <f aca="false">I22*(1+Assumptions!$N$20)</f>
        <v>0</v>
      </c>
      <c r="K22" s="266" t="n">
        <f aca="false">J22*(1+Assumptions!$N$20)</f>
        <v>0</v>
      </c>
      <c r="L22" s="266" t="n">
        <f aca="false">K22*(1+Assumptions!$N$20)</f>
        <v>0</v>
      </c>
      <c r="M22" s="266" t="n">
        <f aca="false">L22*(1+Assumptions!$N$20)</f>
        <v>0</v>
      </c>
      <c r="N22" s="266" t="n">
        <f aca="false">M22*(1+Assumptions!$N$20)</f>
        <v>0</v>
      </c>
      <c r="O22" s="266" t="n">
        <f aca="false">N22*(1+Assumptions!$N$20)</f>
        <v>0</v>
      </c>
      <c r="P22" s="266" t="n">
        <f aca="false">O22*(1+Assumptions!$N$20)</f>
        <v>0</v>
      </c>
      <c r="Q22" s="266" t="n">
        <f aca="false">P22*(1+Assumptions!$N$20)</f>
        <v>0</v>
      </c>
      <c r="R22" s="266" t="n">
        <f aca="false">Q22*(1+Assumptions!$N$20)</f>
        <v>0</v>
      </c>
      <c r="S22" s="266" t="n">
        <f aca="false">R22*(1+Assumptions!$N$20)</f>
        <v>0</v>
      </c>
      <c r="T22" s="266" t="n">
        <f aca="false">S22*(1+Assumptions!$N$20)</f>
        <v>0</v>
      </c>
      <c r="U22" s="266" t="n">
        <f aca="false">T22*(1+Assumptions!$N$20)</f>
        <v>0</v>
      </c>
      <c r="V22" s="266" t="n">
        <f aca="false">U22*(1+Assumptions!$N$20)</f>
        <v>0</v>
      </c>
      <c r="W22" s="266" t="n">
        <f aca="false">V22*(1+Assumptions!$N$20)</f>
        <v>0</v>
      </c>
      <c r="X22" s="266" t="n">
        <f aca="false">W22*(1+Assumptions!$N$20)</f>
        <v>0</v>
      </c>
      <c r="Y22" s="266" t="n">
        <f aca="false">X22*(1+Assumptions!$N$20)</f>
        <v>0</v>
      </c>
      <c r="Z22" s="266" t="n">
        <f aca="false">Y22*(1+Assumptions!$N$20)</f>
        <v>0</v>
      </c>
      <c r="AA22" s="266" t="n">
        <f aca="false">Z22*(1+Assumptions!$N$20)</f>
        <v>0</v>
      </c>
      <c r="AB22" s="266" t="n">
        <f aca="false">AA22*(1+Assumptions!$N$20)</f>
        <v>0</v>
      </c>
      <c r="AC22" s="266" t="n">
        <f aca="false">AB22*(1+Assumptions!$N$20)</f>
        <v>0</v>
      </c>
      <c r="AD22" s="266" t="n">
        <f aca="false">AC22*(1+Assumptions!$N$20)</f>
        <v>0</v>
      </c>
      <c r="AE22" s="266" t="n">
        <f aca="false">AD22*(1+Assumptions!$N$20)</f>
        <v>0</v>
      </c>
      <c r="AF22" s="266" t="n">
        <f aca="false">AE22*(1+Assumptions!$N$20)</f>
        <v>0</v>
      </c>
      <c r="AG22" s="266" t="n">
        <f aca="false">AF22*(1+Assumptions!$N$20)</f>
        <v>0</v>
      </c>
    </row>
    <row r="23" customFormat="false" ht="12.75" hidden="false" customHeight="false" outlineLevel="0" collapsed="false">
      <c r="A23" s="147" t="s">
        <v>268</v>
      </c>
      <c r="C23" s="266" t="n">
        <f aca="false">+Assumptions!N31*Assumptions!H17/12</f>
        <v>0</v>
      </c>
      <c r="D23" s="266" t="n">
        <f aca="false">+Assumptions!N31*(1+Assumptions!$N$20)</f>
        <v>0</v>
      </c>
      <c r="E23" s="266" t="n">
        <f aca="false">D23*(1+Assumptions!$N$20)</f>
        <v>0</v>
      </c>
      <c r="F23" s="266" t="n">
        <f aca="false">E23*(1+Assumptions!$N$20)</f>
        <v>0</v>
      </c>
      <c r="G23" s="266" t="n">
        <f aca="false">F23*(1+Assumptions!$N$20)</f>
        <v>0</v>
      </c>
      <c r="H23" s="266" t="n">
        <f aca="false">G23*(1+Assumptions!$N$20)</f>
        <v>0</v>
      </c>
      <c r="I23" s="266" t="n">
        <f aca="false">H23*(1+Assumptions!$N$20)</f>
        <v>0</v>
      </c>
      <c r="J23" s="266" t="n">
        <f aca="false">I23*(1+Assumptions!$N$20)</f>
        <v>0</v>
      </c>
      <c r="K23" s="266" t="n">
        <f aca="false">J23*(1+Assumptions!$N$20)</f>
        <v>0</v>
      </c>
      <c r="L23" s="266" t="n">
        <f aca="false">K23*(1+Assumptions!$N$20)</f>
        <v>0</v>
      </c>
      <c r="M23" s="266" t="n">
        <f aca="false">L23*(1+Assumptions!$N$20)</f>
        <v>0</v>
      </c>
      <c r="N23" s="266" t="n">
        <f aca="false">M23*(1+Assumptions!$N$20)</f>
        <v>0</v>
      </c>
      <c r="O23" s="266" t="n">
        <f aca="false">N23*(1+Assumptions!$N$20)</f>
        <v>0</v>
      </c>
      <c r="P23" s="266" t="n">
        <f aca="false">O23*(1+Assumptions!$N$20)</f>
        <v>0</v>
      </c>
      <c r="Q23" s="266" t="n">
        <f aca="false">P23*(1+Assumptions!$N$20)</f>
        <v>0</v>
      </c>
      <c r="R23" s="266" t="n">
        <f aca="false">Q23*(1+Assumptions!$N$20)</f>
        <v>0</v>
      </c>
      <c r="S23" s="266" t="n">
        <f aca="false">R23*(1+Assumptions!$N$20)</f>
        <v>0</v>
      </c>
      <c r="T23" s="266" t="n">
        <f aca="false">S23*(1+Assumptions!$N$20)</f>
        <v>0</v>
      </c>
      <c r="U23" s="266" t="n">
        <f aca="false">T23*(1+Assumptions!$N$20)</f>
        <v>0</v>
      </c>
      <c r="V23" s="266" t="n">
        <f aca="false">U23*(1+Assumptions!$N$20)</f>
        <v>0</v>
      </c>
      <c r="W23" s="266" t="n">
        <f aca="false">V23*(1+Assumptions!$N$20)</f>
        <v>0</v>
      </c>
      <c r="X23" s="266" t="n">
        <f aca="false">W23*(1+Assumptions!$N$20)</f>
        <v>0</v>
      </c>
      <c r="Y23" s="266" t="n">
        <f aca="false">X23*(1+Assumptions!$N$20)</f>
        <v>0</v>
      </c>
      <c r="Z23" s="266" t="n">
        <f aca="false">Y23*(1+Assumptions!$N$20)</f>
        <v>0</v>
      </c>
      <c r="AA23" s="266" t="n">
        <f aca="false">Z23*(1+Assumptions!$N$20)</f>
        <v>0</v>
      </c>
      <c r="AB23" s="266" t="n">
        <f aca="false">AA23*(1+Assumptions!$N$20)</f>
        <v>0</v>
      </c>
      <c r="AC23" s="266" t="n">
        <f aca="false">AB23*(1+Assumptions!$N$20)</f>
        <v>0</v>
      </c>
      <c r="AD23" s="266" t="n">
        <f aca="false">AC23*(1+Assumptions!$N$20)</f>
        <v>0</v>
      </c>
      <c r="AE23" s="266" t="n">
        <f aca="false">AD23*(1+Assumptions!$N$20)</f>
        <v>0</v>
      </c>
      <c r="AF23" s="266" t="n">
        <f aca="false">AE23*(1+Assumptions!$N$20)</f>
        <v>0</v>
      </c>
      <c r="AG23" s="266" t="n">
        <f aca="false">AF23*(1+Assumptions!$N$20)</f>
        <v>0</v>
      </c>
    </row>
    <row r="24" customFormat="false" ht="14.25" hidden="false" customHeight="true" outlineLevel="0" collapsed="false">
      <c r="A24" s="147" t="s">
        <v>175</v>
      </c>
      <c r="C24" s="266" t="n">
        <f aca="false">Assumptions!$N$39</f>
        <v>0</v>
      </c>
      <c r="D24" s="266" t="n">
        <f aca="false">Assumptions!$N$39</f>
        <v>0</v>
      </c>
      <c r="E24" s="266" t="n">
        <f aca="false">Assumptions!$N$39</f>
        <v>0</v>
      </c>
      <c r="F24" s="266" t="n">
        <f aca="false">Assumptions!$N$39</f>
        <v>0</v>
      </c>
      <c r="G24" s="266" t="n">
        <f aca="false">Assumptions!$N$39</f>
        <v>0</v>
      </c>
      <c r="H24" s="266" t="n">
        <f aca="false">Assumptions!$N$39</f>
        <v>0</v>
      </c>
      <c r="I24" s="266" t="n">
        <f aca="false">Assumptions!$N$39</f>
        <v>0</v>
      </c>
      <c r="J24" s="266" t="n">
        <f aca="false">Assumptions!$N$39</f>
        <v>0</v>
      </c>
      <c r="K24" s="266" t="n">
        <f aca="false">Assumptions!$N$39</f>
        <v>0</v>
      </c>
      <c r="L24" s="266" t="n">
        <f aca="false">Assumptions!$N$39</f>
        <v>0</v>
      </c>
      <c r="M24" s="266" t="n">
        <f aca="false">Assumptions!$N$39</f>
        <v>0</v>
      </c>
      <c r="N24" s="266" t="n">
        <f aca="false">Assumptions!$N$39</f>
        <v>0</v>
      </c>
      <c r="O24" s="266" t="n">
        <f aca="false">Assumptions!$N$39</f>
        <v>0</v>
      </c>
      <c r="P24" s="266" t="n">
        <f aca="false">Assumptions!$N$39</f>
        <v>0</v>
      </c>
      <c r="Q24" s="266" t="n">
        <f aca="false">Assumptions!$N$39</f>
        <v>0</v>
      </c>
      <c r="R24" s="266" t="n">
        <f aca="false">Assumptions!$N$39</f>
        <v>0</v>
      </c>
      <c r="S24" s="266" t="n">
        <f aca="false">Assumptions!$N$39</f>
        <v>0</v>
      </c>
      <c r="T24" s="266" t="n">
        <f aca="false">Assumptions!$N$39</f>
        <v>0</v>
      </c>
      <c r="U24" s="266" t="n">
        <f aca="false">Assumptions!$N$39</f>
        <v>0</v>
      </c>
      <c r="V24" s="266" t="n">
        <f aca="false">Assumptions!$N$39</f>
        <v>0</v>
      </c>
      <c r="W24" s="266" t="n">
        <f aca="false">Assumptions!$N$39</f>
        <v>0</v>
      </c>
      <c r="X24" s="266" t="n">
        <f aca="false">Assumptions!$N$39</f>
        <v>0</v>
      </c>
      <c r="Y24" s="266" t="n">
        <f aca="false">Assumptions!$N$39</f>
        <v>0</v>
      </c>
      <c r="Z24" s="266" t="n">
        <f aca="false">Assumptions!$N$39</f>
        <v>0</v>
      </c>
      <c r="AA24" s="266" t="n">
        <f aca="false">Assumptions!$N$39</f>
        <v>0</v>
      </c>
      <c r="AB24" s="266" t="n">
        <f aca="false">Assumptions!$N$39</f>
        <v>0</v>
      </c>
      <c r="AC24" s="266" t="n">
        <f aca="false">Assumptions!$N$39</f>
        <v>0</v>
      </c>
      <c r="AD24" s="266" t="n">
        <f aca="false">Assumptions!$N$39</f>
        <v>0</v>
      </c>
      <c r="AE24" s="266" t="n">
        <f aca="false">Assumptions!$N$39</f>
        <v>0</v>
      </c>
      <c r="AF24" s="266" t="n">
        <f aca="false">Assumptions!$N$39</f>
        <v>0</v>
      </c>
      <c r="AG24" s="266" t="n">
        <f aca="false">Assumptions!$N$39</f>
        <v>0</v>
      </c>
    </row>
    <row r="25" customFormat="false" ht="12.75" hidden="false" customHeight="false" outlineLevel="0" collapsed="false">
      <c r="A25" s="3" t="s">
        <v>179</v>
      </c>
      <c r="C25" s="266" t="n">
        <f aca="false">Assumptions!$N$61*Depreciation!D50*Assumptions!H17/12</f>
        <v>128.574891177858</v>
      </c>
      <c r="D25" s="266" t="n">
        <f aca="false">Assumptions!$N$61*Depreciation!E50</f>
        <v>185.492536661681</v>
      </c>
      <c r="E25" s="266" t="n">
        <f aca="false">Assumptions!$N$61*Depreciation!F50</f>
        <v>178.122736556575</v>
      </c>
      <c r="F25" s="266" t="n">
        <f aca="false">Assumptions!$N$61*Depreciation!G50</f>
        <v>170.752936451469</v>
      </c>
      <c r="G25" s="266" t="n">
        <f aca="false">Assumptions!$N$61*Depreciation!H50</f>
        <v>163.383136346364</v>
      </c>
      <c r="H25" s="266" t="n">
        <f aca="false">Assumptions!$N$61*Depreciation!I50</f>
        <v>157.140029574591</v>
      </c>
      <c r="I25" s="266" t="n">
        <f aca="false">Assumptions!$N$61*Depreciation!J50</f>
        <v>151.460269469486</v>
      </c>
      <c r="J25" s="266" t="n">
        <f aca="false">Assumptions!$N$61*Depreciation!K50</f>
        <v>145.78050936438</v>
      </c>
      <c r="K25" s="266" t="n">
        <f aca="false">Assumptions!$N$61*Depreciation!L50</f>
        <v>140.100749259274</v>
      </c>
      <c r="L25" s="266" t="n">
        <f aca="false">Assumptions!$N$61*Depreciation!M50</f>
        <v>134.420989154168</v>
      </c>
      <c r="M25" s="266" t="n">
        <f aca="false">Assumptions!$N$61*Depreciation!N50</f>
        <v>128.741229049063</v>
      </c>
      <c r="N25" s="266" t="n">
        <f aca="false">Assumptions!$N$61*Depreciation!O50</f>
        <v>123.061468943957</v>
      </c>
      <c r="O25" s="266" t="n">
        <f aca="false">Assumptions!$N$61*Depreciation!P50</f>
        <v>117.381708838851</v>
      </c>
      <c r="P25" s="266" t="n">
        <f aca="false">Assumptions!$N$61*Depreciation!Q50</f>
        <v>111.701948733746</v>
      </c>
      <c r="Q25" s="266" t="n">
        <f aca="false">Assumptions!$N$61*Depreciation!R50</f>
        <v>106.02218862864</v>
      </c>
      <c r="R25" s="266" t="n">
        <f aca="false">Assumptions!$N$61*Depreciation!S50</f>
        <v>100.342428523534</v>
      </c>
      <c r="S25" s="266" t="n">
        <f aca="false">Assumptions!$N$61*Depreciation!T50</f>
        <v>94.6626684184284</v>
      </c>
      <c r="T25" s="266" t="n">
        <f aca="false">Assumptions!$N$61*Depreciation!U50</f>
        <v>88.9829083133227</v>
      </c>
      <c r="U25" s="266" t="n">
        <f aca="false">Assumptions!$N$61*Depreciation!V50</f>
        <v>83.303148208217</v>
      </c>
      <c r="V25" s="266" t="n">
        <f aca="false">Assumptions!$N$61*Depreciation!W50</f>
        <v>77.6233881031113</v>
      </c>
      <c r="W25" s="266" t="n">
        <f aca="false">Assumptions!$N$61*Depreciation!X50</f>
        <v>71.9436279980056</v>
      </c>
      <c r="X25" s="266" t="n">
        <f aca="false">Assumptions!$N$61*Depreciation!Y50</f>
        <v>66.2638678928999</v>
      </c>
      <c r="Y25" s="266" t="n">
        <f aca="false">Assumptions!$N$61*Depreciation!Z50</f>
        <v>60.5841077877942</v>
      </c>
      <c r="Z25" s="266" t="n">
        <f aca="false">Assumptions!$N$61*Depreciation!AA50</f>
        <v>54.9043476826885</v>
      </c>
      <c r="AA25" s="266" t="n">
        <f aca="false">Assumptions!$N$61*Depreciation!AB50</f>
        <v>49.2245875775828</v>
      </c>
      <c r="AB25" s="266" t="n">
        <f aca="false">Assumptions!$N$61*Depreciation!AC50</f>
        <v>43.5448274724771</v>
      </c>
      <c r="AC25" s="266" t="n">
        <f aca="false">Assumptions!$N$61*Depreciation!AD50</f>
        <v>37.8650673673714</v>
      </c>
      <c r="AD25" s="266" t="n">
        <f aca="false">Assumptions!$N$61*Depreciation!AE50</f>
        <v>32.1853072622657</v>
      </c>
      <c r="AE25" s="266" t="n">
        <f aca="false">Assumptions!$N$61*Depreciation!AF50</f>
        <v>26.5055471571599</v>
      </c>
      <c r="AF25" s="266" t="n">
        <f aca="false">Assumptions!$N$61*Depreciation!AG50</f>
        <v>20.8257870520542</v>
      </c>
      <c r="AG25" s="266" t="n">
        <f aca="false">Assumptions!$N$61*Depreciation!AH50</f>
        <v>18.9325336836857</v>
      </c>
    </row>
    <row r="26" customFormat="false" ht="12.75" hidden="false" customHeight="false" outlineLevel="0" collapsed="false">
      <c r="A26" s="3" t="s">
        <v>182</v>
      </c>
      <c r="C26" s="271" t="n">
        <v>0</v>
      </c>
      <c r="D26" s="271" t="n">
        <v>0</v>
      </c>
      <c r="E26" s="271" t="n">
        <v>0</v>
      </c>
      <c r="F26" s="271" t="n">
        <v>0</v>
      </c>
      <c r="G26" s="271" t="n">
        <v>0</v>
      </c>
      <c r="H26" s="271" t="n">
        <v>0</v>
      </c>
      <c r="I26" s="271" t="n">
        <v>0</v>
      </c>
      <c r="J26" s="271" t="n">
        <v>0</v>
      </c>
      <c r="K26" s="271" t="n">
        <v>0</v>
      </c>
      <c r="L26" s="271" t="n">
        <v>0</v>
      </c>
      <c r="M26" s="271" t="n">
        <v>0</v>
      </c>
      <c r="N26" s="271" t="n">
        <v>0</v>
      </c>
      <c r="O26" s="271" t="n">
        <v>0</v>
      </c>
      <c r="P26" s="271" t="n">
        <v>0</v>
      </c>
      <c r="Q26" s="271" t="n">
        <v>0</v>
      </c>
      <c r="R26" s="271" t="n">
        <v>0</v>
      </c>
      <c r="S26" s="271" t="n">
        <v>0</v>
      </c>
      <c r="T26" s="271" t="n">
        <v>0</v>
      </c>
      <c r="U26" s="271" t="n">
        <v>0</v>
      </c>
      <c r="V26" s="271" t="n">
        <v>0</v>
      </c>
      <c r="W26" s="271" t="n">
        <v>0</v>
      </c>
      <c r="X26" s="271" t="n">
        <v>0</v>
      </c>
      <c r="Y26" s="271" t="n">
        <v>0</v>
      </c>
      <c r="Z26" s="271" t="n">
        <v>0</v>
      </c>
      <c r="AA26" s="271" t="n">
        <v>0</v>
      </c>
      <c r="AB26" s="271" t="n">
        <v>0</v>
      </c>
      <c r="AC26" s="271" t="n">
        <v>0</v>
      </c>
      <c r="AD26" s="271" t="n">
        <v>0</v>
      </c>
      <c r="AE26" s="271" t="n">
        <v>0</v>
      </c>
      <c r="AF26" s="271" t="n">
        <v>0</v>
      </c>
      <c r="AG26" s="271" t="n">
        <v>0</v>
      </c>
    </row>
    <row r="27" customFormat="false" ht="12.75" hidden="false" customHeight="false" outlineLevel="0" collapsed="false">
      <c r="A27" s="32" t="s">
        <v>181</v>
      </c>
      <c r="C27" s="266" t="n">
        <f aca="false">IF(C8&lt;Assumptions!$G$33,Assumptions!$G$41*Assumptions!$G$40*C6,0)</f>
        <v>53.7154842449639</v>
      </c>
      <c r="D27" s="266" t="n">
        <f aca="false">IF(D8&lt;Assumptions!$G$33,Assumptions!$G$41*Assumptions!$G$40,IF(AND(D8&gt;Assumptions!$G$33,C8&lt;Assumptions!$G$33),Assumptions!$G$41*Assumptions!$G$40*(1-$C$6),0))</f>
        <v>80.5732263674459</v>
      </c>
      <c r="E27" s="266" t="n">
        <f aca="false">IF(E8&lt;Assumptions!$G$33,Assumptions!$G$41*Assumptions!$G$40,IF(AND(E8&gt;Assumptions!$G$33,D8&lt;Assumptions!$G$33),Assumptions!$G$41*Assumptions!$G$40*(1-$C$6),0))</f>
        <v>80.5732263674459</v>
      </c>
      <c r="F27" s="266" t="n">
        <f aca="false">IF(F8&lt;Assumptions!$G$33,Assumptions!$G$41*Assumptions!$G$40,IF(AND(F8&gt;Assumptions!$G$33,E8&lt;Assumptions!$G$33),Assumptions!$G$41*Assumptions!$G$40*(1-$C$6),0))</f>
        <v>80.5732263674459</v>
      </c>
      <c r="G27" s="266" t="n">
        <f aca="false">IF(G8&lt;Assumptions!$G$33,Assumptions!$G$41*Assumptions!$G$40,IF(AND(G8&gt;Assumptions!$G$33,F8&lt;Assumptions!$G$33),Assumptions!$G$41*Assumptions!$G$40*(1-$C$6),0))</f>
        <v>80.5732263674459</v>
      </c>
      <c r="H27" s="266" t="n">
        <f aca="false">IF(H8&lt;Assumptions!$G$33,Assumptions!$G$41*Assumptions!$G$40,IF(AND(H8&gt;Assumptions!$G$33,G8&lt;Assumptions!$G$33),Assumptions!$G$41*Assumptions!$G$40*(1-$C$6),0))</f>
        <v>80.5732263674459</v>
      </c>
      <c r="I27" s="266" t="n">
        <f aca="false">IF(I8&lt;Assumptions!$G$33,Assumptions!$G$41*Assumptions!$G$40,IF(AND(I8&gt;Assumptions!$G$33,H8&lt;Assumptions!$G$33),Assumptions!$G$41*Assumptions!$G$40*(1-$C$6),0))</f>
        <v>80.5732263674459</v>
      </c>
      <c r="J27" s="266" t="n">
        <f aca="false">IF(J8&lt;Assumptions!$G$33,Assumptions!$G$41*Assumptions!$G$40,IF(AND(J8&gt;Assumptions!$G$33,I8&lt;Assumptions!$G$33),Assumptions!$G$41*Assumptions!$G$40*(1-$C$6),0))</f>
        <v>80.5732263674459</v>
      </c>
      <c r="K27" s="266" t="n">
        <f aca="false">IF(K8&lt;Assumptions!$G$33,Assumptions!$G$41*Assumptions!$G$40,IF(AND(K8&gt;Assumptions!$G$33,J8&lt;Assumptions!$G$33),Assumptions!$G$41*Assumptions!$G$40*(1-$C$6),0))</f>
        <v>80.5732263674459</v>
      </c>
      <c r="L27" s="266" t="n">
        <f aca="false">IF(L8&lt;Assumptions!$G$33,Assumptions!$G$41*Assumptions!$G$40,IF(AND(L8&gt;Assumptions!$G$33,K8&lt;Assumptions!$G$33),Assumptions!$G$41*Assumptions!$G$40*(1-$C$6),0))</f>
        <v>80.5732263674459</v>
      </c>
      <c r="M27" s="266" t="n">
        <f aca="false">IF(M8&lt;Assumptions!$G$33,Assumptions!$G$41*Assumptions!$G$40,IF(AND(M8&gt;Assumptions!$G$33,L8&lt;Assumptions!$G$33),Assumptions!$G$41*Assumptions!$G$40*(1-$C$6),0))</f>
        <v>80.5732263674459</v>
      </c>
      <c r="N27" s="266" t="n">
        <f aca="false">IF(N8&lt;Assumptions!$G$33,Assumptions!$G$41*Assumptions!$G$40,IF(AND(N8&gt;Assumptions!$G$33,M8&lt;Assumptions!$G$33),Assumptions!$G$41*Assumptions!$G$40*(1-$C$6),0))</f>
        <v>80.5732263674459</v>
      </c>
      <c r="O27" s="266" t="n">
        <f aca="false">IF(O8&lt;Assumptions!$G$33,Assumptions!$G$41*Assumptions!$G$40,IF(AND(O8&gt;Assumptions!$G$33,N8&lt;Assumptions!$G$33),Assumptions!$G$41*Assumptions!$G$40*(1-$C$6),0))</f>
        <v>80.5732263674459</v>
      </c>
      <c r="P27" s="266" t="n">
        <f aca="false">IF(P8&lt;Assumptions!$G$33,Assumptions!$G$41*Assumptions!$G$40,IF(AND(P8&gt;Assumptions!$G$33,O8&lt;Assumptions!$G$33),Assumptions!$G$41*Assumptions!$G$40*(1-$C$6),0))</f>
        <v>80.5732263674459</v>
      </c>
      <c r="Q27" s="266" t="n">
        <f aca="false">IF(Q8&lt;Assumptions!$G$33,Assumptions!$G$41*Assumptions!$G$40,IF(AND(Q8&gt;Assumptions!$G$33,P8&lt;Assumptions!$G$33),Assumptions!$G$41*Assumptions!$G$40*(1-$C$6),0))</f>
        <v>80.5732263674459</v>
      </c>
      <c r="R27" s="266" t="n">
        <f aca="false">IF(R8&lt;Assumptions!$G$33,Assumptions!$G$41*Assumptions!$G$40,IF(AND(R8&gt;Assumptions!$G$33,Q8&lt;Assumptions!$G$33),Assumptions!$G$41*Assumptions!$G$40*(1-$C$6),0))</f>
        <v>80.5732263674459</v>
      </c>
      <c r="S27" s="266" t="n">
        <f aca="false">IF(S8&lt;Assumptions!$G$33,Assumptions!$G$41*Assumptions!$G$40,IF(AND(S8&gt;Assumptions!$G$33,R8&lt;Assumptions!$G$33),Assumptions!$G$41*Assumptions!$G$40*(1-$C$6),0))</f>
        <v>26.857742122482</v>
      </c>
      <c r="T27" s="266" t="n">
        <f aca="false">IF(T8&lt;Assumptions!$G$33,Assumptions!$G$41*Assumptions!$G$40,IF(AND(T8&gt;Assumptions!$G$33,S8&lt;Assumptions!$G$33),Assumptions!$G$41*Assumptions!$G$40*(1-$C$6),0))</f>
        <v>0</v>
      </c>
      <c r="U27" s="266" t="n">
        <f aca="false">IF(U8&lt;Assumptions!$G$33,Assumptions!$G$41*Assumptions!$G$40,IF(AND(U8&gt;Assumptions!$G$33,T8&lt;Assumptions!$G$33),Assumptions!$G$41*Assumptions!$G$40*(1-$C$6),0))</f>
        <v>0</v>
      </c>
      <c r="V27" s="266" t="n">
        <f aca="false">IF(V8&lt;Assumptions!$G$33,Assumptions!$G$41*Assumptions!$G$40,IF(AND(V8&gt;Assumptions!$G$33,U8&lt;Assumptions!$G$33),Assumptions!$G$41*Assumptions!$G$40*(1-$C$6),0))</f>
        <v>0</v>
      </c>
      <c r="W27" s="266" t="n">
        <f aca="false">IF(W8&lt;Assumptions!$G$33,Assumptions!$G$41*Assumptions!$G$40,IF(AND(W8&gt;Assumptions!$G$33,V8&lt;Assumptions!$G$33),Assumptions!$G$41*Assumptions!$G$40*(1-$C$6),0))</f>
        <v>0</v>
      </c>
      <c r="X27" s="266" t="n">
        <f aca="false">IF(X8&lt;Assumptions!$G$33,Assumptions!$G$41*Assumptions!$G$40,IF(AND(X8&gt;Assumptions!$G$33,W8&lt;Assumptions!$G$33),Assumptions!$G$41*Assumptions!$G$40*(1-$C$6),0))</f>
        <v>0</v>
      </c>
      <c r="Y27" s="266" t="n">
        <f aca="false">IF(Y8&lt;Assumptions!$G$33,Assumptions!$G$41*Assumptions!$G$40,IF(AND(Y8&gt;Assumptions!$G$33,X8&lt;Assumptions!$G$33),Assumptions!$G$41*Assumptions!$G$40*(1-$C$6),0))</f>
        <v>0</v>
      </c>
      <c r="Z27" s="266" t="n">
        <f aca="false">IF(Z8&lt;Assumptions!$G$33,Assumptions!$G$41*Assumptions!$G$40,IF(AND(Z8&gt;Assumptions!$G$33,Y8&lt;Assumptions!$G$33),Assumptions!$G$41*Assumptions!$G$40*(1-$C$6),0))</f>
        <v>0</v>
      </c>
      <c r="AA27" s="266" t="n">
        <f aca="false">IF(AA8&lt;Assumptions!$G$33,Assumptions!$G$41*Assumptions!$G$40,IF(AND(AA8&gt;Assumptions!$G$33,Z8&lt;Assumptions!$G$33),Assumptions!$G$41*Assumptions!$G$40*(1-$C$6),0))</f>
        <v>0</v>
      </c>
      <c r="AB27" s="266" t="n">
        <f aca="false">IF(AB8&lt;Assumptions!$G$33,Assumptions!$G$41*Assumptions!$G$40,IF(AND(AB8&gt;Assumptions!$G$33,AA8&lt;Assumptions!$G$33),Assumptions!$G$41*Assumptions!$G$40*(1-$C$6),0))</f>
        <v>0</v>
      </c>
      <c r="AC27" s="266" t="n">
        <f aca="false">IF(AC8&lt;Assumptions!$G$33,Assumptions!$G$41*Assumptions!$G$40,IF(AND(AC8&gt;Assumptions!$G$33,AB8&lt;Assumptions!$G$33),Assumptions!$G$41*Assumptions!$G$40*(1-$C$6),0))</f>
        <v>0</v>
      </c>
      <c r="AD27" s="266" t="n">
        <f aca="false">IF(AD8&lt;Assumptions!$G$33,Assumptions!$G$41*Assumptions!$G$40,IF(AND(AD8&gt;Assumptions!$G$33,AC8&lt;Assumptions!$G$33),Assumptions!$G$41*Assumptions!$G$40*(1-$C$6),0))</f>
        <v>0</v>
      </c>
      <c r="AE27" s="266" t="n">
        <f aca="false">IF(AE8&lt;Assumptions!$G$33,Assumptions!$G$41*Assumptions!$G$40,IF(AND(AE8&gt;Assumptions!$G$33,AD8&lt;Assumptions!$G$33),Assumptions!$G$41*Assumptions!$G$40*(1-$C$6),0))</f>
        <v>0</v>
      </c>
      <c r="AF27" s="266" t="n">
        <f aca="false">IF(AF8&lt;Assumptions!$G$33,Assumptions!$G$41*Assumptions!$G$40,IF(AND(AF8&gt;Assumptions!$G$33,AE8&lt;Assumptions!$G$33),Assumptions!$G$41*Assumptions!$G$40*(1-$C$6),0))</f>
        <v>0</v>
      </c>
      <c r="AG27" s="266" t="n">
        <f aca="false">IF(AG8&lt;Assumptions!$G$33,Assumptions!$G$41*Assumptions!$G$40,IF(AND(AG8&gt;Assumptions!$G$33,AF8&lt;Assumptions!$G$33),Assumptions!$G$41*Assumptions!$G$40*(1-$C$6),0))</f>
        <v>0</v>
      </c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</row>
    <row r="28" customFormat="false" ht="12.75" hidden="false" customHeight="false" outlineLevel="0" collapsed="false">
      <c r="A28" s="32" t="s">
        <v>159</v>
      </c>
      <c r="C28" s="266" t="n">
        <f aca="false">Assumptions!$O$32*Assumptions!$N$12*Assumptions!H17/12</f>
        <v>0</v>
      </c>
      <c r="D28" s="266" t="n">
        <f aca="false">Assumptions!$O$32*Assumptions!$N$12*(1+Assumptions!$N$20)</f>
        <v>0</v>
      </c>
      <c r="E28" s="266" t="n">
        <f aca="false">Assumptions!$O$32*Assumptions!$N$12*(1+Assumptions!$N$20)</f>
        <v>0</v>
      </c>
      <c r="F28" s="266" t="n">
        <f aca="false">Assumptions!$O$32*Assumptions!$N$12*(1+Assumptions!$N$20)</f>
        <v>0</v>
      </c>
      <c r="G28" s="266" t="n">
        <f aca="false">Assumptions!$O$32*Assumptions!$N$12*(1+Assumptions!$N$20)</f>
        <v>0</v>
      </c>
      <c r="H28" s="266" t="n">
        <f aca="false">Assumptions!$O$32*Assumptions!$N$12*(1+Assumptions!$N$20)</f>
        <v>0</v>
      </c>
      <c r="I28" s="266" t="n">
        <f aca="false">Assumptions!$O$32*Assumptions!$N$12*(1+Assumptions!$N$20)</f>
        <v>0</v>
      </c>
      <c r="J28" s="266" t="n">
        <f aca="false">Assumptions!$O$32*Assumptions!$N$12*(1+Assumptions!$N$20)</f>
        <v>0</v>
      </c>
      <c r="K28" s="266" t="n">
        <f aca="false">Assumptions!$O$32*Assumptions!$N$12*(1+Assumptions!$N$20)</f>
        <v>0</v>
      </c>
      <c r="L28" s="266" t="n">
        <f aca="false">Assumptions!$O$32*Assumptions!$N$12*(1+Assumptions!$N$20)</f>
        <v>0</v>
      </c>
      <c r="M28" s="266" t="n">
        <f aca="false">Assumptions!$O$32*Assumptions!$N$12*(1+Assumptions!$N$20)</f>
        <v>0</v>
      </c>
      <c r="N28" s="266" t="n">
        <f aca="false">Assumptions!$O$32*Assumptions!$N$12*(1+Assumptions!$N$20)</f>
        <v>0</v>
      </c>
      <c r="O28" s="266" t="n">
        <f aca="false">Assumptions!$O$32*Assumptions!$N$12*(1+Assumptions!$N$20)</f>
        <v>0</v>
      </c>
      <c r="P28" s="266" t="n">
        <f aca="false">Assumptions!$O$32*Assumptions!$N$12*(1+Assumptions!$N$20)</f>
        <v>0</v>
      </c>
      <c r="Q28" s="266" t="n">
        <f aca="false">Assumptions!$O$32*Assumptions!$N$12*(1+Assumptions!$N$20)</f>
        <v>0</v>
      </c>
      <c r="R28" s="266" t="n">
        <f aca="false">Assumptions!$O$32*Assumptions!$N$12*(1+Assumptions!$N$20)</f>
        <v>0</v>
      </c>
      <c r="S28" s="266" t="n">
        <f aca="false">Assumptions!$O$32*Assumptions!$N$12*(1+Assumptions!$N$20)</f>
        <v>0</v>
      </c>
      <c r="T28" s="266" t="n">
        <f aca="false">Assumptions!$O$32*Assumptions!$N$12*(1+Assumptions!$N$20)</f>
        <v>0</v>
      </c>
      <c r="U28" s="266" t="n">
        <f aca="false">Assumptions!$O$32*Assumptions!$N$12*(1+Assumptions!$N$20)</f>
        <v>0</v>
      </c>
      <c r="V28" s="266" t="n">
        <f aca="false">Assumptions!$O$32*Assumptions!$N$12*(1+Assumptions!$N$20)</f>
        <v>0</v>
      </c>
      <c r="W28" s="266" t="n">
        <f aca="false">Assumptions!$O$32*Assumptions!$N$12*(1+Assumptions!$N$20)</f>
        <v>0</v>
      </c>
      <c r="X28" s="266" t="n">
        <f aca="false">Assumptions!$O$32*Assumptions!$N$12*(1+Assumptions!$N$20)</f>
        <v>0</v>
      </c>
      <c r="Y28" s="266" t="n">
        <f aca="false">Assumptions!$O$32*Assumptions!$N$12*(1+Assumptions!$N$20)</f>
        <v>0</v>
      </c>
      <c r="Z28" s="266" t="n">
        <f aca="false">Assumptions!$O$32*Assumptions!$N$12*(1+Assumptions!$N$20)</f>
        <v>0</v>
      </c>
      <c r="AA28" s="266" t="n">
        <f aca="false">Assumptions!$O$32*Assumptions!$N$12*(1+Assumptions!$N$20)</f>
        <v>0</v>
      </c>
      <c r="AB28" s="266" t="n">
        <f aca="false">Assumptions!$O$32*Assumptions!$N$12*(1+Assumptions!$N$20)</f>
        <v>0</v>
      </c>
      <c r="AC28" s="266" t="n">
        <f aca="false">Assumptions!$O$32*Assumptions!$N$12*(1+Assumptions!$N$20)</f>
        <v>0</v>
      </c>
      <c r="AD28" s="266" t="n">
        <f aca="false">Assumptions!$O$32*Assumptions!$N$12*(1+Assumptions!$N$20)</f>
        <v>0</v>
      </c>
      <c r="AE28" s="266" t="n">
        <f aca="false">Assumptions!$O$32*Assumptions!$N$12*(1+Assumptions!$N$20)</f>
        <v>0</v>
      </c>
      <c r="AF28" s="266" t="n">
        <f aca="false">Assumptions!$O$32*Assumptions!$N$12*(1+Assumptions!$N$20)</f>
        <v>0</v>
      </c>
      <c r="AG28" s="266" t="n">
        <f aca="false">Assumptions!$O$32*Assumptions!$N$12*(1+Assumptions!$N$20)</f>
        <v>0</v>
      </c>
    </row>
    <row r="29" customFormat="false" ht="12.75" hidden="false" customHeight="false" outlineLevel="0" collapsed="false">
      <c r="A29" s="147" t="s">
        <v>269</v>
      </c>
      <c r="C29" s="266" t="n">
        <f aca="false">Assumptions!$N33*Assumptions!H17/12</f>
        <v>0</v>
      </c>
      <c r="D29" s="266" t="n">
        <f aca="false">Assumptions!$N33*(1+Assumptions!$N$20)</f>
        <v>0</v>
      </c>
      <c r="E29" s="266" t="n">
        <f aca="false">D29*(1+Assumptions!$N$20)</f>
        <v>0</v>
      </c>
      <c r="F29" s="266" t="n">
        <f aca="false">E29*(1+Assumptions!$N$20)</f>
        <v>0</v>
      </c>
      <c r="G29" s="266" t="n">
        <f aca="false">F29*(1+Assumptions!$N$20)</f>
        <v>0</v>
      </c>
      <c r="H29" s="266" t="n">
        <f aca="false">G29*(1+Assumptions!$N$20)</f>
        <v>0</v>
      </c>
      <c r="I29" s="266" t="n">
        <f aca="false">H29*(1+Assumptions!$N$20)</f>
        <v>0</v>
      </c>
      <c r="J29" s="266" t="n">
        <f aca="false">I29*(1+Assumptions!$N$20)</f>
        <v>0</v>
      </c>
      <c r="K29" s="266" t="n">
        <f aca="false">J29*(1+Assumptions!$N$20)</f>
        <v>0</v>
      </c>
      <c r="L29" s="266" t="n">
        <f aca="false">K29*(1+Assumptions!$N$20)</f>
        <v>0</v>
      </c>
      <c r="M29" s="266" t="n">
        <f aca="false">L29*(1+Assumptions!$N$20)</f>
        <v>0</v>
      </c>
      <c r="N29" s="266" t="n">
        <f aca="false">M29*(1+Assumptions!$N$20)</f>
        <v>0</v>
      </c>
      <c r="O29" s="266" t="n">
        <f aca="false">N29*(1+Assumptions!$N$20)</f>
        <v>0</v>
      </c>
      <c r="P29" s="266" t="n">
        <f aca="false">O29*(1+Assumptions!$N$20)</f>
        <v>0</v>
      </c>
      <c r="Q29" s="266" t="n">
        <f aca="false">P29*(1+Assumptions!$N$20)</f>
        <v>0</v>
      </c>
      <c r="R29" s="266" t="n">
        <f aca="false">Q29*(1+Assumptions!$N$20)</f>
        <v>0</v>
      </c>
      <c r="S29" s="266" t="n">
        <f aca="false">R29*(1+Assumptions!$N$20)</f>
        <v>0</v>
      </c>
      <c r="T29" s="266" t="n">
        <f aca="false">S29*(1+Assumptions!$N$20)</f>
        <v>0</v>
      </c>
      <c r="U29" s="266" t="n">
        <f aca="false">T29*(1+Assumptions!$N$20)</f>
        <v>0</v>
      </c>
      <c r="V29" s="266" t="n">
        <f aca="false">U29*(1+Assumptions!$N$20)</f>
        <v>0</v>
      </c>
      <c r="W29" s="266" t="n">
        <f aca="false">V29*(1+Assumptions!$N$20)</f>
        <v>0</v>
      </c>
      <c r="X29" s="266" t="n">
        <f aca="false">W29*(1+Assumptions!$N$20)</f>
        <v>0</v>
      </c>
      <c r="Y29" s="266" t="n">
        <f aca="false">X29*(1+Assumptions!$N$20)</f>
        <v>0</v>
      </c>
      <c r="Z29" s="266" t="n">
        <f aca="false">Y29*(1+Assumptions!$N$20)</f>
        <v>0</v>
      </c>
      <c r="AA29" s="266" t="n">
        <f aca="false">Z29*(1+Assumptions!$N$20)</f>
        <v>0</v>
      </c>
      <c r="AB29" s="266" t="n">
        <f aca="false">AA29*(1+Assumptions!$N$20)</f>
        <v>0</v>
      </c>
      <c r="AC29" s="266" t="n">
        <f aca="false">AB29*(1+Assumptions!$N$20)</f>
        <v>0</v>
      </c>
      <c r="AD29" s="266" t="n">
        <f aca="false">AC29*(1+Assumptions!$N$20)</f>
        <v>0</v>
      </c>
      <c r="AE29" s="266" t="n">
        <f aca="false">AD29*(1+Assumptions!$N$20)</f>
        <v>0</v>
      </c>
      <c r="AF29" s="266" t="n">
        <f aca="false">AE29*(1+Assumptions!$N$20)</f>
        <v>0</v>
      </c>
      <c r="AG29" s="266" t="n">
        <f aca="false">AF29*(1+Assumptions!$N$20)</f>
        <v>0</v>
      </c>
    </row>
    <row r="30" customFormat="false" ht="12.75" hidden="false" customHeight="false" outlineLevel="0" collapsed="false">
      <c r="A30" s="147" t="s">
        <v>270</v>
      </c>
      <c r="C30" s="272" t="n">
        <f aca="false">Assumptions!$N34*Assumptions!H17/12</f>
        <v>0</v>
      </c>
      <c r="D30" s="272" t="n">
        <f aca="false">Assumptions!$N34*(1+Assumptions!$N$20)</f>
        <v>0</v>
      </c>
      <c r="E30" s="272" t="n">
        <f aca="false">D30*(1+Assumptions!$N$20)</f>
        <v>0</v>
      </c>
      <c r="F30" s="272" t="n">
        <f aca="false">E30*(1+Assumptions!$N$20)</f>
        <v>0</v>
      </c>
      <c r="G30" s="272" t="n">
        <f aca="false">F30*(1+Assumptions!$N$20)</f>
        <v>0</v>
      </c>
      <c r="H30" s="272" t="n">
        <f aca="false">G30*(1+Assumptions!$N$20)</f>
        <v>0</v>
      </c>
      <c r="I30" s="272" t="n">
        <f aca="false">H30*(1+Assumptions!$N$20)</f>
        <v>0</v>
      </c>
      <c r="J30" s="272" t="n">
        <f aca="false">I30*(1+Assumptions!$N$20)</f>
        <v>0</v>
      </c>
      <c r="K30" s="272" t="n">
        <f aca="false">J30*(1+Assumptions!$N$20)</f>
        <v>0</v>
      </c>
      <c r="L30" s="272" t="n">
        <f aca="false">K30*(1+Assumptions!$N$20)</f>
        <v>0</v>
      </c>
      <c r="M30" s="272" t="n">
        <f aca="false">L30*(1+Assumptions!$N$20)</f>
        <v>0</v>
      </c>
      <c r="N30" s="272" t="n">
        <f aca="false">M30*(1+Assumptions!$N$20)</f>
        <v>0</v>
      </c>
      <c r="O30" s="272" t="n">
        <f aca="false">N30*(1+Assumptions!$N$20)</f>
        <v>0</v>
      </c>
      <c r="P30" s="272" t="n">
        <f aca="false">O30*(1+Assumptions!$N$20)</f>
        <v>0</v>
      </c>
      <c r="Q30" s="272" t="n">
        <f aca="false">P30*(1+Assumptions!$N$20)</f>
        <v>0</v>
      </c>
      <c r="R30" s="272" t="n">
        <f aca="false">Q30*(1+Assumptions!$N$20)</f>
        <v>0</v>
      </c>
      <c r="S30" s="272" t="n">
        <f aca="false">R30*(1+Assumptions!$N$20)</f>
        <v>0</v>
      </c>
      <c r="T30" s="272" t="n">
        <f aca="false">S30*(1+Assumptions!$N$20)</f>
        <v>0</v>
      </c>
      <c r="U30" s="272" t="n">
        <f aca="false">T30*(1+Assumptions!$N$20)</f>
        <v>0</v>
      </c>
      <c r="V30" s="272" t="n">
        <f aca="false">U30*(1+Assumptions!$N$20)</f>
        <v>0</v>
      </c>
      <c r="W30" s="272" t="n">
        <f aca="false">V30*(1+Assumptions!$N$20)</f>
        <v>0</v>
      </c>
      <c r="X30" s="272" t="n">
        <f aca="false">W30*(1+Assumptions!$N$20)</f>
        <v>0</v>
      </c>
      <c r="Y30" s="272" t="n">
        <f aca="false">X30*(1+Assumptions!$N$20)</f>
        <v>0</v>
      </c>
      <c r="Z30" s="272" t="n">
        <f aca="false">Y30*(1+Assumptions!$N$20)</f>
        <v>0</v>
      </c>
      <c r="AA30" s="272" t="n">
        <f aca="false">Z30*(1+Assumptions!$N$20)</f>
        <v>0</v>
      </c>
      <c r="AB30" s="272" t="n">
        <f aca="false">AA30*(1+Assumptions!$N$20)</f>
        <v>0</v>
      </c>
      <c r="AC30" s="272" t="n">
        <f aca="false">AB30*(1+Assumptions!$N$20)</f>
        <v>0</v>
      </c>
      <c r="AD30" s="272" t="n">
        <f aca="false">AC30*(1+Assumptions!$N$20)</f>
        <v>0</v>
      </c>
      <c r="AE30" s="272" t="n">
        <f aca="false">AD30*(1+Assumptions!$N$20)</f>
        <v>0</v>
      </c>
      <c r="AF30" s="272" t="n">
        <f aca="false">AE30*(1+Assumptions!$N$20)</f>
        <v>0</v>
      </c>
      <c r="AG30" s="272" t="n">
        <f aca="false">AF30*(1+Assumptions!$N$20)</f>
        <v>0</v>
      </c>
    </row>
    <row r="31" customFormat="false" ht="12.75" hidden="false" customHeight="false" outlineLevel="0" collapsed="false">
      <c r="A31" s="147" t="s">
        <v>271</v>
      </c>
      <c r="C31" s="264" t="n">
        <f aca="false">SUM(C17:C30)</f>
        <v>3939.27117573868</v>
      </c>
      <c r="D31" s="264" t="n">
        <f aca="false">SUM(D17:D30)</f>
        <v>4234.82416097279</v>
      </c>
      <c r="E31" s="264" t="n">
        <f aca="false">SUM(E17:E30)</f>
        <v>4256.751953091</v>
      </c>
      <c r="F31" s="264" t="n">
        <f aca="false">SUM(F17:F30)</f>
        <v>4279.5586729759</v>
      </c>
      <c r="G31" s="264" t="n">
        <f aca="false">SUM(G17:G30)</f>
        <v>4303.27068846051</v>
      </c>
      <c r="H31" s="264" t="n">
        <f aca="false">SUM(H17:H30)</f>
        <v>4329.04185174613</v>
      </c>
      <c r="I31" s="264" t="n">
        <f aca="false">SUM(I17:I30)</f>
        <v>4356.33678980015</v>
      </c>
      <c r="J31" s="264" t="n">
        <f aca="false">SUM(J17:J30)</f>
        <v>4384.62096879894</v>
      </c>
      <c r="K31" s="264" t="n">
        <f aca="false">SUM(K17:K30)</f>
        <v>4413.92406597085</v>
      </c>
      <c r="L31" s="264" t="n">
        <f aca="false">SUM(L17:L30)</f>
        <v>4444.27664886107</v>
      </c>
      <c r="M31" s="264" t="n">
        <f aca="false">SUM(M17:M30)</f>
        <v>4475.71020204115</v>
      </c>
      <c r="N31" s="264" t="n">
        <f aca="false">SUM(N17:N30)</f>
        <v>4508.25715461978</v>
      </c>
      <c r="O31" s="264" t="n">
        <f aca="false">SUM(O17:O30)</f>
        <v>4541.95090857893</v>
      </c>
      <c r="P31" s="264" t="n">
        <f aca="false">SUM(P17:P30)</f>
        <v>4576.82586796</v>
      </c>
      <c r="Q31" s="264" t="n">
        <f aca="false">SUM(Q17:Q30)</f>
        <v>4612.91746892566</v>
      </c>
      <c r="R31" s="264" t="n">
        <f aca="false">SUM(R17:R30)</f>
        <v>4650.26221072344</v>
      </c>
      <c r="S31" s="264" t="n">
        <f aca="false">SUM(S17:S30)</f>
        <v>4635.18220333334</v>
      </c>
      <c r="T31" s="264" t="n">
        <f aca="false">SUM(T17:T30)</f>
        <v>4648.28939517453</v>
      </c>
      <c r="U31" s="264" t="n">
        <f aca="false">SUM(U17:U30)</f>
        <v>4689.62366996026</v>
      </c>
      <c r="V31" s="264" t="n">
        <f aca="false">SUM(V17:V30)</f>
        <v>4732.36836579271</v>
      </c>
      <c r="W31" s="264" t="n">
        <f aca="false">SUM(W17:W30)</f>
        <v>4776.5657953033</v>
      </c>
      <c r="X31" s="264" t="n">
        <f aca="false">SUM(X17:X30)</f>
        <v>4822.25954050235</v>
      </c>
      <c r="Y31" s="264" t="n">
        <f aca="false">SUM(Y17:Y30)</f>
        <v>4869.49449086053</v>
      </c>
      <c r="Z31" s="264" t="n">
        <f aca="false">SUM(Z17:Z30)</f>
        <v>4918.3168825326</v>
      </c>
      <c r="AA31" s="264" t="n">
        <f aca="false">SUM(AA17:AA30)</f>
        <v>4968.77433875799</v>
      </c>
      <c r="AB31" s="264" t="n">
        <f aca="false">SUM(AB17:AB30)</f>
        <v>5020.9159114733</v>
      </c>
      <c r="AC31" s="264" t="n">
        <f aca="false">SUM(AC17:AC30)</f>
        <v>5074.79212417322</v>
      </c>
      <c r="AD31" s="264" t="n">
        <f aca="false">SUM(AD17:AD30)</f>
        <v>5130.45501605729</v>
      </c>
      <c r="AE31" s="264" t="n">
        <f aca="false">SUM(AE17:AE30)</f>
        <v>5187.95818750103</v>
      </c>
      <c r="AF31" s="264" t="n">
        <f aca="false">SUM(AF17:AF30)</f>
        <v>5247.35684689125</v>
      </c>
      <c r="AG31" s="264" t="n">
        <f aca="false">SUM(AG17:AG30)</f>
        <v>5312.49436560305</v>
      </c>
    </row>
    <row r="32" customFormat="false" ht="12.75" hidden="false" customHeight="false" outlineLevel="0" collapsed="false">
      <c r="A32" s="273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</row>
    <row r="33" customFormat="false" ht="12.75" hidden="false" customHeight="false" outlineLevel="0" collapsed="false">
      <c r="A33" s="263" t="s">
        <v>272</v>
      </c>
      <c r="C33" s="275" t="n">
        <f aca="false">C14-C31</f>
        <v>4619.74741179224</v>
      </c>
      <c r="D33" s="275" t="n">
        <f aca="false">D14-D31</f>
        <v>6920.49091779347</v>
      </c>
      <c r="E33" s="275" t="n">
        <f aca="false">E14-E31</f>
        <v>6910.86571789858</v>
      </c>
      <c r="F33" s="275" t="n">
        <f aca="false">F14-F31</f>
        <v>7957.68878161209</v>
      </c>
      <c r="G33" s="275" t="n">
        <f aca="false">G14-G31</f>
        <v>8440.29692850034</v>
      </c>
      <c r="H33" s="275" t="n">
        <f aca="false">H14-H31</f>
        <v>8544.65438602862</v>
      </c>
      <c r="I33" s="275" t="n">
        <f aca="false">I14-I31</f>
        <v>8646.51952997352</v>
      </c>
      <c r="J33" s="275" t="n">
        <f aca="false">J14-J31</f>
        <v>8746.25166607103</v>
      </c>
      <c r="K33" s="275" t="n">
        <f aca="false">K14-K31</f>
        <v>9021.10958823023</v>
      </c>
      <c r="L33" s="275" t="n">
        <f aca="false">L14-L31</f>
        <v>9121.24531378892</v>
      </c>
      <c r="M33" s="275" t="n">
        <f aca="false">M14-M31</f>
        <v>9407.01225977334</v>
      </c>
      <c r="N33" s="275" t="n">
        <f aca="false">N14-N31</f>
        <v>9507.25190959698</v>
      </c>
      <c r="O33" s="275" t="n">
        <f aca="false">O14-O31</f>
        <v>9804.25826784934</v>
      </c>
      <c r="P33" s="275" t="n">
        <f aca="false">P14-P31</f>
        <v>9904.26418068416</v>
      </c>
      <c r="Q33" s="275" t="n">
        <f aca="false">Q14-Q31</f>
        <v>10000.9276708</v>
      </c>
      <c r="R33" s="275" t="n">
        <f aca="false">R14-R31</f>
        <v>10093.9632992963</v>
      </c>
      <c r="S33" s="275" t="n">
        <f aca="false">S14-S31</f>
        <v>10236.7869933638</v>
      </c>
      <c r="T33" s="275" t="n">
        <f aca="false">T14-T31</f>
        <v>10348.5112612331</v>
      </c>
      <c r="U33" s="275" t="n">
        <f aca="false">U14-U31</f>
        <v>10428.8065162549</v>
      </c>
      <c r="V33" s="275" t="n">
        <f aca="false">V14-V31</f>
        <v>10504.1849562191</v>
      </c>
      <c r="W33" s="275" t="n">
        <f aca="false">W14-W31</f>
        <v>10574.2844182769</v>
      </c>
      <c r="X33" s="275" t="n">
        <f aca="false">X14-X31</f>
        <v>10638.7254349419</v>
      </c>
      <c r="Y33" s="275" t="n">
        <f aca="false">Y14-Y31</f>
        <v>10702.2724265457</v>
      </c>
      <c r="Z33" s="275" t="n">
        <f aca="false">Z14-Z31</f>
        <v>10764.8985723366</v>
      </c>
      <c r="AA33" s="275" t="n">
        <f aca="false">AA14-AA31</f>
        <v>10826.5762469401</v>
      </c>
      <c r="AB33" s="275" t="n">
        <f aca="false">AB14-AB31</f>
        <v>10887.2769962206</v>
      </c>
      <c r="AC33" s="275" t="n">
        <f aca="false">AC14-AC31</f>
        <v>10946.9715124183</v>
      </c>
      <c r="AD33" s="275" t="n">
        <f aca="false">AD14-AD31</f>
        <v>11005.6296085409</v>
      </c>
      <c r="AE33" s="275" t="n">
        <f aca="false">AE14-AE31</f>
        <v>11063.2201919861</v>
      </c>
      <c r="AF33" s="275" t="n">
        <f aca="false">AF14-AF31</f>
        <v>11119.7112373735</v>
      </c>
      <c r="AG33" s="275" t="n">
        <f aca="false">AG14-AG31</f>
        <v>2821.14315538288</v>
      </c>
    </row>
    <row r="34" customFormat="false" ht="12.75" hidden="false" customHeight="false" outlineLevel="0" collapsed="false">
      <c r="A34" s="263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</row>
    <row r="35" customFormat="false" ht="12.75" hidden="false" customHeight="false" outlineLevel="0" collapsed="false">
      <c r="A35" s="147" t="s">
        <v>273</v>
      </c>
      <c r="C35" s="264" t="n">
        <f aca="false">Depreciation!D48</f>
        <v>1965.28002802819</v>
      </c>
      <c r="D35" s="264" t="n">
        <f aca="false">Depreciation!E48</f>
        <v>2947.92004204228</v>
      </c>
      <c r="E35" s="264" t="n">
        <f aca="false">Depreciation!F48</f>
        <v>2947.92004204228</v>
      </c>
      <c r="F35" s="264" t="n">
        <f aca="false">Depreciation!G48</f>
        <v>2947.92004204228</v>
      </c>
      <c r="G35" s="264" t="n">
        <f aca="false">Depreciation!H48</f>
        <v>2947.92004204228</v>
      </c>
      <c r="H35" s="264" t="n">
        <f aca="false">Depreciation!I48</f>
        <v>2497.24270870895</v>
      </c>
      <c r="I35" s="264" t="n">
        <f aca="false">Depreciation!J48</f>
        <v>2271.90404204228</v>
      </c>
      <c r="J35" s="264" t="n">
        <f aca="false">Depreciation!K48</f>
        <v>2271.90404204228</v>
      </c>
      <c r="K35" s="264" t="n">
        <f aca="false">Depreciation!L48</f>
        <v>2271.90404204228</v>
      </c>
      <c r="L35" s="264" t="n">
        <f aca="false">Depreciation!M48</f>
        <v>2271.90404204228</v>
      </c>
      <c r="M35" s="264" t="n">
        <f aca="false">Depreciation!N48</f>
        <v>2271.90404204228</v>
      </c>
      <c r="N35" s="264" t="n">
        <f aca="false">Depreciation!O48</f>
        <v>2271.90404204228</v>
      </c>
      <c r="O35" s="264" t="n">
        <f aca="false">Depreciation!P48</f>
        <v>2271.90404204228</v>
      </c>
      <c r="P35" s="264" t="n">
        <f aca="false">Depreciation!Q48</f>
        <v>2271.90404204228</v>
      </c>
      <c r="Q35" s="264" t="n">
        <f aca="false">Depreciation!R48</f>
        <v>2271.90404204228</v>
      </c>
      <c r="R35" s="264" t="n">
        <f aca="false">Depreciation!S48</f>
        <v>2271.90404204228</v>
      </c>
      <c r="S35" s="264" t="n">
        <f aca="false">Depreciation!T48</f>
        <v>2271.90404204228</v>
      </c>
      <c r="T35" s="264" t="n">
        <f aca="false">Depreciation!U48</f>
        <v>2271.90404204228</v>
      </c>
      <c r="U35" s="264" t="n">
        <f aca="false">Depreciation!V48</f>
        <v>2271.90404204228</v>
      </c>
      <c r="V35" s="264" t="n">
        <f aca="false">Depreciation!W48</f>
        <v>2271.90404204228</v>
      </c>
      <c r="W35" s="264" t="n">
        <f aca="false">Depreciation!X48</f>
        <v>2271.90404204228</v>
      </c>
      <c r="X35" s="264" t="n">
        <f aca="false">Depreciation!Y48</f>
        <v>2271.90404204228</v>
      </c>
      <c r="Y35" s="264" t="n">
        <f aca="false">Depreciation!Z48</f>
        <v>2271.90404204228</v>
      </c>
      <c r="Z35" s="264" t="n">
        <f aca="false">Depreciation!AA48</f>
        <v>2271.90404204228</v>
      </c>
      <c r="AA35" s="264" t="n">
        <f aca="false">Depreciation!AB48</f>
        <v>2271.90404204228</v>
      </c>
      <c r="AB35" s="264" t="n">
        <f aca="false">Depreciation!AC48</f>
        <v>2271.90404204228</v>
      </c>
      <c r="AC35" s="264" t="n">
        <f aca="false">Depreciation!AD48</f>
        <v>2271.90404204228</v>
      </c>
      <c r="AD35" s="264" t="n">
        <f aca="false">Depreciation!AE48</f>
        <v>2271.90404204228</v>
      </c>
      <c r="AE35" s="264" t="n">
        <f aca="false">Depreciation!AF48</f>
        <v>2271.90404204228</v>
      </c>
      <c r="AF35" s="264" t="n">
        <f aca="false">Depreciation!AG48</f>
        <v>2271.90404204228</v>
      </c>
      <c r="AG35" s="264" t="n">
        <f aca="false">Depreciation!AH48</f>
        <v>757.301347347428</v>
      </c>
    </row>
    <row r="36" customFormat="false" ht="12.75" hidden="false" customHeight="false" outlineLevel="0" collapsed="false">
      <c r="A36" s="147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</row>
    <row r="37" customFormat="false" ht="12.75" hidden="false" customHeight="false" outlineLevel="0" collapsed="false">
      <c r="A37" s="263" t="s">
        <v>274</v>
      </c>
      <c r="C37" s="275" t="n">
        <f aca="false">C33-C35</f>
        <v>2654.46738376406</v>
      </c>
      <c r="D37" s="275" t="n">
        <f aca="false">D33-D35</f>
        <v>3972.57087575119</v>
      </c>
      <c r="E37" s="275" t="n">
        <f aca="false">E33-E35</f>
        <v>3962.94567585629</v>
      </c>
      <c r="F37" s="275" t="n">
        <f aca="false">F33-F35</f>
        <v>5009.7687395698</v>
      </c>
      <c r="G37" s="275" t="n">
        <f aca="false">G33-G35</f>
        <v>5492.37688645806</v>
      </c>
      <c r="H37" s="275" t="n">
        <f aca="false">H33-H35</f>
        <v>6047.41167731967</v>
      </c>
      <c r="I37" s="275" t="n">
        <f aca="false">I33-I35</f>
        <v>6374.61548793123</v>
      </c>
      <c r="J37" s="275" t="n">
        <f aca="false">J33-J35</f>
        <v>6474.34762402875</v>
      </c>
      <c r="K37" s="275" t="n">
        <f aca="false">K33-K35</f>
        <v>6749.20554618794</v>
      </c>
      <c r="L37" s="275" t="n">
        <f aca="false">L33-L35</f>
        <v>6849.34127174663</v>
      </c>
      <c r="M37" s="275" t="n">
        <f aca="false">M33-M35</f>
        <v>7135.10821773106</v>
      </c>
      <c r="N37" s="275" t="n">
        <f aca="false">N33-N35</f>
        <v>7235.34786755469</v>
      </c>
      <c r="O37" s="275" t="n">
        <f aca="false">O33-O35</f>
        <v>7532.35422580705</v>
      </c>
      <c r="P37" s="275" t="n">
        <f aca="false">P33-P35</f>
        <v>7632.36013864187</v>
      </c>
      <c r="Q37" s="275" t="n">
        <f aca="false">Q33-Q35</f>
        <v>7729.02362875772</v>
      </c>
      <c r="R37" s="275" t="n">
        <f aca="false">R33-R35</f>
        <v>7822.05925725401</v>
      </c>
      <c r="S37" s="275" t="n">
        <f aca="false">S33-S35</f>
        <v>7964.88295132151</v>
      </c>
      <c r="T37" s="275" t="n">
        <f aca="false">T33-T35</f>
        <v>8076.60721919082</v>
      </c>
      <c r="U37" s="275" t="n">
        <f aca="false">U33-U35</f>
        <v>8156.90247421263</v>
      </c>
      <c r="V37" s="275" t="n">
        <f aca="false">V33-V35</f>
        <v>8232.28091417685</v>
      </c>
      <c r="W37" s="275" t="n">
        <f aca="false">W33-W35</f>
        <v>8302.3803762346</v>
      </c>
      <c r="X37" s="275" t="n">
        <f aca="false">X33-X35</f>
        <v>8366.82139289961</v>
      </c>
      <c r="Y37" s="275" t="n">
        <f aca="false">Y33-Y35</f>
        <v>8430.36838450347</v>
      </c>
      <c r="Z37" s="275" t="n">
        <f aca="false">Z33-Z35</f>
        <v>8492.99453029434</v>
      </c>
      <c r="AA37" s="275" t="n">
        <f aca="false">AA33-AA35</f>
        <v>8554.67220489781</v>
      </c>
      <c r="AB37" s="275" t="n">
        <f aca="false">AB33-AB35</f>
        <v>8615.37295417827</v>
      </c>
      <c r="AC37" s="275" t="n">
        <f aca="false">AC33-AC35</f>
        <v>8675.06747037604</v>
      </c>
      <c r="AD37" s="275" t="n">
        <f aca="false">AD33-AD35</f>
        <v>8733.72556649864</v>
      </c>
      <c r="AE37" s="275" t="n">
        <f aca="false">AE33-AE35</f>
        <v>8791.3161499438</v>
      </c>
      <c r="AF37" s="275" t="n">
        <f aca="false">AF33-AF35</f>
        <v>8847.80719533119</v>
      </c>
      <c r="AG37" s="275" t="n">
        <f aca="false">AG33-AG35</f>
        <v>2063.84180803545</v>
      </c>
    </row>
    <row r="38" customFormat="false" ht="12.75" hidden="false" customHeight="false" outlineLevel="0" collapsed="false">
      <c r="A38" s="263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</row>
    <row r="39" customFormat="false" ht="12.75" hidden="false" customHeight="false" outlineLevel="0" collapsed="false">
      <c r="A39" s="147" t="s">
        <v>275</v>
      </c>
      <c r="C39" s="264" t="n">
        <v>0</v>
      </c>
      <c r="D39" s="264" t="n">
        <v>0</v>
      </c>
      <c r="E39" s="264" t="n">
        <v>0</v>
      </c>
      <c r="F39" s="264" t="n">
        <v>0</v>
      </c>
      <c r="G39" s="264" t="n">
        <v>0</v>
      </c>
      <c r="H39" s="264" t="n">
        <v>0</v>
      </c>
      <c r="I39" s="264" t="n">
        <v>0</v>
      </c>
      <c r="J39" s="264" t="n">
        <v>0</v>
      </c>
      <c r="K39" s="264" t="n">
        <v>0</v>
      </c>
      <c r="L39" s="264" t="n">
        <v>0</v>
      </c>
      <c r="M39" s="264" t="n">
        <v>0</v>
      </c>
      <c r="N39" s="264" t="n">
        <v>0</v>
      </c>
      <c r="O39" s="264" t="n">
        <v>0</v>
      </c>
      <c r="P39" s="264" t="n">
        <v>0</v>
      </c>
      <c r="Q39" s="264" t="n">
        <v>0</v>
      </c>
      <c r="R39" s="264" t="n">
        <v>0</v>
      </c>
      <c r="S39" s="264" t="n">
        <v>0</v>
      </c>
      <c r="T39" s="264" t="n">
        <v>0</v>
      </c>
      <c r="U39" s="264" t="n">
        <v>0</v>
      </c>
      <c r="V39" s="264" t="n">
        <v>0</v>
      </c>
      <c r="W39" s="264" t="n">
        <v>0</v>
      </c>
      <c r="X39" s="264" t="n">
        <v>0</v>
      </c>
      <c r="Y39" s="264" t="n">
        <v>0</v>
      </c>
      <c r="Z39" s="264" t="n">
        <v>0</v>
      </c>
      <c r="AA39" s="264" t="n">
        <v>0</v>
      </c>
      <c r="AB39" s="264" t="n">
        <v>0</v>
      </c>
      <c r="AC39" s="264" t="n">
        <v>0</v>
      </c>
      <c r="AD39" s="264" t="n">
        <v>0</v>
      </c>
      <c r="AE39" s="264" t="n">
        <v>0</v>
      </c>
      <c r="AF39" s="264" t="n">
        <v>0</v>
      </c>
      <c r="AG39" s="264" t="n">
        <v>0</v>
      </c>
    </row>
    <row r="40" customFormat="false" ht="12" hidden="false" customHeight="true" outlineLevel="0" collapsed="false">
      <c r="A40" s="3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</row>
    <row r="41" customFormat="false" ht="12.75" hidden="false" customHeight="false" outlineLevel="0" collapsed="false">
      <c r="A41" s="263" t="s">
        <v>276</v>
      </c>
      <c r="C41" s="275" t="n">
        <f aca="false">C37-C39</f>
        <v>2654.46738376406</v>
      </c>
      <c r="D41" s="275" t="n">
        <f aca="false">D37-D39</f>
        <v>3972.57087575119</v>
      </c>
      <c r="E41" s="275" t="n">
        <f aca="false">E37-E39</f>
        <v>3962.94567585629</v>
      </c>
      <c r="F41" s="275" t="n">
        <f aca="false">F37-F39</f>
        <v>5009.7687395698</v>
      </c>
      <c r="G41" s="275" t="n">
        <f aca="false">G37-G39</f>
        <v>5492.37688645806</v>
      </c>
      <c r="H41" s="275" t="n">
        <f aca="false">H37-H39</f>
        <v>6047.41167731967</v>
      </c>
      <c r="I41" s="275" t="n">
        <f aca="false">I37-I39</f>
        <v>6374.61548793123</v>
      </c>
      <c r="J41" s="275" t="n">
        <f aca="false">J37-J39</f>
        <v>6474.34762402875</v>
      </c>
      <c r="K41" s="275" t="n">
        <f aca="false">K37-K39</f>
        <v>6749.20554618794</v>
      </c>
      <c r="L41" s="275" t="n">
        <f aca="false">L37-L39</f>
        <v>6849.34127174663</v>
      </c>
      <c r="M41" s="275" t="n">
        <f aca="false">M37-M39</f>
        <v>7135.10821773106</v>
      </c>
      <c r="N41" s="275" t="n">
        <f aca="false">N37-N39</f>
        <v>7235.34786755469</v>
      </c>
      <c r="O41" s="275" t="n">
        <f aca="false">O37-O39</f>
        <v>7532.35422580705</v>
      </c>
      <c r="P41" s="275" t="n">
        <f aca="false">P37-P39</f>
        <v>7632.36013864187</v>
      </c>
      <c r="Q41" s="275" t="n">
        <f aca="false">Q37-Q39</f>
        <v>7729.02362875772</v>
      </c>
      <c r="R41" s="275" t="n">
        <f aca="false">R37-R39</f>
        <v>7822.05925725401</v>
      </c>
      <c r="S41" s="275" t="n">
        <f aca="false">S37-S39</f>
        <v>7964.88295132151</v>
      </c>
      <c r="T41" s="275" t="n">
        <f aca="false">T37-T39</f>
        <v>8076.60721919082</v>
      </c>
      <c r="U41" s="275" t="n">
        <f aca="false">U37-U39</f>
        <v>8156.90247421263</v>
      </c>
      <c r="V41" s="275" t="n">
        <f aca="false">V37-V39</f>
        <v>8232.28091417685</v>
      </c>
      <c r="W41" s="275" t="n">
        <f aca="false">W37-W39</f>
        <v>8302.3803762346</v>
      </c>
      <c r="X41" s="275" t="n">
        <f aca="false">X37-X39</f>
        <v>8366.82139289961</v>
      </c>
      <c r="Y41" s="275" t="n">
        <f aca="false">Y37-Y39</f>
        <v>8430.36838450347</v>
      </c>
      <c r="Z41" s="275" t="n">
        <f aca="false">Z37-Z39</f>
        <v>8492.99453029434</v>
      </c>
      <c r="AA41" s="275" t="n">
        <f aca="false">AA37-AA39</f>
        <v>8554.67220489781</v>
      </c>
      <c r="AB41" s="275" t="n">
        <f aca="false">AB37-AB39</f>
        <v>8615.37295417827</v>
      </c>
      <c r="AC41" s="275" t="n">
        <f aca="false">AC37-AC39</f>
        <v>8675.06747037604</v>
      </c>
      <c r="AD41" s="275" t="n">
        <f aca="false">AD37-AD39</f>
        <v>8733.72556649864</v>
      </c>
      <c r="AE41" s="275" t="n">
        <f aca="false">AE37-AE39</f>
        <v>8791.3161499438</v>
      </c>
      <c r="AF41" s="275" t="n">
        <f aca="false">AF37-AF39</f>
        <v>8847.80719533119</v>
      </c>
      <c r="AG41" s="275" t="n">
        <f aca="false">AG37-AG39</f>
        <v>2063.84180803545</v>
      </c>
    </row>
    <row r="42" customFormat="false" ht="12.75" hidden="false" customHeight="false" outlineLevel="0" collapsed="false">
      <c r="A42" s="263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</row>
    <row r="43" customFormat="false" ht="12.75" hidden="false" customHeight="false" outlineLevel="0" collapsed="false">
      <c r="A43" s="147" t="s">
        <v>277</v>
      </c>
      <c r="B43" s="276" t="n">
        <f aca="false">Assumptions!N60</f>
        <v>0.07</v>
      </c>
      <c r="C43" s="266" t="n">
        <f aca="false">-C41*$B$43</f>
        <v>-185.812716863484</v>
      </c>
      <c r="D43" s="266" t="n">
        <f aca="false">-D41*$B$43</f>
        <v>-278.079961302583</v>
      </c>
      <c r="E43" s="266" t="n">
        <f aca="false">-E41*$B$43</f>
        <v>-277.406197309941</v>
      </c>
      <c r="F43" s="266" t="n">
        <f aca="false">-F41*$B$43</f>
        <v>-350.683811769886</v>
      </c>
      <c r="G43" s="266" t="n">
        <f aca="false">-G41*$B$43</f>
        <v>-384.466382052064</v>
      </c>
      <c r="H43" s="266" t="n">
        <f aca="false">-H41*$B$43</f>
        <v>-423.318817412377</v>
      </c>
      <c r="I43" s="266" t="n">
        <f aca="false">-I41*$B$43</f>
        <v>-446.223084155186</v>
      </c>
      <c r="J43" s="266" t="n">
        <f aca="false">-J41*$B$43</f>
        <v>-453.204333682013</v>
      </c>
      <c r="K43" s="266" t="n">
        <f aca="false">-K41*$B$43</f>
        <v>-472.444388233156</v>
      </c>
      <c r="L43" s="266" t="n">
        <f aca="false">-L41*$B$43</f>
        <v>-479.453889022264</v>
      </c>
      <c r="M43" s="266" t="n">
        <f aca="false">-M41*$B$43</f>
        <v>-499.457575241174</v>
      </c>
      <c r="N43" s="266" t="n">
        <f aca="false">-N41*$B$43</f>
        <v>-506.474350728829</v>
      </c>
      <c r="O43" s="266" t="n">
        <f aca="false">-O41*$B$43</f>
        <v>-527.264795806494</v>
      </c>
      <c r="P43" s="266" t="n">
        <f aca="false">-P41*$B$43</f>
        <v>-534.265209704931</v>
      </c>
      <c r="Q43" s="266" t="n">
        <f aca="false">-Q41*$B$43</f>
        <v>-541.031654013041</v>
      </c>
      <c r="R43" s="266" t="n">
        <f aca="false">-R41*$B$43</f>
        <v>-547.544148007781</v>
      </c>
      <c r="S43" s="266" t="n">
        <f aca="false">-S41*$B$43</f>
        <v>-557.541806592506</v>
      </c>
      <c r="T43" s="266" t="n">
        <f aca="false">-T41*$B$43</f>
        <v>-565.362505343357</v>
      </c>
      <c r="U43" s="266" t="n">
        <f aca="false">-U41*$B$43</f>
        <v>-570.983173194884</v>
      </c>
      <c r="V43" s="266" t="n">
        <f aca="false">-V41*$B$43</f>
        <v>-576.25966399238</v>
      </c>
      <c r="W43" s="266" t="n">
        <f aca="false">-W41*$B$43</f>
        <v>-581.166626336422</v>
      </c>
      <c r="X43" s="266" t="n">
        <f aca="false">-X41*$B$43</f>
        <v>-585.677497502973</v>
      </c>
      <c r="Y43" s="266" t="n">
        <f aca="false">-Y41*$B$43</f>
        <v>-590.125786915243</v>
      </c>
      <c r="Z43" s="266" t="n">
        <f aca="false">-Z41*$B$43</f>
        <v>-594.509617120604</v>
      </c>
      <c r="AA43" s="266" t="n">
        <f aca="false">-AA41*$B$43</f>
        <v>-598.827054342847</v>
      </c>
      <c r="AB43" s="266" t="n">
        <f aca="false">-AB41*$B$43</f>
        <v>-603.076106792479</v>
      </c>
      <c r="AC43" s="266" t="n">
        <f aca="false">-AC41*$B$43</f>
        <v>-607.254722926323</v>
      </c>
      <c r="AD43" s="266" t="n">
        <f aca="false">-AD41*$B$43</f>
        <v>-611.360789654905</v>
      </c>
      <c r="AE43" s="266" t="n">
        <f aca="false">-AE41*$B$43</f>
        <v>-615.392130496066</v>
      </c>
      <c r="AF43" s="266" t="n">
        <f aca="false">-AF41*$B$43</f>
        <v>-619.346503673183</v>
      </c>
      <c r="AG43" s="266" t="n">
        <f aca="false">-AG41*$B$43</f>
        <v>-144.468926562482</v>
      </c>
    </row>
    <row r="44" customFormat="false" ht="12.75" hidden="false" customHeight="false" outlineLevel="0" collapsed="false">
      <c r="A44" s="147" t="s">
        <v>278</v>
      </c>
      <c r="B44" s="276" t="n">
        <f aca="false">Assumptions!N59</f>
        <v>0.35</v>
      </c>
      <c r="C44" s="266" t="n">
        <f aca="false">(C41+C43)*-$B$44</f>
        <v>-864.0291334152</v>
      </c>
      <c r="D44" s="266" t="n">
        <f aca="false">(D41+D43)*-$B$44</f>
        <v>-1293.07182005701</v>
      </c>
      <c r="E44" s="266" t="n">
        <f aca="false">(E41+E43)*-$B$44</f>
        <v>-1289.93881749122</v>
      </c>
      <c r="F44" s="266" t="n">
        <f aca="false">(F41+F43)*-$B$44</f>
        <v>-1630.67972472997</v>
      </c>
      <c r="G44" s="266" t="n">
        <f aca="false">(G41+G43)*-$B$44</f>
        <v>-1787.7686765421</v>
      </c>
      <c r="H44" s="266" t="n">
        <f aca="false">(H41+H43)*-$B$44</f>
        <v>-1968.43250096755</v>
      </c>
      <c r="I44" s="266" t="n">
        <f aca="false">(I41+I43)*-$B$44</f>
        <v>-2074.93734132162</v>
      </c>
      <c r="J44" s="266" t="n">
        <f aca="false">(J41+J43)*-$B$44</f>
        <v>-2107.40015162136</v>
      </c>
      <c r="K44" s="266" t="n">
        <f aca="false">(K41+K43)*-$B$44</f>
        <v>-2196.86640528418</v>
      </c>
      <c r="L44" s="266" t="n">
        <f aca="false">(L41+L43)*-$B$44</f>
        <v>-2229.46058395353</v>
      </c>
      <c r="M44" s="266" t="n">
        <f aca="false">(M41+M43)*-$B$44</f>
        <v>-2322.47772487146</v>
      </c>
      <c r="N44" s="266" t="n">
        <f aca="false">(N41+N43)*-$B$44</f>
        <v>-2355.10573088905</v>
      </c>
      <c r="O44" s="266" t="n">
        <f aca="false">(O41+O43)*-$B$44</f>
        <v>-2451.7813005002</v>
      </c>
      <c r="P44" s="266" t="n">
        <f aca="false">(P41+P43)*-$B$44</f>
        <v>-2484.33322512793</v>
      </c>
      <c r="Q44" s="266" t="n">
        <f aca="false">(Q41+Q43)*-$B$44</f>
        <v>-2515.79719116064</v>
      </c>
      <c r="R44" s="266" t="n">
        <f aca="false">(R41+R43)*-$B$44</f>
        <v>-2546.08028823618</v>
      </c>
      <c r="S44" s="266" t="n">
        <f aca="false">(S41+S43)*-$B$44</f>
        <v>-2592.56940065515</v>
      </c>
      <c r="T44" s="266" t="n">
        <f aca="false">(T41+T43)*-$B$44</f>
        <v>-2628.93564984661</v>
      </c>
      <c r="U44" s="266" t="n">
        <f aca="false">(U41+U43)*-$B$44</f>
        <v>-2655.07175535621</v>
      </c>
      <c r="V44" s="266" t="n">
        <f aca="false">(V41+V43)*-$B$44</f>
        <v>-2679.60743756456</v>
      </c>
      <c r="W44" s="266" t="n">
        <f aca="false">(W41+W43)*-$B$44</f>
        <v>-2702.42481246436</v>
      </c>
      <c r="X44" s="266" t="n">
        <f aca="false">(X41+X43)*-$B$44</f>
        <v>-2723.40036338882</v>
      </c>
      <c r="Y44" s="266" t="n">
        <f aca="false">(Y41+Y43)*-$B$44</f>
        <v>-2744.08490915588</v>
      </c>
      <c r="Z44" s="266" t="n">
        <f aca="false">(Z41+Z43)*-$B$44</f>
        <v>-2764.46971961081</v>
      </c>
      <c r="AA44" s="266" t="n">
        <f aca="false">(AA41+AA43)*-$B$44</f>
        <v>-2784.54580269424</v>
      </c>
      <c r="AB44" s="266" t="n">
        <f aca="false">(AB41+AB43)*-$B$44</f>
        <v>-2804.30389658503</v>
      </c>
      <c r="AC44" s="266" t="n">
        <f aca="false">(AC41+AC43)*-$B$44</f>
        <v>-2823.7344616074</v>
      </c>
      <c r="AD44" s="266" t="n">
        <f aca="false">(AD41+AD43)*-$B$44</f>
        <v>-2842.82767189531</v>
      </c>
      <c r="AE44" s="266" t="n">
        <f aca="false">(AE41+AE43)*-$B$44</f>
        <v>-2861.57340680671</v>
      </c>
      <c r="AF44" s="266" t="n">
        <f aca="false">(AF41+AF43)*-$B$44</f>
        <v>-2879.9612420803</v>
      </c>
      <c r="AG44" s="266" t="n">
        <f aca="false">(AG41+AG43)*-$B$44</f>
        <v>-671.78050851554</v>
      </c>
    </row>
    <row r="45" customFormat="false" ht="12.75" hidden="false" customHeight="false" outlineLevel="0" collapsed="false">
      <c r="A45" s="3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</row>
    <row r="46" customFormat="false" ht="15.75" hidden="false" customHeight="false" outlineLevel="0" collapsed="false">
      <c r="A46" s="277" t="s">
        <v>279</v>
      </c>
      <c r="B46" s="4"/>
      <c r="C46" s="278" t="n">
        <f aca="false">C41+C43+C44</f>
        <v>1604.62553348537</v>
      </c>
      <c r="D46" s="278" t="n">
        <f aca="false">D41+D43+D44</f>
        <v>2401.41909439159</v>
      </c>
      <c r="E46" s="278" t="n">
        <f aca="false">E41+E43+E44</f>
        <v>2395.60066105513</v>
      </c>
      <c r="F46" s="278" t="n">
        <f aca="false">F41+F43+F44</f>
        <v>3028.40520306995</v>
      </c>
      <c r="G46" s="278" t="n">
        <f aca="false">G41+G43+G44</f>
        <v>3320.1418278639</v>
      </c>
      <c r="H46" s="278" t="n">
        <f aca="false">H41+H43+H44</f>
        <v>3655.66035893974</v>
      </c>
      <c r="I46" s="278" t="n">
        <f aca="false">I41+I43+I44</f>
        <v>3853.45506245443</v>
      </c>
      <c r="J46" s="278" t="n">
        <f aca="false">J41+J43+J44</f>
        <v>3913.74313872538</v>
      </c>
      <c r="K46" s="278" t="n">
        <f aca="false">K41+K43+K44</f>
        <v>4079.89475267061</v>
      </c>
      <c r="L46" s="278" t="n">
        <f aca="false">L41+L43+L44</f>
        <v>4140.42679877084</v>
      </c>
      <c r="M46" s="278" t="n">
        <f aca="false">M41+M43+M44</f>
        <v>4313.17291761843</v>
      </c>
      <c r="N46" s="278" t="n">
        <f aca="false">N41+N43+N44</f>
        <v>4373.76778593681</v>
      </c>
      <c r="O46" s="278" t="n">
        <f aca="false">O41+O43+O44</f>
        <v>4553.30812950036</v>
      </c>
      <c r="P46" s="278" t="n">
        <f aca="false">P41+P43+P44</f>
        <v>4613.76170380901</v>
      </c>
      <c r="Q46" s="278" t="n">
        <f aca="false">Q41+Q43+Q44</f>
        <v>4672.19478358404</v>
      </c>
      <c r="R46" s="278" t="n">
        <f aca="false">R41+R43+R44</f>
        <v>4728.43482101005</v>
      </c>
      <c r="S46" s="278" t="n">
        <f aca="false">S41+S43+S44</f>
        <v>4814.77174407385</v>
      </c>
      <c r="T46" s="278" t="n">
        <f aca="false">T41+T43+T44</f>
        <v>4882.30906400085</v>
      </c>
      <c r="U46" s="278" t="n">
        <f aca="false">U41+U43+U44</f>
        <v>4930.84754566153</v>
      </c>
      <c r="V46" s="278" t="n">
        <f aca="false">V41+V43+V44</f>
        <v>4976.41381261991</v>
      </c>
      <c r="W46" s="278" t="n">
        <f aca="false">W41+W43+W44</f>
        <v>5018.78893743381</v>
      </c>
      <c r="X46" s="278" t="n">
        <f aca="false">X41+X43+X44</f>
        <v>5057.74353200782</v>
      </c>
      <c r="Y46" s="278" t="n">
        <f aca="false">Y41+Y43+Y44</f>
        <v>5096.15768843235</v>
      </c>
      <c r="Z46" s="278" t="n">
        <f aca="false">Z41+Z43+Z44</f>
        <v>5134.01519356293</v>
      </c>
      <c r="AA46" s="278" t="n">
        <f aca="false">AA41+AA43+AA44</f>
        <v>5171.29934786073</v>
      </c>
      <c r="AB46" s="278" t="n">
        <f aca="false">AB41+AB43+AB44</f>
        <v>5207.99295080077</v>
      </c>
      <c r="AC46" s="278" t="n">
        <f aca="false">AC41+AC43+AC44</f>
        <v>5244.07828584232</v>
      </c>
      <c r="AD46" s="278" t="n">
        <f aca="false">AD41+AD43+AD44</f>
        <v>5279.53710494843</v>
      </c>
      <c r="AE46" s="278" t="n">
        <f aca="false">AE41+AE43+AE44</f>
        <v>5314.35061264103</v>
      </c>
      <c r="AF46" s="278" t="n">
        <f aca="false">AF41+AF43+AF44</f>
        <v>5348.4994495777</v>
      </c>
      <c r="AG46" s="278" t="n">
        <f aca="false">AG41+AG43+AG44</f>
        <v>1247.59237295743</v>
      </c>
    </row>
    <row r="49" customFormat="false" ht="12.75" hidden="false" customHeight="false" outlineLevel="0" collapsed="false"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</row>
    <row r="50" customFormat="false" ht="12.75" hidden="false" customHeight="false" outlineLevel="0" collapsed="false">
      <c r="A50" s="279" t="s">
        <v>280</v>
      </c>
      <c r="C50" s="280" t="n">
        <f aca="false">SUM(C18,C21:C29,Debt!C62)/Assumptions!$N$12/Assumptions!H17</f>
        <v>5.39670149870601</v>
      </c>
      <c r="D50" s="280" t="n">
        <f aca="false">SUM(D18,D21:D30,Debt!D62)/Assumptions!$N$12/12</f>
        <v>3.76702102149221</v>
      </c>
      <c r="E50" s="280" t="n">
        <f aca="false">SUM(E18,E21:E30,Debt!E62)/Assumptions!$N$12/12</f>
        <v>4.26626284106796</v>
      </c>
      <c r="F50" s="280" t="n">
        <f aca="false">SUM(F18,F21:F30,Debt!F62)/Assumptions!$N$12/12</f>
        <v>4.49991486799097</v>
      </c>
      <c r="G50" s="280" t="n">
        <f aca="false">SUM(G18,G21:G30,Debt!G62)/Assumptions!$N$12/12</f>
        <v>4.55562734898044</v>
      </c>
      <c r="H50" s="280" t="n">
        <f aca="false">SUM(H18,H21:H30,Debt!H62)/Assumptions!$N$12/12</f>
        <v>4.61118692734614</v>
      </c>
      <c r="I50" s="280" t="n">
        <f aca="false">SUM(I18,I21:I30,Debt!I62)/Assumptions!$N$12/12</f>
        <v>4.66642773682302</v>
      </c>
      <c r="J50" s="280" t="n">
        <f aca="false">SUM(J18,J21:J30,Debt!J62)/Assumptions!$N$12/12</f>
        <v>4.80455307165071</v>
      </c>
      <c r="K50" s="280" t="n">
        <f aca="false">SUM(K18,K21:K30,Debt!K62)/Assumptions!$N$12/12</f>
        <v>4.86069777138899</v>
      </c>
      <c r="L50" s="280" t="n">
        <f aca="false">SUM(L18,L21:L30,Debt!L62)/Assumptions!$N$12/12</f>
        <v>5.00469938869597</v>
      </c>
      <c r="M50" s="280" t="n">
        <f aca="false">SUM(M18,M21:M30,Debt!M62)/Assumptions!$N$12/12</f>
        <v>5.06165021659929</v>
      </c>
      <c r="N50" s="280" t="n">
        <f aca="false">SUM(N18,N21:N30,Debt!N62)/Assumptions!$N$12/12</f>
        <v>5.21172858870487</v>
      </c>
      <c r="O50" s="280" t="n">
        <f aca="false">SUM(O18,O21:O30,Debt!O62)/Assumptions!$N$12/12</f>
        <v>5.26937252289635</v>
      </c>
      <c r="P50" s="280" t="n">
        <f aca="false">SUM(P18,P21:P30,Debt!P62)/Assumptions!$N$12/12</f>
        <v>5.32586103944077</v>
      </c>
      <c r="Q50" s="280" t="n">
        <f aca="false">SUM(Q18,Q21:Q30,Debt!Q62)/Assumptions!$N$12/12</f>
        <v>5.3810722110169</v>
      </c>
      <c r="R50" s="280" t="n">
        <f aca="false">SUM(R18,R21:R30,Debt!R62)/Assumptions!$N$12/12</f>
        <v>5.46019276819665</v>
      </c>
      <c r="S50" s="280" t="n">
        <f aca="false">SUM(S18,S21:S30,Debt!S62)/Assumptions!$N$12/12</f>
        <v>3.71603207452297</v>
      </c>
      <c r="T50" s="280" t="n">
        <f aca="false">SUM(T18,T21:T30,Debt!T62)/Assumptions!$N$12/12</f>
        <v>0.611466347914697</v>
      </c>
      <c r="U50" s="280" t="n">
        <f aca="false">SUM(U18,U21:U30,Debt!U62)/Assumptions!$N$12/12</f>
        <v>0.624695075228627</v>
      </c>
      <c r="V50" s="280" t="n">
        <f aca="false">SUM(V18,V21:V30,Debt!V62)/Assumptions!$N$12/12</f>
        <v>0.638425057486945</v>
      </c>
      <c r="W50" s="280" t="n">
        <f aca="false">SUM(W18,W21:W30,Debt!W62)/Assumptions!$N$12/12</f>
        <v>0.652671332337982</v>
      </c>
      <c r="X50" s="280" t="n">
        <f aca="false">SUM(X18,X21:X30,Debt!X62)/Assumptions!$N$12/12</f>
        <v>0.667449388559519</v>
      </c>
      <c r="Y50" s="280" t="n">
        <f aca="false">SUM(Y18,Y21:Y30,Debt!Y62)/Assumptions!$N$12/12</f>
        <v>0.682775179592672</v>
      </c>
      <c r="Z50" s="280" t="n">
        <f aca="false">SUM(Z18,Z21:Z30,Debt!Z62)/Assumptions!$N$12/12</f>
        <v>0.69866513748179</v>
      </c>
      <c r="AA50" s="280" t="n">
        <f aca="false">SUM(AA18,AA21:AA30,Debt!AA62)/Assumptions!$N$12/12</f>
        <v>0.715136187232551</v>
      </c>
      <c r="AB50" s="280" t="n">
        <f aca="false">SUM(AB18,AB21:AB30,Debt!AB62)/Assumptions!$N$12/12</f>
        <v>0.732205761600803</v>
      </c>
      <c r="AC50" s="280" t="n">
        <f aca="false">SUM(AC18,AC21:AC30,Debt!AC62)/Assumptions!$N$12/12</f>
        <v>0.749891816325074</v>
      </c>
      <c r="AD50" s="280" t="n">
        <f aca="false">SUM(AD18,AD21:AD30,Debt!AD62)/Assumptions!$N$12/12</f>
        <v>0.768212845816042</v>
      </c>
      <c r="AE50" s="280" t="n">
        <f aca="false">SUM(AE18,AE21:AE30,Debt!AE62)/Assumptions!$N$12/12</f>
        <v>0.787187899316708</v>
      </c>
      <c r="AF50" s="280" t="n">
        <f aca="false">SUM(AF18,AF21:AF30,Debt!AF62)/Assumptions!$N$12/12</f>
        <v>0.806836597547365</v>
      </c>
      <c r="AG50" s="280" t="n">
        <f aca="false">SUM(AG18,AG21:AG30,Debt!AG62)/Assumptions!$N$12/12</f>
        <v>0.829498997071457</v>
      </c>
    </row>
    <row r="51" customFormat="false" ht="12.75" hidden="false" customHeight="false" outlineLevel="0" collapsed="false">
      <c r="A51" s="279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</row>
    <row r="52" customFormat="false" ht="12.75" hidden="false" customHeight="false" outlineLevel="0" collapsed="false">
      <c r="C52" s="280"/>
      <c r="D52" s="280"/>
      <c r="E52" s="280"/>
      <c r="F52" s="280"/>
      <c r="G52" s="280"/>
    </row>
    <row r="53" customFormat="false" ht="12.75" hidden="false" customHeight="false" outlineLevel="0" collapsed="false">
      <c r="C53" s="140"/>
      <c r="D53" s="140"/>
      <c r="E53" s="140"/>
      <c r="F53" s="140"/>
      <c r="G53" s="140"/>
    </row>
    <row r="54" customFormat="false" ht="12.75" hidden="false" customHeight="false" outlineLevel="0" collapsed="false">
      <c r="C54" s="280"/>
      <c r="D54" s="280"/>
      <c r="E54" s="280"/>
      <c r="F54" s="280"/>
      <c r="G54" s="280"/>
    </row>
    <row r="55" customFormat="false" ht="12.75" hidden="false" customHeight="false" outlineLevel="0" collapsed="false">
      <c r="C55" s="280"/>
      <c r="D55" s="280"/>
      <c r="E55" s="280"/>
      <c r="F55" s="280"/>
      <c r="G55" s="280"/>
    </row>
    <row r="56" customFormat="false" ht="12.75" hidden="false" customHeight="false" outlineLevel="0" collapsed="false">
      <c r="C56" s="280"/>
      <c r="D56" s="280"/>
      <c r="E56" s="280"/>
      <c r="F56" s="280"/>
      <c r="G56" s="280"/>
    </row>
    <row r="57" customFormat="false" ht="12.75" hidden="false" customHeight="false" outlineLevel="0" collapsed="false">
      <c r="C57" s="280"/>
      <c r="D57" s="280"/>
      <c r="E57" s="280"/>
      <c r="F57" s="280"/>
      <c r="G57" s="280"/>
    </row>
    <row r="58" customFormat="false" ht="12.75" hidden="false" customHeight="false" outlineLevel="0" collapsed="false">
      <c r="C58" s="280"/>
      <c r="D58" s="280"/>
      <c r="E58" s="280"/>
      <c r="F58" s="280"/>
      <c r="G58" s="280"/>
    </row>
    <row r="59" customFormat="false" ht="12.75" hidden="false" customHeight="false" outlineLevel="0" collapsed="false">
      <c r="C59" s="140"/>
      <c r="D59" s="140"/>
      <c r="E59" s="140"/>
      <c r="F59" s="140"/>
      <c r="G59" s="140"/>
    </row>
    <row r="60" customFormat="false" ht="12.75" hidden="false" customHeight="false" outlineLevel="0" collapsed="false">
      <c r="C60" s="140"/>
      <c r="D60" s="140"/>
      <c r="E60" s="140"/>
      <c r="F60" s="140"/>
      <c r="G60" s="140"/>
    </row>
    <row r="61" customFormat="false" ht="12.75" hidden="false" customHeight="false" outlineLevel="0" collapsed="false">
      <c r="C61" s="281"/>
      <c r="D61" s="281"/>
      <c r="E61" s="281"/>
      <c r="F61" s="281"/>
      <c r="G61" s="140"/>
    </row>
    <row r="62" customFormat="false" ht="12.75" hidden="false" customHeight="false" outlineLevel="0" collapsed="false">
      <c r="C62" s="140"/>
      <c r="D62" s="140"/>
      <c r="E62" s="140"/>
      <c r="F62" s="140"/>
      <c r="G62" s="140"/>
    </row>
    <row r="63" customFormat="false" ht="12.75" hidden="false" customHeight="false" outlineLevel="0" collapsed="false">
      <c r="C63" s="281"/>
      <c r="D63" s="140"/>
      <c r="E63" s="140"/>
      <c r="F63" s="140"/>
      <c r="G63" s="140"/>
    </row>
    <row r="64" customFormat="false" ht="12.75" hidden="false" customHeight="false" outlineLevel="0" collapsed="false">
      <c r="C64" s="140"/>
      <c r="D64" s="140"/>
      <c r="E64" s="140"/>
      <c r="F64" s="140"/>
      <c r="G64" s="140"/>
    </row>
    <row r="65" customFormat="false" ht="12.75" hidden="false" customHeight="false" outlineLevel="0" collapsed="false">
      <c r="C65" s="140"/>
      <c r="D65" s="140"/>
      <c r="E65" s="140"/>
      <c r="F65" s="140"/>
      <c r="G65" s="14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6" activeCellId="0" sqref="A26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4" min="2" style="1" width="12.85"/>
    <col collapsed="false" customWidth="true" hidden="false" outlineLevel="0" max="26" min="25" style="140" width="12.85"/>
    <col collapsed="false" customWidth="true" hidden="false" outlineLevel="0" max="33" min="27" style="1" width="12.85"/>
    <col collapsed="false" customWidth="true" hidden="false" outlineLevel="0" max="35" min="34" style="1" width="9.85"/>
    <col collapsed="false" customWidth="false" hidden="false" outlineLevel="0" max="37" min="36" style="1" width="9.14"/>
    <col collapsed="false" customWidth="true" hidden="false" outlineLevel="0" max="39" min="38" style="1" width="9.85"/>
    <col collapsed="false" customWidth="false" hidden="false" outlineLevel="0" max="81" min="40" style="1" width="9.14"/>
    <col collapsed="false" customWidth="true" hidden="false" outlineLevel="0" max="83" min="82" style="1" width="9.85"/>
    <col collapsed="false" customWidth="false" hidden="false" outlineLevel="0" max="257" min="84" style="1" width="9.14"/>
  </cols>
  <sheetData>
    <row r="2" customFormat="false" ht="18.75" hidden="false" customHeight="fals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258" t="s">
        <v>281</v>
      </c>
    </row>
    <row r="6" customFormat="false" ht="12.75" hidden="false" customHeight="false" outlineLevel="0" collapsed="false">
      <c r="B6" s="231" t="n">
        <v>0</v>
      </c>
      <c r="C6" s="231" t="n">
        <f aca="false">'Price Assumption'!D7</f>
        <v>0.666666666666667</v>
      </c>
      <c r="D6" s="231" t="n">
        <f aca="false">'Price Assumption'!E7</f>
        <v>1.66666666666667</v>
      </c>
      <c r="E6" s="231" t="n">
        <f aca="false">'Price Assumption'!F7</f>
        <v>2.66666666666667</v>
      </c>
      <c r="F6" s="231" t="n">
        <f aca="false">'Price Assumption'!G7</f>
        <v>3.66666666666667</v>
      </c>
      <c r="G6" s="231" t="n">
        <f aca="false">'Price Assumption'!H7</f>
        <v>4.66666666666667</v>
      </c>
      <c r="H6" s="231" t="n">
        <f aca="false">'Price Assumption'!I7</f>
        <v>5.66666666666667</v>
      </c>
      <c r="I6" s="231" t="n">
        <f aca="false">'Price Assumption'!J7</f>
        <v>6.66666666666667</v>
      </c>
      <c r="J6" s="231" t="n">
        <f aca="false">'Price Assumption'!K7</f>
        <v>7.66666666666667</v>
      </c>
      <c r="K6" s="231" t="n">
        <f aca="false">'Price Assumption'!L7</f>
        <v>8.66666666666667</v>
      </c>
      <c r="L6" s="231" t="n">
        <f aca="false">'Price Assumption'!M7</f>
        <v>9.66666666666667</v>
      </c>
      <c r="M6" s="231" t="n">
        <f aca="false">'Price Assumption'!N7</f>
        <v>10.6666666666667</v>
      </c>
      <c r="N6" s="231" t="n">
        <f aca="false">'Price Assumption'!O7</f>
        <v>11.6666666666667</v>
      </c>
      <c r="O6" s="231" t="n">
        <f aca="false">'Price Assumption'!P7</f>
        <v>12.6666666666667</v>
      </c>
      <c r="P6" s="231" t="n">
        <f aca="false">'Price Assumption'!Q7</f>
        <v>13.6666666666667</v>
      </c>
      <c r="Q6" s="231" t="n">
        <f aca="false">'Price Assumption'!R7</f>
        <v>14.6666666666667</v>
      </c>
      <c r="R6" s="231" t="n">
        <f aca="false">'Price Assumption'!S7</f>
        <v>15.6666666666667</v>
      </c>
      <c r="S6" s="231" t="n">
        <f aca="false">'Price Assumption'!T7</f>
        <v>16.6666666666667</v>
      </c>
      <c r="T6" s="231" t="n">
        <f aca="false">'Price Assumption'!U7</f>
        <v>17.6666666666667</v>
      </c>
      <c r="U6" s="231" t="n">
        <f aca="false">'Price Assumption'!V7</f>
        <v>18.6666666666667</v>
      </c>
      <c r="V6" s="231" t="n">
        <f aca="false">'Price Assumption'!W7</f>
        <v>19.6666666666667</v>
      </c>
      <c r="W6" s="231" t="n">
        <f aca="false">'Price Assumption'!X7</f>
        <v>20.6666666666667</v>
      </c>
      <c r="X6" s="231" t="n">
        <f aca="false">'Price Assumption'!Y7</f>
        <v>21.6666666666667</v>
      </c>
      <c r="Y6" s="231" t="n">
        <f aca="false">'Price Assumption'!Z7</f>
        <v>22.6666666666667</v>
      </c>
      <c r="Z6" s="231" t="n">
        <f aca="false">'Price Assumption'!AA7</f>
        <v>23.6666666666667</v>
      </c>
      <c r="AA6" s="231" t="n">
        <f aca="false">'Price Assumption'!AB7</f>
        <v>24.6666666666667</v>
      </c>
      <c r="AB6" s="231" t="n">
        <f aca="false">'Price Assumption'!AC7</f>
        <v>25.6666666666667</v>
      </c>
      <c r="AC6" s="231" t="n">
        <f aca="false">'Price Assumption'!AD7</f>
        <v>26.6666666666667</v>
      </c>
      <c r="AD6" s="231" t="n">
        <f aca="false">'Price Assumption'!AE7</f>
        <v>27.6666666666667</v>
      </c>
      <c r="AE6" s="231" t="n">
        <f aca="false">'Price Assumption'!AF7</f>
        <v>28.6666666666667</v>
      </c>
      <c r="AF6" s="231" t="n">
        <f aca="false">'Price Assumption'!AG7</f>
        <v>29.6666666666667</v>
      </c>
      <c r="AG6" s="231" t="n">
        <f aca="false">'Price Assumption'!AH7</f>
        <v>30.6666666666667</v>
      </c>
    </row>
    <row r="7" customFormat="false" ht="13.5" hidden="false" customHeight="false" outlineLevel="1" collapsed="false">
      <c r="A7" s="259" t="s">
        <v>259</v>
      </c>
      <c r="B7" s="260" t="s">
        <v>282</v>
      </c>
      <c r="C7" s="260" t="n">
        <f aca="false">'Price Assumption'!D8</f>
        <v>2001</v>
      </c>
      <c r="D7" s="260" t="n">
        <f aca="false">'Price Assumption'!E8</f>
        <v>2002</v>
      </c>
      <c r="E7" s="260" t="n">
        <f aca="false">'Price Assumption'!F8</f>
        <v>2003</v>
      </c>
      <c r="F7" s="260" t="n">
        <f aca="false">'Price Assumption'!G8</f>
        <v>2004</v>
      </c>
      <c r="G7" s="260" t="n">
        <f aca="false">'Price Assumption'!H8</f>
        <v>2005</v>
      </c>
      <c r="H7" s="260" t="n">
        <f aca="false">'Price Assumption'!I8</f>
        <v>2006</v>
      </c>
      <c r="I7" s="260" t="n">
        <f aca="false">'Price Assumption'!J8</f>
        <v>2007</v>
      </c>
      <c r="J7" s="260" t="n">
        <f aca="false">'Price Assumption'!K8</f>
        <v>2008</v>
      </c>
      <c r="K7" s="260" t="n">
        <f aca="false">'Price Assumption'!L8</f>
        <v>2009</v>
      </c>
      <c r="L7" s="260" t="n">
        <f aca="false">'Price Assumption'!M8</f>
        <v>2010</v>
      </c>
      <c r="M7" s="260" t="n">
        <f aca="false">'Price Assumption'!N8</f>
        <v>2011</v>
      </c>
      <c r="N7" s="260" t="n">
        <f aca="false">'Price Assumption'!O8</f>
        <v>2012</v>
      </c>
      <c r="O7" s="260" t="n">
        <f aca="false">'Price Assumption'!P8</f>
        <v>2013</v>
      </c>
      <c r="P7" s="260" t="n">
        <f aca="false">'Price Assumption'!Q8</f>
        <v>2014</v>
      </c>
      <c r="Q7" s="260" t="n">
        <f aca="false">'Price Assumption'!R8</f>
        <v>2015</v>
      </c>
      <c r="R7" s="260" t="n">
        <f aca="false">'Price Assumption'!S8</f>
        <v>2016</v>
      </c>
      <c r="S7" s="260" t="n">
        <f aca="false">'Price Assumption'!T8</f>
        <v>2017</v>
      </c>
      <c r="T7" s="260" t="n">
        <f aca="false">'Price Assumption'!U8</f>
        <v>2018</v>
      </c>
      <c r="U7" s="260" t="n">
        <f aca="false">'Price Assumption'!V8</f>
        <v>2019</v>
      </c>
      <c r="V7" s="260" t="n">
        <f aca="false">'Price Assumption'!W8</f>
        <v>2020</v>
      </c>
      <c r="W7" s="260" t="n">
        <f aca="false">'Price Assumption'!X8</f>
        <v>2021</v>
      </c>
      <c r="X7" s="260" t="n">
        <f aca="false">'Price Assumption'!Y8</f>
        <v>2022</v>
      </c>
      <c r="Y7" s="260" t="n">
        <f aca="false">'Price Assumption'!Z8</f>
        <v>2023</v>
      </c>
      <c r="Z7" s="260" t="n">
        <f aca="false">'Price Assumption'!AA8</f>
        <v>2024</v>
      </c>
      <c r="AA7" s="260" t="n">
        <f aca="false">'Price Assumption'!AB8</f>
        <v>2025</v>
      </c>
      <c r="AB7" s="260" t="n">
        <f aca="false">'Price Assumption'!AC8</f>
        <v>2026</v>
      </c>
      <c r="AC7" s="260" t="n">
        <f aca="false">'Price Assumption'!AD8</f>
        <v>2027</v>
      </c>
      <c r="AD7" s="260" t="n">
        <f aca="false">'Price Assumption'!AE8</f>
        <v>2028</v>
      </c>
      <c r="AE7" s="260" t="n">
        <f aca="false">'Price Assumption'!AF8</f>
        <v>2029</v>
      </c>
      <c r="AF7" s="260" t="n">
        <f aca="false">'Price Assumption'!AG8</f>
        <v>2030</v>
      </c>
      <c r="AG7" s="260" t="n">
        <f aca="false">'Price Assumption'!AH8</f>
        <v>2031</v>
      </c>
    </row>
    <row r="8" customFormat="false" ht="12.75" hidden="false" customHeight="false" outlineLevel="1" collapsed="false">
      <c r="A8" s="282"/>
      <c r="B8" s="283" t="n">
        <f aca="false">Assumptions!G45</f>
        <v>36739</v>
      </c>
      <c r="C8" s="283" t="n">
        <f aca="false">BS!D8</f>
        <v>37255.5</v>
      </c>
      <c r="D8" s="283" t="n">
        <f aca="false">BS!E8</f>
        <v>37620.75</v>
      </c>
      <c r="E8" s="283" t="n">
        <f aca="false">BS!F8</f>
        <v>37986</v>
      </c>
      <c r="F8" s="283" t="n">
        <f aca="false">BS!G8</f>
        <v>38351.25</v>
      </c>
      <c r="G8" s="283" t="n">
        <f aca="false">BS!H8</f>
        <v>38716.5</v>
      </c>
      <c r="H8" s="283" t="n">
        <f aca="false">BS!I8</f>
        <v>39081.75</v>
      </c>
      <c r="I8" s="283" t="n">
        <f aca="false">BS!J8</f>
        <v>39447</v>
      </c>
      <c r="J8" s="283" t="n">
        <f aca="false">BS!K8</f>
        <v>39812.25</v>
      </c>
      <c r="K8" s="283" t="n">
        <f aca="false">BS!L8</f>
        <v>40177.5</v>
      </c>
      <c r="L8" s="283" t="n">
        <f aca="false">BS!M8</f>
        <v>40542.75</v>
      </c>
      <c r="M8" s="283" t="n">
        <f aca="false">BS!N8</f>
        <v>40908</v>
      </c>
      <c r="N8" s="283" t="n">
        <f aca="false">BS!O8</f>
        <v>41273.25</v>
      </c>
      <c r="O8" s="283" t="n">
        <f aca="false">BS!P8</f>
        <v>41638.5</v>
      </c>
      <c r="P8" s="283" t="n">
        <f aca="false">BS!Q8</f>
        <v>42003.75</v>
      </c>
      <c r="Q8" s="283" t="n">
        <f aca="false">BS!R8</f>
        <v>42369</v>
      </c>
      <c r="R8" s="283" t="n">
        <f aca="false">BS!S8</f>
        <v>42734.25</v>
      </c>
      <c r="S8" s="283" t="n">
        <f aca="false">BS!T8</f>
        <v>43099.5</v>
      </c>
      <c r="T8" s="283" t="n">
        <f aca="false">BS!U8</f>
        <v>43464.75</v>
      </c>
      <c r="U8" s="283" t="n">
        <f aca="false">BS!V8</f>
        <v>43830</v>
      </c>
      <c r="V8" s="283" t="n">
        <f aca="false">BS!W8</f>
        <v>44195.25</v>
      </c>
      <c r="W8" s="283" t="n">
        <f aca="false">BS!X8</f>
        <v>44560.5</v>
      </c>
      <c r="X8" s="283" t="n">
        <f aca="false">BS!Y8</f>
        <v>44925.75</v>
      </c>
      <c r="Y8" s="283" t="n">
        <f aca="false">BS!Z8</f>
        <v>45291</v>
      </c>
      <c r="Z8" s="283" t="n">
        <f aca="false">BS!AA8</f>
        <v>45656.25</v>
      </c>
      <c r="AA8" s="283" t="n">
        <f aca="false">BS!AB8</f>
        <v>46021.5</v>
      </c>
      <c r="AB8" s="283" t="n">
        <f aca="false">BS!AC8</f>
        <v>46386.75</v>
      </c>
      <c r="AC8" s="283" t="n">
        <f aca="false">BS!AD8</f>
        <v>46752</v>
      </c>
      <c r="AD8" s="283" t="n">
        <f aca="false">BS!AE8</f>
        <v>47117.25</v>
      </c>
      <c r="AE8" s="283" t="n">
        <f aca="false">BS!AF8</f>
        <v>47482.5</v>
      </c>
      <c r="AF8" s="283" t="n">
        <f aca="false">BS!AG8</f>
        <v>47847.75</v>
      </c>
      <c r="AG8" s="283" t="n">
        <f aca="false">BS!AH8</f>
        <v>48213</v>
      </c>
    </row>
    <row r="9" customFormat="false" ht="12.75" hidden="false" customHeight="false" outlineLevel="1" collapsed="false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</row>
    <row r="10" customFormat="false" ht="18.75" hidden="false" customHeight="false" outlineLevel="1" collapsed="false">
      <c r="A10" s="11" t="s">
        <v>283</v>
      </c>
      <c r="B10" s="261"/>
      <c r="C10" s="284"/>
      <c r="D10" s="284"/>
      <c r="E10" s="284"/>
      <c r="F10" s="284"/>
      <c r="G10" s="284"/>
      <c r="H10" s="284"/>
      <c r="I10" s="285"/>
      <c r="J10" s="285"/>
      <c r="K10" s="286"/>
      <c r="L10" s="286"/>
      <c r="M10" s="285"/>
      <c r="N10" s="285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</row>
    <row r="11" customFormat="false" ht="13.5" hidden="false" customHeight="true" outlineLevel="1" collapsed="false">
      <c r="A11" s="11"/>
      <c r="B11" s="261"/>
      <c r="C11" s="284"/>
      <c r="D11" s="284"/>
      <c r="E11" s="284"/>
      <c r="F11" s="284"/>
      <c r="G11" s="284"/>
      <c r="H11" s="284"/>
      <c r="I11" s="285"/>
      <c r="J11" s="285"/>
      <c r="K11" s="286"/>
      <c r="L11" s="286"/>
      <c r="M11" s="285"/>
      <c r="N11" s="285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</row>
    <row r="12" customFormat="false" ht="12.75" hidden="false" customHeight="false" outlineLevel="0" collapsed="false">
      <c r="A12" s="287" t="s">
        <v>272</v>
      </c>
      <c r="B12" s="288" t="n">
        <v>0</v>
      </c>
      <c r="C12" s="288" t="n">
        <f aca="false">IS!C33</f>
        <v>4619.74741179224</v>
      </c>
      <c r="D12" s="288" t="n">
        <f aca="false">IS!D33</f>
        <v>6920.49091779347</v>
      </c>
      <c r="E12" s="288" t="n">
        <f aca="false">IS!E33</f>
        <v>6910.86571789858</v>
      </c>
      <c r="F12" s="288" t="n">
        <f aca="false">IS!F33</f>
        <v>7957.68878161209</v>
      </c>
      <c r="G12" s="288" t="n">
        <f aca="false">IS!G33</f>
        <v>8440.29692850034</v>
      </c>
      <c r="H12" s="288" t="n">
        <f aca="false">IS!H33</f>
        <v>8544.65438602862</v>
      </c>
      <c r="I12" s="288" t="n">
        <f aca="false">IS!I33</f>
        <v>8646.51952997352</v>
      </c>
      <c r="J12" s="288" t="n">
        <f aca="false">IS!J33</f>
        <v>8746.25166607103</v>
      </c>
      <c r="K12" s="288" t="n">
        <f aca="false">IS!K33</f>
        <v>9021.10958823023</v>
      </c>
      <c r="L12" s="288" t="n">
        <f aca="false">IS!L33</f>
        <v>9121.24531378892</v>
      </c>
      <c r="M12" s="288" t="n">
        <f aca="false">IS!M33</f>
        <v>9407.01225977334</v>
      </c>
      <c r="N12" s="288" t="n">
        <f aca="false">IS!N33</f>
        <v>9507.25190959698</v>
      </c>
      <c r="O12" s="288" t="n">
        <f aca="false">IS!O33</f>
        <v>9804.25826784934</v>
      </c>
      <c r="P12" s="288" t="n">
        <f aca="false">IS!P33</f>
        <v>9904.26418068416</v>
      </c>
      <c r="Q12" s="288" t="n">
        <f aca="false">IS!Q33</f>
        <v>10000.9276708</v>
      </c>
      <c r="R12" s="288" t="n">
        <f aca="false">IS!R33</f>
        <v>10093.9632992963</v>
      </c>
      <c r="S12" s="288" t="n">
        <f aca="false">IS!S33</f>
        <v>10236.7869933638</v>
      </c>
      <c r="T12" s="288" t="n">
        <f aca="false">IS!T33</f>
        <v>10348.5112612331</v>
      </c>
      <c r="U12" s="288" t="n">
        <f aca="false">IS!U33</f>
        <v>10428.8065162549</v>
      </c>
      <c r="V12" s="288" t="n">
        <f aca="false">IS!V33</f>
        <v>10504.1849562191</v>
      </c>
      <c r="W12" s="288" t="n">
        <f aca="false">IS!W33</f>
        <v>10574.2844182769</v>
      </c>
      <c r="X12" s="288" t="n">
        <f aca="false">IS!X33</f>
        <v>10638.7254349419</v>
      </c>
      <c r="Y12" s="288" t="n">
        <f aca="false">IS!Y33</f>
        <v>10702.2724265457</v>
      </c>
      <c r="Z12" s="288" t="n">
        <f aca="false">IS!Z33</f>
        <v>10764.8985723366</v>
      </c>
      <c r="AA12" s="288" t="n">
        <f aca="false">IS!AA33</f>
        <v>10826.5762469401</v>
      </c>
      <c r="AB12" s="288" t="n">
        <f aca="false">IS!AB33</f>
        <v>10887.2769962206</v>
      </c>
      <c r="AC12" s="288" t="n">
        <f aca="false">IS!AC33</f>
        <v>10946.9715124183</v>
      </c>
      <c r="AD12" s="288" t="n">
        <f aca="false">IS!AD33</f>
        <v>11005.6296085409</v>
      </c>
      <c r="AE12" s="288" t="n">
        <f aca="false">IS!AE33</f>
        <v>11063.2201919861</v>
      </c>
      <c r="AF12" s="288" t="n">
        <f aca="false">IS!AF33</f>
        <v>11119.7112373735</v>
      </c>
      <c r="AG12" s="288" t="n">
        <f aca="false">IS!AG33</f>
        <v>2821.14315538288</v>
      </c>
    </row>
    <row r="13" customFormat="false" ht="12.75" hidden="false" customHeight="false" outlineLevel="0" collapsed="false">
      <c r="A13" s="32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</row>
    <row r="14" customFormat="false" ht="12.75" hidden="false" customHeight="false" outlineLevel="0" collapsed="false">
      <c r="A14" s="289" t="s">
        <v>284</v>
      </c>
      <c r="B14" s="288" t="n">
        <v>0</v>
      </c>
      <c r="C14" s="288" t="n">
        <f aca="false">-Debt!C60</f>
        <v>-533.259939574644</v>
      </c>
      <c r="D14" s="288" t="n">
        <f aca="false">-Debt!D60</f>
        <v>-568.375710980094</v>
      </c>
      <c r="E14" s="288" t="n">
        <f aca="false">-Debt!E60</f>
        <v>-1437.24988739228</v>
      </c>
      <c r="F14" s="288" t="n">
        <f aca="false">-Debt!F60</f>
        <v>-1932.0576859486</v>
      </c>
      <c r="G14" s="288" t="n">
        <f aca="false">-Debt!G60</f>
        <v>-2168.8071060802</v>
      </c>
      <c r="H14" s="288" t="n">
        <f aca="false">-Debt!H60</f>
        <v>-2422.54325272416</v>
      </c>
      <c r="I14" s="288" t="n">
        <f aca="false">-Debt!I60</f>
        <v>-2694.86149233279</v>
      </c>
      <c r="J14" s="288" t="n">
        <f aca="false">-Debt!J60</f>
        <v>-3127.03512046669</v>
      </c>
      <c r="K14" s="288" t="n">
        <f aca="false">-Debt!K60</f>
        <v>-3456.12203612604</v>
      </c>
      <c r="L14" s="288" t="n">
        <f aca="false">-Debt!L60</f>
        <v>-3957.56084373554</v>
      </c>
      <c r="M14" s="288" t="n">
        <f aca="false">-Debt!M60</f>
        <v>-4353.1237811592</v>
      </c>
      <c r="N14" s="288" t="n">
        <f aca="false">-Debt!N60</f>
        <v>-4935.61298923023</v>
      </c>
      <c r="O14" s="288" t="n">
        <f aca="false">-Debt!O60</f>
        <v>-5409.37500884649</v>
      </c>
      <c r="P14" s="288" t="n">
        <f aca="false">-Debt!P60</f>
        <v>-5918.4231989721</v>
      </c>
      <c r="Q14" s="288" t="n">
        <f aca="false">-Debt!Q60</f>
        <v>-6465.24507490724</v>
      </c>
      <c r="R14" s="288" t="n">
        <f aca="false">-Debt!R60</f>
        <v>-7095.68710805662</v>
      </c>
      <c r="S14" s="288" t="n">
        <f aca="false">-Debt!S60</f>
        <v>-4852.50067001623</v>
      </c>
      <c r="T14" s="288" t="n">
        <f aca="false">-Debt!T60</f>
        <v>-0</v>
      </c>
      <c r="U14" s="288" t="n">
        <f aca="false">-Debt!U60</f>
        <v>-0</v>
      </c>
      <c r="V14" s="288" t="n">
        <f aca="false">-Debt!V60</f>
        <v>-0</v>
      </c>
      <c r="W14" s="288" t="n">
        <f aca="false">-Debt!W60</f>
        <v>-0</v>
      </c>
      <c r="X14" s="288" t="n">
        <f aca="false">-Debt!X60</f>
        <v>-0</v>
      </c>
      <c r="Y14" s="288" t="n">
        <f aca="false">-Debt!Y60</f>
        <v>-0</v>
      </c>
      <c r="Z14" s="288" t="n">
        <f aca="false">-Debt!Z60</f>
        <v>-0</v>
      </c>
      <c r="AA14" s="288" t="n">
        <f aca="false">-Debt!AA60</f>
        <v>-0</v>
      </c>
      <c r="AB14" s="288" t="n">
        <f aca="false">-Debt!AB60</f>
        <v>-0</v>
      </c>
      <c r="AC14" s="288" t="n">
        <f aca="false">-Debt!AC60</f>
        <v>-0</v>
      </c>
      <c r="AD14" s="288" t="n">
        <f aca="false">-Debt!AD60</f>
        <v>-0</v>
      </c>
      <c r="AE14" s="288" t="n">
        <f aca="false">-Debt!AE60</f>
        <v>-0</v>
      </c>
      <c r="AF14" s="288" t="n">
        <f aca="false">-Debt!AF60</f>
        <v>-0</v>
      </c>
      <c r="AG14" s="288" t="n">
        <f aca="false">-Debt!AG60</f>
        <v>-0</v>
      </c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290" t="s">
        <v>285</v>
      </c>
      <c r="B15" s="272" t="n">
        <v>0</v>
      </c>
      <c r="C15" s="272" t="n">
        <f aca="false">-Debt!C61</f>
        <v>-4790.19461257417</v>
      </c>
      <c r="D15" s="272" t="n">
        <f aca="false">-Debt!D61</f>
        <v>-4747.67484124958</v>
      </c>
      <c r="E15" s="272" t="n">
        <f aca="false">-Debt!E61</f>
        <v>-4684.04917538625</v>
      </c>
      <c r="F15" s="272" t="n">
        <f aca="false">-Debt!F61</f>
        <v>-4560.47841289782</v>
      </c>
      <c r="G15" s="272" t="n">
        <f aca="false">-Debt!G61</f>
        <v>-4404.00396009567</v>
      </c>
      <c r="H15" s="272" t="n">
        <f aca="false">-Debt!H61</f>
        <v>-4228.62561648624</v>
      </c>
      <c r="I15" s="272" t="n">
        <f aca="false">-Debt!I61</f>
        <v>-4033.02440464493</v>
      </c>
      <c r="J15" s="272" t="n">
        <f aca="false">-Debt!J61</f>
        <v>-3812.27994740271</v>
      </c>
      <c r="K15" s="272" t="n">
        <f aca="false">-Debt!K61</f>
        <v>-3560.22051294236</v>
      </c>
      <c r="L15" s="272" t="n">
        <f aca="false">-Debt!L61</f>
        <v>-3278.60243301319</v>
      </c>
      <c r="M15" s="272" t="n">
        <f aca="false">-Debt!M61</f>
        <v>-2960.14691853077</v>
      </c>
      <c r="N15" s="272" t="n">
        <f aca="false">-Debt!N61</f>
        <v>-2606.12413988465</v>
      </c>
      <c r="O15" s="272" t="n">
        <f aca="false">-Debt!O61</f>
        <v>-2209.28974552593</v>
      </c>
      <c r="P15" s="272" t="n">
        <f aca="false">-Debt!P61</f>
        <v>-1774.59808625867</v>
      </c>
      <c r="Q15" s="272" t="n">
        <f aca="false">-Debt!Q61</f>
        <v>-1299.3420783976</v>
      </c>
      <c r="R15" s="272" t="n">
        <f aca="false">-Debt!R61</f>
        <v>-778.764425300147</v>
      </c>
      <c r="S15" s="272" t="n">
        <f aca="false">-Debt!S61</f>
        <v>-208.78138878723</v>
      </c>
      <c r="T15" s="272" t="n">
        <f aca="false">-Debt!T61</f>
        <v>-0</v>
      </c>
      <c r="U15" s="272" t="n">
        <f aca="false">-Debt!U61</f>
        <v>-0</v>
      </c>
      <c r="V15" s="272" t="n">
        <f aca="false">-Debt!V61</f>
        <v>-0</v>
      </c>
      <c r="W15" s="272" t="n">
        <f aca="false">-Debt!W61</f>
        <v>-0</v>
      </c>
      <c r="X15" s="272" t="n">
        <f aca="false">-Debt!X61</f>
        <v>-0</v>
      </c>
      <c r="Y15" s="272" t="n">
        <f aca="false">-Debt!Y61</f>
        <v>-0</v>
      </c>
      <c r="Z15" s="272" t="n">
        <f aca="false">-Debt!Z61</f>
        <v>-0</v>
      </c>
      <c r="AA15" s="272" t="n">
        <f aca="false">-Debt!AA61</f>
        <v>-0</v>
      </c>
      <c r="AB15" s="272" t="n">
        <f aca="false">-Debt!AB61</f>
        <v>-0</v>
      </c>
      <c r="AC15" s="272" t="n">
        <f aca="false">-Debt!AC61</f>
        <v>-0</v>
      </c>
      <c r="AD15" s="272" t="n">
        <f aca="false">-Debt!AD61</f>
        <v>-0</v>
      </c>
      <c r="AE15" s="272" t="n">
        <f aca="false">-Debt!AE61</f>
        <v>-0</v>
      </c>
      <c r="AF15" s="272" t="n">
        <f aca="false">-Debt!AF61</f>
        <v>-0</v>
      </c>
      <c r="AG15" s="272" t="n">
        <f aca="false">-Debt!AG61</f>
        <v>-0</v>
      </c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289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</row>
    <row r="17" customFormat="false" ht="12.75" hidden="false" customHeight="false" outlineLevel="0" collapsed="false">
      <c r="A17" s="287" t="s">
        <v>286</v>
      </c>
      <c r="B17" s="291" t="n">
        <v>0</v>
      </c>
      <c r="C17" s="291" t="n">
        <f aca="false">SUM(C12:C15)</f>
        <v>-703.707140356575</v>
      </c>
      <c r="D17" s="275" t="n">
        <f aca="false">SUM(D12:D15)</f>
        <v>1604.44036556379</v>
      </c>
      <c r="E17" s="275" t="n">
        <f aca="false">SUM(E12:E15)</f>
        <v>789.566655120043</v>
      </c>
      <c r="F17" s="275" t="n">
        <f aca="false">SUM(F12:F15)</f>
        <v>1465.15268276567</v>
      </c>
      <c r="G17" s="275" t="n">
        <f aca="false">SUM(G12:G15)</f>
        <v>1867.48586232448</v>
      </c>
      <c r="H17" s="275" t="n">
        <f aca="false">SUM(H12:H15)</f>
        <v>1893.48551681821</v>
      </c>
      <c r="I17" s="275" t="n">
        <f aca="false">SUM(I12:I15)</f>
        <v>1918.6336329958</v>
      </c>
      <c r="J17" s="275" t="n">
        <f aca="false">SUM(J12:J15)</f>
        <v>1806.93659820163</v>
      </c>
      <c r="K17" s="275" t="n">
        <f aca="false">SUM(K12:K15)</f>
        <v>2004.76703916183</v>
      </c>
      <c r="L17" s="275" t="n">
        <f aca="false">SUM(L12:L15)</f>
        <v>1885.08203704019</v>
      </c>
      <c r="M17" s="275" t="n">
        <f aca="false">SUM(M12:M15)</f>
        <v>2093.74156008337</v>
      </c>
      <c r="N17" s="275" t="n">
        <f aca="false">SUM(N12:N15)</f>
        <v>1965.5147804821</v>
      </c>
      <c r="O17" s="275" t="n">
        <f aca="false">SUM(O12:O15)</f>
        <v>2185.59351347691</v>
      </c>
      <c r="P17" s="275" t="n">
        <f aca="false">SUM(P12:P15)</f>
        <v>2211.24289545338</v>
      </c>
      <c r="Q17" s="275" t="n">
        <f aca="false">SUM(Q12:Q15)</f>
        <v>2236.34051749516</v>
      </c>
      <c r="R17" s="275" t="n">
        <f aca="false">SUM(R12:R15)</f>
        <v>2219.51176593952</v>
      </c>
      <c r="S17" s="275" t="n">
        <f aca="false">SUM(S12:S15)</f>
        <v>5175.50493456034</v>
      </c>
      <c r="T17" s="275" t="n">
        <f aca="false">SUM(T12:T15)</f>
        <v>10348.5112612331</v>
      </c>
      <c r="U17" s="275" t="n">
        <f aca="false">SUM(U12:U15)</f>
        <v>10428.8065162549</v>
      </c>
      <c r="V17" s="275" t="n">
        <f aca="false">SUM(V12:V15)</f>
        <v>10504.1849562191</v>
      </c>
      <c r="W17" s="275" t="n">
        <f aca="false">SUM(W12:W15)</f>
        <v>10574.2844182769</v>
      </c>
      <c r="X17" s="275" t="n">
        <f aca="false">SUM(X12:X15)</f>
        <v>10638.7254349419</v>
      </c>
      <c r="Y17" s="275" t="n">
        <f aca="false">SUM(Y12:Y15)</f>
        <v>10702.2724265457</v>
      </c>
      <c r="Z17" s="275" t="n">
        <f aca="false">SUM(Z12:Z15)</f>
        <v>10764.8985723366</v>
      </c>
      <c r="AA17" s="275" t="n">
        <f aca="false">SUM(AA12:AA15)</f>
        <v>10826.5762469401</v>
      </c>
      <c r="AB17" s="275" t="n">
        <f aca="false">SUM(AB12:AB15)</f>
        <v>10887.2769962206</v>
      </c>
      <c r="AC17" s="275" t="n">
        <f aca="false">SUM(AC12:AC15)</f>
        <v>10946.9715124183</v>
      </c>
      <c r="AD17" s="275" t="n">
        <f aca="false">SUM(AD12:AD15)</f>
        <v>11005.6296085409</v>
      </c>
      <c r="AE17" s="275" t="n">
        <f aca="false">SUM(AE12:AE15)</f>
        <v>11063.2201919861</v>
      </c>
      <c r="AF17" s="275" t="n">
        <f aca="false">SUM(AF12:AF15)</f>
        <v>11119.7112373735</v>
      </c>
      <c r="AG17" s="275" t="n">
        <f aca="false">SUM(AG12:AG15)</f>
        <v>2821.14315538288</v>
      </c>
    </row>
    <row r="18" customFormat="false" ht="12.75" hidden="false" customHeight="false" outlineLevel="0" collapsed="false">
      <c r="A18" s="287"/>
      <c r="B18" s="288"/>
      <c r="C18" s="288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</row>
    <row r="19" customFormat="false" ht="12.75" hidden="false" customHeight="false" outlineLevel="0" collapsed="false">
      <c r="A19" s="269" t="s">
        <v>287</v>
      </c>
      <c r="B19" s="288" t="n">
        <v>0</v>
      </c>
      <c r="C19" s="264" t="n">
        <f aca="false">-Taxes!B27</f>
        <v>-26.779433920524</v>
      </c>
      <c r="D19" s="264" t="n">
        <f aca="false">-Taxes!C27</f>
        <v>-0</v>
      </c>
      <c r="E19" s="264" t="n">
        <f aca="false">-Taxes!D27</f>
        <v>-0</v>
      </c>
      <c r="F19" s="264" t="n">
        <f aca="false">-Taxes!E27</f>
        <v>-18.2341406175509</v>
      </c>
      <c r="G19" s="264" t="n">
        <f aca="false">-Taxes!F27</f>
        <v>-176.132781396787</v>
      </c>
      <c r="H19" s="264" t="n">
        <f aca="false">-Taxes!G27</f>
        <v>-252.092982777123</v>
      </c>
      <c r="I19" s="264" t="n">
        <f aca="false">-Taxes!H27</f>
        <v>-292.490910643659</v>
      </c>
      <c r="J19" s="264" t="n">
        <f aca="false">-Taxes!I27</f>
        <v>-298.942049227341</v>
      </c>
      <c r="K19" s="264" t="n">
        <f aca="false">-Taxes!J27</f>
        <v>-318.712214721628</v>
      </c>
      <c r="L19" s="264" t="n">
        <f aca="false">-Taxes!K27</f>
        <v>-325.191604567593</v>
      </c>
      <c r="M19" s="264" t="n">
        <f aca="false">-Taxes!L27</f>
        <v>-345.725401729646</v>
      </c>
      <c r="N19" s="264" t="n">
        <f aca="false">-Taxes!M27</f>
        <v>-352.212066274158</v>
      </c>
      <c r="O19" s="264" t="n">
        <f aca="false">-Taxes!N27</f>
        <v>-373.532622294966</v>
      </c>
      <c r="P19" s="264" t="n">
        <f aca="false">-Taxes!O27</f>
        <v>-380.00292525026</v>
      </c>
      <c r="Q19" s="264" t="n">
        <f aca="false">-Taxes!P27</f>
        <v>-387.299480501513</v>
      </c>
      <c r="R19" s="264" t="n">
        <f aca="false">-Taxes!Q27</f>
        <v>-550.194702723497</v>
      </c>
      <c r="S19" s="264" t="n">
        <f aca="false">-Taxes!R27</f>
        <v>-716.575089535466</v>
      </c>
      <c r="T19" s="264" t="n">
        <f aca="false">-Taxes!S27</f>
        <v>-724.395788286317</v>
      </c>
      <c r="U19" s="264" t="n">
        <f aca="false">-Taxes!T27</f>
        <v>-730.016456137844</v>
      </c>
      <c r="V19" s="264" t="n">
        <f aca="false">-Taxes!U27</f>
        <v>-735.292946935339</v>
      </c>
      <c r="W19" s="264" t="n">
        <f aca="false">-Taxes!V27</f>
        <v>-740.199909279382</v>
      </c>
      <c r="X19" s="264" t="n">
        <f aca="false">-Taxes!W27</f>
        <v>-744.710780445933</v>
      </c>
      <c r="Y19" s="264" t="n">
        <f aca="false">-Taxes!X27</f>
        <v>-749.159069858202</v>
      </c>
      <c r="Z19" s="264" t="n">
        <f aca="false">-Taxes!Y27</f>
        <v>-753.542900063563</v>
      </c>
      <c r="AA19" s="264" t="n">
        <f aca="false">-Taxes!Z27</f>
        <v>-757.860337285806</v>
      </c>
      <c r="AB19" s="264" t="n">
        <f aca="false">-Taxes!AA27</f>
        <v>-762.109389735439</v>
      </c>
      <c r="AC19" s="264" t="n">
        <f aca="false">-Taxes!AB27</f>
        <v>-766.288005869283</v>
      </c>
      <c r="AD19" s="264" t="n">
        <f aca="false">-Taxes!AC27</f>
        <v>-770.394072597865</v>
      </c>
      <c r="AE19" s="264" t="n">
        <f aca="false">-Taxes!AD27</f>
        <v>-774.425413439026</v>
      </c>
      <c r="AF19" s="264" t="n">
        <f aca="false">-Taxes!AE27</f>
        <v>-778.379786616143</v>
      </c>
      <c r="AG19" s="264" t="n">
        <f aca="false">-Taxes!AF27</f>
        <v>-197.480020876802</v>
      </c>
    </row>
    <row r="20" customFormat="false" ht="12.75" hidden="false" customHeight="false" outlineLevel="0" collapsed="false">
      <c r="A20" s="269" t="s">
        <v>288</v>
      </c>
      <c r="B20" s="272" t="n">
        <v>0</v>
      </c>
      <c r="C20" s="272" t="n">
        <f aca="false">-Taxes!B44</f>
        <v>-124.524367730437</v>
      </c>
      <c r="D20" s="272" t="n">
        <f aca="false">-Taxes!C44</f>
        <v>-0</v>
      </c>
      <c r="E20" s="272" t="n">
        <f aca="false">-Taxes!D44</f>
        <v>-0</v>
      </c>
      <c r="F20" s="272" t="n">
        <f aca="false">-Taxes!E44</f>
        <v>-84.7887538716116</v>
      </c>
      <c r="G20" s="272" t="n">
        <f aca="false">-Taxes!F44</f>
        <v>-819.017433495059</v>
      </c>
      <c r="H20" s="272" t="n">
        <f aca="false">-Taxes!G44</f>
        <v>-1172.23236991362</v>
      </c>
      <c r="I20" s="272" t="n">
        <f aca="false">-Taxes!H44</f>
        <v>-1360.08273449301</v>
      </c>
      <c r="J20" s="272" t="n">
        <f aca="false">-Taxes!I44</f>
        <v>-1390.08052890714</v>
      </c>
      <c r="K20" s="272" t="n">
        <f aca="false">-Taxes!J44</f>
        <v>-1482.01179845557</v>
      </c>
      <c r="L20" s="272" t="n">
        <f aca="false">-Taxes!K44</f>
        <v>-1512.14096123931</v>
      </c>
      <c r="M20" s="272" t="n">
        <f aca="false">-Taxes!L44</f>
        <v>-1607.62311804286</v>
      </c>
      <c r="N20" s="272" t="n">
        <f aca="false">-Taxes!M44</f>
        <v>-1637.78610817483</v>
      </c>
      <c r="O20" s="272" t="n">
        <f aca="false">-Taxes!N44</f>
        <v>-1736.92669367159</v>
      </c>
      <c r="P20" s="272" t="n">
        <f aca="false">-Taxes!O44</f>
        <v>-1767.01360241371</v>
      </c>
      <c r="Q20" s="272" t="n">
        <f aca="false">-Taxes!P44</f>
        <v>-1800.94258433203</v>
      </c>
      <c r="R20" s="272" t="n">
        <f aca="false">-Taxes!Q44</f>
        <v>-2558.40536766426</v>
      </c>
      <c r="S20" s="272" t="n">
        <f aca="false">-Taxes!R44</f>
        <v>-3332.07416633992</v>
      </c>
      <c r="T20" s="272" t="n">
        <f aca="false">-Taxes!S44</f>
        <v>-3368.44041553137</v>
      </c>
      <c r="U20" s="272" t="n">
        <f aca="false">-Taxes!T44</f>
        <v>-3394.57652104097</v>
      </c>
      <c r="V20" s="272" t="n">
        <f aca="false">-Taxes!U44</f>
        <v>-3419.11220324933</v>
      </c>
      <c r="W20" s="272" t="n">
        <f aca="false">-Taxes!V44</f>
        <v>-3441.92957814912</v>
      </c>
      <c r="X20" s="272" t="n">
        <f aca="false">-Taxes!W44</f>
        <v>-3462.90512907359</v>
      </c>
      <c r="Y20" s="272" t="n">
        <f aca="false">-Taxes!X44</f>
        <v>-3483.58967484064</v>
      </c>
      <c r="Z20" s="272" t="n">
        <f aca="false">-Taxes!Y44</f>
        <v>-3503.97448529557</v>
      </c>
      <c r="AA20" s="272" t="n">
        <f aca="false">-Taxes!Z44</f>
        <v>-3524.050568379</v>
      </c>
      <c r="AB20" s="272" t="n">
        <f aca="false">-Taxes!AA44</f>
        <v>-3543.80866226979</v>
      </c>
      <c r="AC20" s="272" t="n">
        <f aca="false">-Taxes!AB44</f>
        <v>-3563.23922729216</v>
      </c>
      <c r="AD20" s="272" t="n">
        <f aca="false">-Taxes!AC44</f>
        <v>-3582.33243758007</v>
      </c>
      <c r="AE20" s="272" t="n">
        <f aca="false">-Taxes!AD44</f>
        <v>-3601.07817249147</v>
      </c>
      <c r="AF20" s="272" t="n">
        <f aca="false">-Taxes!AE44</f>
        <v>-3619.46600776506</v>
      </c>
      <c r="AG20" s="272" t="n">
        <f aca="false">-Taxes!AF44</f>
        <v>-918.282097077127</v>
      </c>
    </row>
    <row r="21" customFormat="false" ht="12.75" hidden="false" customHeight="false" outlineLevel="0" collapsed="false">
      <c r="A21" s="289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</row>
    <row r="22" customFormat="false" ht="12.75" hidden="false" customHeight="false" outlineLevel="0" collapsed="false">
      <c r="A22" s="287" t="s">
        <v>289</v>
      </c>
      <c r="B22" s="291" t="n">
        <v>0</v>
      </c>
      <c r="C22" s="291" t="n">
        <f aca="false">C17+C20+C19</f>
        <v>-855.010942007536</v>
      </c>
      <c r="D22" s="291" t="n">
        <f aca="false">D17+D20+D19</f>
        <v>1604.44036556379</v>
      </c>
      <c r="E22" s="291" t="n">
        <f aca="false">E17+E20+E19</f>
        <v>789.566655120043</v>
      </c>
      <c r="F22" s="291" t="n">
        <f aca="false">F17+F20+F19</f>
        <v>1362.12978827651</v>
      </c>
      <c r="G22" s="291" t="n">
        <f aca="false">G17+G20+G19</f>
        <v>872.335647432636</v>
      </c>
      <c r="H22" s="291" t="n">
        <f aca="false">H17+H20+H19</f>
        <v>469.160164127466</v>
      </c>
      <c r="I22" s="291" t="n">
        <f aca="false">I17+I20+I19</f>
        <v>266.059987859129</v>
      </c>
      <c r="J22" s="291" t="n">
        <f aca="false">J17+J20+J19</f>
        <v>117.914020067151</v>
      </c>
      <c r="K22" s="291" t="n">
        <f aca="false">K17+K20+K19</f>
        <v>204.043025984632</v>
      </c>
      <c r="L22" s="291" t="n">
        <f aca="false">L17+L20+L19</f>
        <v>47.749471233288</v>
      </c>
      <c r="M22" s="291" t="n">
        <f aca="false">M17+M20+M19</f>
        <v>140.393040310867</v>
      </c>
      <c r="N22" s="291" t="n">
        <f aca="false">N17+N20+N19</f>
        <v>-24.4833939668922</v>
      </c>
      <c r="O22" s="291" t="n">
        <f aca="false">O17+O20+O19</f>
        <v>75.1341975103535</v>
      </c>
      <c r="P22" s="291" t="n">
        <f aca="false">P17+P20+P19</f>
        <v>64.2263677894143</v>
      </c>
      <c r="Q22" s="291" t="n">
        <f aca="false">Q17+Q20+Q19</f>
        <v>48.0984526616177</v>
      </c>
      <c r="R22" s="291" t="n">
        <f aca="false">R17+R20+R19</f>
        <v>-889.088304448231</v>
      </c>
      <c r="S22" s="291" t="n">
        <f aca="false">S17+S20+S19</f>
        <v>1126.85567868495</v>
      </c>
      <c r="T22" s="291" t="n">
        <f aca="false">T17+T20+T19</f>
        <v>6255.67505741541</v>
      </c>
      <c r="U22" s="291" t="n">
        <f aca="false">U17+U20+U19</f>
        <v>6304.21353907609</v>
      </c>
      <c r="V22" s="291" t="n">
        <f aca="false">V17+V20+V19</f>
        <v>6349.77980603446</v>
      </c>
      <c r="W22" s="291" t="n">
        <f aca="false">W17+W20+W19</f>
        <v>6392.15493084837</v>
      </c>
      <c r="X22" s="291" t="n">
        <f aca="false">X17+X20+X19</f>
        <v>6431.10952542238</v>
      </c>
      <c r="Y22" s="291" t="n">
        <f aca="false">Y17+Y20+Y19</f>
        <v>6469.5236818469</v>
      </c>
      <c r="Z22" s="291" t="n">
        <f aca="false">Z17+Z20+Z19</f>
        <v>6507.38118697749</v>
      </c>
      <c r="AA22" s="291" t="n">
        <f aca="false">AA17+AA20+AA19</f>
        <v>6544.66534127529</v>
      </c>
      <c r="AB22" s="291" t="n">
        <f aca="false">AB17+AB20+AB19</f>
        <v>6581.35894421533</v>
      </c>
      <c r="AC22" s="291" t="n">
        <f aca="false">AC17+AC20+AC19</f>
        <v>6617.44427925688</v>
      </c>
      <c r="AD22" s="291" t="n">
        <f aca="false">AD17+AD20+AD19</f>
        <v>6652.90309836299</v>
      </c>
      <c r="AE22" s="291" t="n">
        <f aca="false">AE17+AE20+AE19</f>
        <v>6687.71660605558</v>
      </c>
      <c r="AF22" s="291" t="n">
        <f aca="false">AF17+AF20+AF19</f>
        <v>6721.86544299226</v>
      </c>
      <c r="AG22" s="291" t="n">
        <f aca="false">AG17+AG20+AG19</f>
        <v>1705.38103742895</v>
      </c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279"/>
      <c r="CX22" s="279"/>
      <c r="CY22" s="279"/>
      <c r="CZ22" s="279"/>
      <c r="DA22" s="279"/>
      <c r="DB22" s="279"/>
      <c r="DC22" s="279"/>
      <c r="DD22" s="279"/>
      <c r="DE22" s="279"/>
      <c r="DF22" s="279"/>
      <c r="DG22" s="279"/>
      <c r="DH22" s="279"/>
      <c r="DI22" s="279"/>
      <c r="DJ22" s="279"/>
      <c r="DK22" s="279"/>
      <c r="DL22" s="279"/>
      <c r="DM22" s="279"/>
      <c r="DN22" s="279"/>
      <c r="DO22" s="279"/>
      <c r="DP22" s="279"/>
      <c r="DQ22" s="279"/>
      <c r="DR22" s="279"/>
      <c r="DS22" s="279"/>
      <c r="DT22" s="279"/>
      <c r="DU22" s="279"/>
      <c r="DV22" s="279"/>
      <c r="DW22" s="279"/>
      <c r="DX22" s="279"/>
      <c r="DY22" s="279"/>
      <c r="DZ22" s="279"/>
      <c r="EA22" s="279"/>
      <c r="EB22" s="279"/>
      <c r="EC22" s="279"/>
      <c r="ED22" s="279"/>
      <c r="EE22" s="279"/>
      <c r="EF22" s="279"/>
      <c r="EG22" s="279"/>
      <c r="EH22" s="279"/>
      <c r="EI22" s="279"/>
      <c r="EJ22" s="279"/>
      <c r="EK22" s="279"/>
      <c r="EL22" s="279"/>
      <c r="EM22" s="279"/>
      <c r="EN22" s="279"/>
      <c r="EO22" s="279"/>
      <c r="EP22" s="279"/>
      <c r="EQ22" s="279"/>
      <c r="ER22" s="279"/>
      <c r="ES22" s="279"/>
      <c r="ET22" s="279"/>
      <c r="EU22" s="279"/>
      <c r="EV22" s="279"/>
      <c r="EW22" s="279"/>
      <c r="EX22" s="279"/>
      <c r="EY22" s="279"/>
      <c r="EZ22" s="279"/>
      <c r="FA22" s="279"/>
      <c r="FB22" s="279"/>
      <c r="FC22" s="279"/>
      <c r="FD22" s="279"/>
      <c r="FE22" s="279"/>
      <c r="FF22" s="279"/>
      <c r="FG22" s="279"/>
      <c r="FH22" s="279"/>
      <c r="FI22" s="279"/>
      <c r="FJ22" s="279"/>
      <c r="FK22" s="279"/>
      <c r="FL22" s="279"/>
      <c r="FM22" s="279"/>
      <c r="FN22" s="279"/>
      <c r="FO22" s="279"/>
      <c r="FP22" s="279"/>
      <c r="FQ22" s="279"/>
      <c r="FR22" s="279"/>
      <c r="FS22" s="279"/>
      <c r="FT22" s="279"/>
      <c r="FU22" s="279"/>
      <c r="FV22" s="279"/>
      <c r="FW22" s="279"/>
      <c r="FX22" s="279"/>
      <c r="FY22" s="279"/>
      <c r="FZ22" s="279"/>
      <c r="GA22" s="279"/>
      <c r="GB22" s="279"/>
      <c r="GC22" s="279"/>
      <c r="GD22" s="279"/>
      <c r="GE22" s="279"/>
      <c r="GF22" s="279"/>
      <c r="GG22" s="279"/>
      <c r="GH22" s="279"/>
      <c r="GI22" s="279"/>
      <c r="GJ22" s="279"/>
      <c r="GK22" s="279"/>
      <c r="GL22" s="279"/>
      <c r="GM22" s="279"/>
      <c r="GN22" s="279"/>
      <c r="GO22" s="279"/>
      <c r="GP22" s="279"/>
      <c r="GQ22" s="279"/>
      <c r="GR22" s="279"/>
      <c r="GS22" s="279"/>
      <c r="GT22" s="279"/>
      <c r="GU22" s="279"/>
      <c r="GV22" s="279"/>
      <c r="GW22" s="279"/>
      <c r="GX22" s="279"/>
      <c r="GY22" s="279"/>
      <c r="GZ22" s="279"/>
      <c r="HA22" s="279"/>
      <c r="HB22" s="279"/>
      <c r="HC22" s="279"/>
      <c r="HD22" s="279"/>
      <c r="HE22" s="279"/>
      <c r="HF22" s="279"/>
      <c r="HG22" s="279"/>
      <c r="HH22" s="279"/>
      <c r="HI22" s="279"/>
      <c r="HJ22" s="279"/>
      <c r="HK22" s="279"/>
      <c r="HL22" s="279"/>
      <c r="HM22" s="279"/>
      <c r="HN22" s="279"/>
      <c r="HO22" s="279"/>
      <c r="HP22" s="279"/>
      <c r="HQ22" s="279"/>
      <c r="HR22" s="279"/>
      <c r="HS22" s="279"/>
      <c r="HT22" s="279"/>
      <c r="HU22" s="279"/>
      <c r="HV22" s="279"/>
      <c r="HW22" s="279"/>
      <c r="HX22" s="279"/>
      <c r="HY22" s="279"/>
      <c r="HZ22" s="279"/>
      <c r="IA22" s="279"/>
      <c r="IB22" s="279"/>
      <c r="IC22" s="279"/>
      <c r="ID22" s="279"/>
      <c r="IE22" s="279"/>
      <c r="IF22" s="279"/>
      <c r="IG22" s="279"/>
      <c r="IH22" s="279"/>
      <c r="II22" s="279"/>
      <c r="IJ22" s="279"/>
      <c r="IK22" s="279"/>
      <c r="IL22" s="279"/>
      <c r="IM22" s="279"/>
      <c r="IN22" s="279"/>
      <c r="IO22" s="279"/>
      <c r="IP22" s="279"/>
      <c r="IQ22" s="279"/>
      <c r="IR22" s="279"/>
      <c r="IS22" s="279"/>
      <c r="IT22" s="279"/>
      <c r="IU22" s="279"/>
      <c r="IV22" s="279"/>
      <c r="IW22" s="279"/>
    </row>
    <row r="23" customFormat="false" ht="12.75" hidden="false" customHeight="false" outlineLevel="0" collapsed="false">
      <c r="A23" s="289"/>
      <c r="B23" s="288"/>
      <c r="C23" s="288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</row>
    <row r="24" customFormat="false" ht="12.75" hidden="false" customHeight="false" outlineLevel="0" collapsed="false">
      <c r="A24" s="287" t="s">
        <v>290</v>
      </c>
      <c r="B24" s="288" t="n">
        <f aca="false">B22</f>
        <v>0</v>
      </c>
      <c r="C24" s="288" t="n">
        <f aca="false">C22</f>
        <v>-855.010942007536</v>
      </c>
      <c r="D24" s="288" t="n">
        <f aca="false">D22</f>
        <v>1604.44036556379</v>
      </c>
      <c r="E24" s="288" t="n">
        <f aca="false">E22</f>
        <v>789.566655120043</v>
      </c>
      <c r="F24" s="288" t="n">
        <f aca="false">F22</f>
        <v>1362.12978827651</v>
      </c>
      <c r="G24" s="288" t="n">
        <f aca="false">G22</f>
        <v>872.335647432636</v>
      </c>
      <c r="H24" s="288" t="n">
        <f aca="false">H22</f>
        <v>469.160164127466</v>
      </c>
      <c r="I24" s="288" t="n">
        <f aca="false">I22</f>
        <v>266.059987859129</v>
      </c>
      <c r="J24" s="288" t="n">
        <f aca="false">J22</f>
        <v>117.914020067151</v>
      </c>
      <c r="K24" s="288" t="n">
        <f aca="false">K22</f>
        <v>204.043025984632</v>
      </c>
      <c r="L24" s="288" t="n">
        <f aca="false">L22</f>
        <v>47.749471233288</v>
      </c>
      <c r="M24" s="288" t="n">
        <f aca="false">M22</f>
        <v>140.393040310867</v>
      </c>
      <c r="N24" s="288" t="n">
        <f aca="false">N22</f>
        <v>-24.4833939668922</v>
      </c>
      <c r="O24" s="288" t="n">
        <f aca="false">O22</f>
        <v>75.1341975103535</v>
      </c>
      <c r="P24" s="288" t="n">
        <f aca="false">P22</f>
        <v>64.2263677894143</v>
      </c>
      <c r="Q24" s="288" t="n">
        <f aca="false">Q22</f>
        <v>48.0984526616177</v>
      </c>
      <c r="R24" s="288" t="n">
        <f aca="false">R22</f>
        <v>-889.088304448231</v>
      </c>
      <c r="S24" s="288" t="n">
        <f aca="false">S22</f>
        <v>1126.85567868495</v>
      </c>
      <c r="T24" s="288" t="n">
        <f aca="false">T22</f>
        <v>6255.67505741541</v>
      </c>
      <c r="U24" s="288" t="n">
        <f aca="false">U22</f>
        <v>6304.21353907609</v>
      </c>
      <c r="V24" s="288" t="n">
        <f aca="false">V22</f>
        <v>6349.77980603446</v>
      </c>
      <c r="W24" s="288" t="n">
        <f aca="false">W22</f>
        <v>6392.15493084837</v>
      </c>
      <c r="X24" s="288" t="n">
        <f aca="false">X22</f>
        <v>6431.10952542238</v>
      </c>
      <c r="Y24" s="288" t="n">
        <f aca="false">Y22</f>
        <v>6469.5236818469</v>
      </c>
      <c r="Z24" s="288" t="n">
        <f aca="false">Z22</f>
        <v>6507.38118697749</v>
      </c>
      <c r="AA24" s="288" t="n">
        <f aca="false">AA22</f>
        <v>6544.66534127529</v>
      </c>
      <c r="AB24" s="288" t="n">
        <f aca="false">AB22</f>
        <v>6581.35894421533</v>
      </c>
      <c r="AC24" s="288" t="n">
        <f aca="false">AC22</f>
        <v>6617.44427925688</v>
      </c>
      <c r="AD24" s="288" t="n">
        <f aca="false">AD22</f>
        <v>6652.90309836299</v>
      </c>
      <c r="AE24" s="288" t="n">
        <f aca="false">AE22</f>
        <v>6687.71660605558</v>
      </c>
      <c r="AF24" s="288" t="n">
        <f aca="false">AF22</f>
        <v>6721.86544299226</v>
      </c>
      <c r="AG24" s="288" t="n">
        <f aca="false">AG22</f>
        <v>1705.38103742895</v>
      </c>
    </row>
    <row r="25" customFormat="false" ht="12.75" hidden="false" customHeight="false" outlineLevel="0" collapsed="false">
      <c r="A25" s="293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</row>
    <row r="26" customFormat="false" ht="12.75" hidden="false" customHeight="false" outlineLevel="0" collapsed="false">
      <c r="A26" s="293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</row>
    <row r="27" customFormat="false" ht="12.75" hidden="false" customHeight="false" outlineLevel="0" collapsed="false">
      <c r="A27" s="32"/>
    </row>
    <row r="28" customFormat="false" ht="12.75" hidden="false" customHeight="false" outlineLevel="0" collapsed="false">
      <c r="Y28" s="1"/>
      <c r="Z28" s="1"/>
    </row>
    <row r="29" customFormat="false" ht="12.75" hidden="false" customHeight="false" outlineLevel="0" collapsed="false">
      <c r="Y29" s="1"/>
      <c r="Z29" s="1"/>
    </row>
    <row r="30" customFormat="false" ht="12.75" hidden="false" customHeight="false" outlineLevel="0" collapsed="false">
      <c r="Y30" s="1"/>
      <c r="Z30" s="1"/>
    </row>
    <row r="31" customFormat="false" ht="12.75" hidden="false" customHeight="false" outlineLevel="0" collapsed="false">
      <c r="Y31" s="1"/>
      <c r="Z31" s="1"/>
    </row>
    <row r="32" customFormat="false" ht="12.75" hidden="false" customHeight="false" outlineLevel="0" collapsed="false">
      <c r="Y32" s="1"/>
      <c r="Z32" s="1"/>
    </row>
    <row r="33" customFormat="false" ht="12.75" hidden="false" customHeight="false" outlineLevel="0" collapsed="false">
      <c r="Y33" s="1"/>
      <c r="Z33" s="1"/>
    </row>
    <row r="34" customFormat="false" ht="12.75" hidden="false" customHeight="false" outlineLevel="0" collapsed="false">
      <c r="Y34" s="1"/>
      <c r="Z34" s="1"/>
    </row>
    <row r="35" customFormat="false" ht="12.75" hidden="false" customHeight="false" outlineLevel="0" collapsed="false">
      <c r="Y35" s="1"/>
      <c r="Z35" s="1"/>
    </row>
    <row r="36" customFormat="false" ht="12.75" hidden="false" customHeight="false" outlineLevel="0" collapsed="false">
      <c r="Y36" s="1"/>
      <c r="Z36" s="1"/>
    </row>
    <row r="37" customFormat="false" ht="12.75" hidden="false" customHeight="false" outlineLevel="0" collapsed="false">
      <c r="Y37" s="1"/>
      <c r="Z37" s="1"/>
    </row>
    <row r="38" customFormat="false" ht="12.75" hidden="false" customHeight="false" outlineLevel="0" collapsed="false">
      <c r="Y38" s="1"/>
      <c r="Z38" s="1"/>
    </row>
    <row r="39" customFormat="false" ht="12.75" hidden="false" customHeight="false" outlineLevel="0" collapsed="false">
      <c r="Y39" s="1"/>
      <c r="Z39" s="1"/>
    </row>
    <row r="40" customFormat="false" ht="12.75" hidden="false" customHeight="false" outlineLevel="0" collapsed="false">
      <c r="Y40" s="1"/>
      <c r="Z40" s="1"/>
    </row>
    <row r="41" customFormat="false" ht="12.75" hidden="false" customHeight="false" outlineLevel="0" collapsed="false">
      <c r="Y41" s="1"/>
      <c r="Z41" s="1"/>
    </row>
    <row r="42" customFormat="false" ht="12.75" hidden="false" customHeight="false" outlineLevel="0" collapsed="false">
      <c r="Y42" s="1"/>
      <c r="Z42" s="1"/>
    </row>
    <row r="43" customFormat="false" ht="12.75" hidden="false" customHeight="false" outlineLevel="0" collapsed="false">
      <c r="Y43" s="1"/>
      <c r="Z43" s="1"/>
    </row>
    <row r="44" customFormat="false" ht="12.75" hidden="false" customHeight="false" outlineLevel="0" collapsed="false">
      <c r="Y44" s="1"/>
      <c r="Z44" s="1"/>
    </row>
    <row r="45" customFormat="false" ht="12.75" hidden="false" customHeight="false" outlineLevel="0" collapsed="false">
      <c r="Y45" s="1"/>
      <c r="Z45" s="1"/>
    </row>
    <row r="46" customFormat="false" ht="12.75" hidden="false" customHeight="false" outlineLevel="0" collapsed="false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  <c r="BS46" s="264"/>
      <c r="BT46" s="264"/>
      <c r="BU46" s="264"/>
      <c r="BV46" s="264"/>
      <c r="BW46" s="264"/>
      <c r="BX46" s="264"/>
      <c r="BY46" s="264"/>
      <c r="BZ46" s="264"/>
      <c r="CA46" s="264"/>
      <c r="CB46" s="264"/>
      <c r="CC46" s="264"/>
      <c r="CD46" s="264"/>
      <c r="CE46" s="264"/>
      <c r="CF46" s="264"/>
      <c r="CG46" s="264"/>
      <c r="CH46" s="264"/>
      <c r="CI46" s="264"/>
      <c r="CJ46" s="264"/>
      <c r="CK46" s="264"/>
      <c r="CL46" s="264"/>
      <c r="CM46" s="264"/>
      <c r="CN46" s="264"/>
      <c r="CO46" s="264"/>
      <c r="CP46" s="264"/>
      <c r="CQ46" s="264"/>
      <c r="CR46" s="264"/>
      <c r="CS46" s="264"/>
      <c r="CT46" s="264"/>
      <c r="CU46" s="264"/>
      <c r="CV46" s="264"/>
      <c r="CW46" s="264"/>
      <c r="CX46" s="264"/>
      <c r="CY46" s="264"/>
      <c r="CZ46" s="264"/>
      <c r="DA46" s="264"/>
      <c r="DB46" s="264"/>
      <c r="DC46" s="264"/>
      <c r="DD46" s="264"/>
      <c r="DE46" s="264"/>
      <c r="DF46" s="264"/>
      <c r="DG46" s="264"/>
      <c r="DH46" s="264"/>
      <c r="DI46" s="264"/>
      <c r="DJ46" s="264"/>
      <c r="DK46" s="264"/>
      <c r="DL46" s="264"/>
      <c r="DM46" s="264"/>
      <c r="DN46" s="264"/>
      <c r="DO46" s="264"/>
      <c r="DP46" s="264"/>
      <c r="DQ46" s="264"/>
      <c r="DR46" s="264"/>
      <c r="DS46" s="264"/>
      <c r="DT46" s="264"/>
      <c r="DU46" s="264"/>
      <c r="DV46" s="264"/>
      <c r="DW46" s="264"/>
      <c r="DX46" s="264"/>
      <c r="DY46" s="264"/>
      <c r="DZ46" s="264"/>
      <c r="EA46" s="264"/>
      <c r="EB46" s="264"/>
      <c r="EC46" s="264"/>
      <c r="ED46" s="264"/>
      <c r="EE46" s="264"/>
      <c r="EF46" s="264"/>
      <c r="EG46" s="264"/>
      <c r="EH46" s="264"/>
      <c r="EI46" s="264"/>
      <c r="EJ46" s="264"/>
      <c r="EK46" s="264"/>
      <c r="EL46" s="264"/>
      <c r="EM46" s="264"/>
      <c r="EN46" s="264"/>
      <c r="EO46" s="264"/>
      <c r="EP46" s="264"/>
      <c r="EQ46" s="264"/>
      <c r="ER46" s="264"/>
      <c r="ES46" s="264"/>
      <c r="ET46" s="264"/>
      <c r="EU46" s="264"/>
      <c r="EV46" s="264"/>
      <c r="EW46" s="264"/>
      <c r="EX46" s="264"/>
      <c r="EY46" s="264"/>
      <c r="EZ46" s="264"/>
      <c r="FA46" s="264"/>
      <c r="FB46" s="264"/>
      <c r="FC46" s="264"/>
      <c r="FD46" s="264"/>
      <c r="FE46" s="264"/>
      <c r="FF46" s="264"/>
      <c r="FG46" s="264"/>
      <c r="FH46" s="264"/>
      <c r="FI46" s="264"/>
      <c r="FJ46" s="264"/>
      <c r="FK46" s="264"/>
      <c r="FL46" s="264"/>
      <c r="FM46" s="264"/>
      <c r="FN46" s="264"/>
      <c r="FO46" s="264"/>
      <c r="FP46" s="264"/>
      <c r="FQ46" s="264"/>
      <c r="FR46" s="264"/>
      <c r="FS46" s="264"/>
      <c r="FT46" s="264"/>
      <c r="FU46" s="264"/>
      <c r="FV46" s="264"/>
      <c r="FW46" s="264"/>
      <c r="FX46" s="264"/>
      <c r="FY46" s="264"/>
      <c r="FZ46" s="264"/>
      <c r="GA46" s="264"/>
      <c r="GB46" s="264"/>
      <c r="GC46" s="264"/>
      <c r="GD46" s="264"/>
      <c r="GE46" s="264"/>
      <c r="GF46" s="264"/>
      <c r="GG46" s="264"/>
      <c r="GH46" s="264"/>
      <c r="GI46" s="264"/>
      <c r="GJ46" s="264"/>
      <c r="GK46" s="264"/>
      <c r="GL46" s="264"/>
      <c r="GM46" s="264"/>
      <c r="GN46" s="264"/>
      <c r="GO46" s="264"/>
      <c r="GP46" s="264"/>
      <c r="GQ46" s="264"/>
      <c r="GR46" s="264"/>
      <c r="GS46" s="264"/>
      <c r="GT46" s="264"/>
      <c r="GU46" s="264"/>
      <c r="GV46" s="264"/>
      <c r="GW46" s="264"/>
      <c r="GX46" s="264"/>
      <c r="GY46" s="264"/>
      <c r="GZ46" s="264"/>
      <c r="HA46" s="264"/>
      <c r="HB46" s="264"/>
      <c r="HC46" s="264"/>
      <c r="HD46" s="264"/>
      <c r="HE46" s="264"/>
      <c r="HF46" s="264"/>
      <c r="HG46" s="264"/>
      <c r="HH46" s="264"/>
      <c r="HI46" s="264"/>
      <c r="HJ46" s="264"/>
      <c r="HK46" s="264"/>
      <c r="HL46" s="264"/>
      <c r="HM46" s="264"/>
      <c r="HN46" s="264"/>
      <c r="HO46" s="264"/>
      <c r="HP46" s="264"/>
      <c r="HQ46" s="264"/>
      <c r="HR46" s="264"/>
      <c r="HS46" s="264"/>
      <c r="HT46" s="264"/>
      <c r="HU46" s="264"/>
      <c r="HV46" s="264"/>
      <c r="HW46" s="264"/>
      <c r="HX46" s="264"/>
      <c r="HY46" s="264"/>
      <c r="HZ46" s="264"/>
      <c r="IA46" s="264"/>
      <c r="IB46" s="264"/>
      <c r="IC46" s="264"/>
      <c r="ID46" s="264"/>
      <c r="IE46" s="264"/>
      <c r="IF46" s="264"/>
      <c r="IG46" s="264"/>
      <c r="IH46" s="264"/>
      <c r="II46" s="264"/>
      <c r="IJ46" s="264"/>
      <c r="IK46" s="264"/>
      <c r="IL46" s="264"/>
      <c r="IM46" s="264"/>
      <c r="IN46" s="264"/>
      <c r="IO46" s="264"/>
      <c r="IP46" s="264"/>
      <c r="IQ46" s="264"/>
      <c r="IR46" s="264"/>
      <c r="IS46" s="264"/>
      <c r="IT46" s="264"/>
      <c r="IU46" s="264"/>
      <c r="IV46" s="264"/>
      <c r="IW46" s="264"/>
    </row>
    <row r="47" customFormat="false" ht="12.75" hidden="false" customHeight="false" outlineLevel="0" collapsed="false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  <c r="BS47" s="264"/>
      <c r="BT47" s="264"/>
      <c r="BU47" s="264"/>
      <c r="BV47" s="264"/>
      <c r="BW47" s="264"/>
      <c r="BX47" s="264"/>
      <c r="BY47" s="264"/>
      <c r="BZ47" s="264"/>
      <c r="CA47" s="264"/>
      <c r="CB47" s="264"/>
      <c r="CC47" s="264"/>
      <c r="CD47" s="264"/>
      <c r="CE47" s="264"/>
      <c r="CF47" s="264"/>
      <c r="CG47" s="264"/>
      <c r="CH47" s="264"/>
      <c r="CI47" s="264"/>
      <c r="CJ47" s="264"/>
      <c r="CK47" s="264"/>
      <c r="CL47" s="264"/>
      <c r="CM47" s="264"/>
      <c r="CN47" s="264"/>
      <c r="CO47" s="264"/>
      <c r="CP47" s="264"/>
      <c r="CQ47" s="264"/>
      <c r="CR47" s="264"/>
      <c r="CS47" s="264"/>
      <c r="CT47" s="264"/>
      <c r="CU47" s="264"/>
      <c r="CV47" s="264"/>
      <c r="CW47" s="264"/>
      <c r="CX47" s="264"/>
      <c r="CY47" s="264"/>
      <c r="CZ47" s="264"/>
      <c r="DA47" s="264"/>
      <c r="DB47" s="264"/>
      <c r="DC47" s="264"/>
      <c r="DD47" s="264"/>
      <c r="DE47" s="264"/>
      <c r="DF47" s="264"/>
      <c r="DG47" s="264"/>
      <c r="DH47" s="264"/>
      <c r="DI47" s="264"/>
      <c r="DJ47" s="264"/>
      <c r="DK47" s="264"/>
      <c r="DL47" s="264"/>
      <c r="DM47" s="264"/>
      <c r="DN47" s="264"/>
      <c r="DO47" s="264"/>
      <c r="DP47" s="264"/>
      <c r="DQ47" s="264"/>
      <c r="DR47" s="264"/>
      <c r="DS47" s="264"/>
      <c r="DT47" s="264"/>
      <c r="DU47" s="264"/>
      <c r="DV47" s="264"/>
      <c r="DW47" s="264"/>
      <c r="DX47" s="264"/>
      <c r="DY47" s="264"/>
      <c r="DZ47" s="264"/>
      <c r="EA47" s="264"/>
      <c r="EB47" s="264"/>
      <c r="EC47" s="264"/>
      <c r="ED47" s="264"/>
      <c r="EE47" s="264"/>
      <c r="EF47" s="264"/>
      <c r="EG47" s="264"/>
      <c r="EH47" s="264"/>
      <c r="EI47" s="264"/>
      <c r="EJ47" s="264"/>
      <c r="EK47" s="264"/>
      <c r="EL47" s="264"/>
      <c r="EM47" s="264"/>
      <c r="EN47" s="264"/>
      <c r="EO47" s="264"/>
      <c r="EP47" s="264"/>
      <c r="EQ47" s="264"/>
      <c r="ER47" s="264"/>
      <c r="ES47" s="264"/>
      <c r="ET47" s="264"/>
      <c r="EU47" s="264"/>
      <c r="EV47" s="264"/>
      <c r="EW47" s="264"/>
      <c r="EX47" s="264"/>
      <c r="EY47" s="264"/>
      <c r="EZ47" s="264"/>
      <c r="FA47" s="264"/>
      <c r="FB47" s="264"/>
      <c r="FC47" s="264"/>
      <c r="FD47" s="264"/>
      <c r="FE47" s="264"/>
      <c r="FF47" s="264"/>
      <c r="FG47" s="264"/>
      <c r="FH47" s="264"/>
      <c r="FI47" s="264"/>
      <c r="FJ47" s="264"/>
      <c r="FK47" s="264"/>
      <c r="FL47" s="264"/>
      <c r="FM47" s="264"/>
      <c r="FN47" s="264"/>
      <c r="FO47" s="264"/>
      <c r="FP47" s="264"/>
      <c r="FQ47" s="264"/>
      <c r="FR47" s="264"/>
      <c r="FS47" s="264"/>
      <c r="FT47" s="264"/>
      <c r="FU47" s="264"/>
      <c r="FV47" s="264"/>
      <c r="FW47" s="264"/>
      <c r="FX47" s="264"/>
      <c r="FY47" s="264"/>
      <c r="FZ47" s="264"/>
      <c r="GA47" s="264"/>
      <c r="GB47" s="264"/>
      <c r="GC47" s="264"/>
      <c r="GD47" s="264"/>
      <c r="GE47" s="264"/>
      <c r="GF47" s="264"/>
      <c r="GG47" s="264"/>
      <c r="GH47" s="264"/>
      <c r="GI47" s="264"/>
      <c r="GJ47" s="264"/>
      <c r="GK47" s="264"/>
      <c r="GL47" s="264"/>
      <c r="GM47" s="264"/>
      <c r="GN47" s="264"/>
      <c r="GO47" s="264"/>
      <c r="GP47" s="264"/>
      <c r="GQ47" s="264"/>
      <c r="GR47" s="264"/>
      <c r="GS47" s="264"/>
      <c r="GT47" s="264"/>
      <c r="GU47" s="264"/>
      <c r="GV47" s="264"/>
      <c r="GW47" s="264"/>
      <c r="GX47" s="264"/>
      <c r="GY47" s="264"/>
      <c r="GZ47" s="264"/>
      <c r="HA47" s="264"/>
      <c r="HB47" s="264"/>
      <c r="HC47" s="264"/>
      <c r="HD47" s="264"/>
      <c r="HE47" s="264"/>
      <c r="HF47" s="264"/>
      <c r="HG47" s="264"/>
      <c r="HH47" s="264"/>
      <c r="HI47" s="264"/>
      <c r="HJ47" s="264"/>
      <c r="HK47" s="264"/>
      <c r="HL47" s="264"/>
      <c r="HM47" s="264"/>
      <c r="HN47" s="264"/>
      <c r="HO47" s="264"/>
      <c r="HP47" s="264"/>
      <c r="HQ47" s="264"/>
      <c r="HR47" s="264"/>
      <c r="HS47" s="264"/>
      <c r="HT47" s="264"/>
      <c r="HU47" s="264"/>
      <c r="HV47" s="264"/>
      <c r="HW47" s="264"/>
      <c r="HX47" s="264"/>
      <c r="HY47" s="264"/>
      <c r="HZ47" s="264"/>
      <c r="IA47" s="264"/>
      <c r="IB47" s="264"/>
      <c r="IC47" s="264"/>
      <c r="ID47" s="264"/>
      <c r="IE47" s="264"/>
      <c r="IF47" s="264"/>
      <c r="IG47" s="264"/>
      <c r="IH47" s="264"/>
      <c r="II47" s="264"/>
      <c r="IJ47" s="264"/>
      <c r="IK47" s="264"/>
      <c r="IL47" s="264"/>
      <c r="IM47" s="264"/>
      <c r="IN47" s="264"/>
      <c r="IO47" s="264"/>
      <c r="IP47" s="264"/>
      <c r="IQ47" s="264"/>
      <c r="IR47" s="264"/>
      <c r="IS47" s="264"/>
      <c r="IT47" s="264"/>
      <c r="IU47" s="264"/>
      <c r="IV47" s="264"/>
      <c r="IW47" s="264"/>
    </row>
    <row r="48" customFormat="false" ht="12.75" hidden="false" customHeight="false" outlineLevel="0" collapsed="false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H48" s="264"/>
      <c r="CI48" s="264"/>
      <c r="CJ48" s="264"/>
      <c r="CK48" s="264"/>
      <c r="CL48" s="264"/>
      <c r="CM48" s="264"/>
      <c r="CN48" s="264"/>
      <c r="CO48" s="264"/>
      <c r="CP48" s="264"/>
      <c r="CQ48" s="264"/>
      <c r="CR48" s="264"/>
      <c r="CS48" s="264"/>
      <c r="CT48" s="264"/>
      <c r="CU48" s="264"/>
      <c r="CV48" s="264"/>
      <c r="CW48" s="264"/>
      <c r="CX48" s="264"/>
      <c r="CY48" s="264"/>
      <c r="CZ48" s="264"/>
      <c r="DA48" s="264"/>
      <c r="DB48" s="264"/>
      <c r="DC48" s="264"/>
      <c r="DD48" s="264"/>
      <c r="DE48" s="264"/>
      <c r="DF48" s="264"/>
      <c r="DG48" s="264"/>
      <c r="DH48" s="264"/>
      <c r="DI48" s="264"/>
      <c r="DJ48" s="264"/>
      <c r="DK48" s="264"/>
      <c r="DL48" s="264"/>
      <c r="DM48" s="264"/>
      <c r="DN48" s="264"/>
      <c r="DO48" s="264"/>
      <c r="DP48" s="264"/>
      <c r="DQ48" s="264"/>
      <c r="DR48" s="264"/>
      <c r="DS48" s="264"/>
      <c r="DT48" s="264"/>
      <c r="DU48" s="264"/>
      <c r="DV48" s="264"/>
      <c r="DW48" s="264"/>
      <c r="DX48" s="264"/>
      <c r="DY48" s="264"/>
      <c r="DZ48" s="264"/>
      <c r="EA48" s="264"/>
      <c r="EB48" s="264"/>
      <c r="EC48" s="264"/>
      <c r="ED48" s="264"/>
      <c r="EE48" s="264"/>
      <c r="EF48" s="264"/>
      <c r="EG48" s="264"/>
      <c r="EH48" s="264"/>
      <c r="EI48" s="264"/>
      <c r="EJ48" s="264"/>
      <c r="EK48" s="264"/>
      <c r="EL48" s="264"/>
      <c r="EM48" s="264"/>
      <c r="EN48" s="264"/>
      <c r="EO48" s="264"/>
      <c r="EP48" s="264"/>
      <c r="EQ48" s="264"/>
      <c r="ER48" s="264"/>
      <c r="ES48" s="264"/>
      <c r="ET48" s="264"/>
      <c r="EU48" s="264"/>
      <c r="EV48" s="264"/>
      <c r="EW48" s="264"/>
      <c r="EX48" s="264"/>
      <c r="EY48" s="264"/>
      <c r="EZ48" s="264"/>
      <c r="FA48" s="264"/>
      <c r="FB48" s="264"/>
      <c r="FC48" s="264"/>
      <c r="FD48" s="264"/>
      <c r="FE48" s="264"/>
      <c r="FF48" s="264"/>
      <c r="FG48" s="264"/>
      <c r="FH48" s="264"/>
      <c r="FI48" s="264"/>
      <c r="FJ48" s="264"/>
      <c r="FK48" s="264"/>
      <c r="FL48" s="264"/>
      <c r="FM48" s="264"/>
      <c r="FN48" s="264"/>
      <c r="FO48" s="264"/>
      <c r="FP48" s="264"/>
      <c r="FQ48" s="264"/>
      <c r="FR48" s="264"/>
      <c r="FS48" s="264"/>
      <c r="FT48" s="264"/>
      <c r="FU48" s="264"/>
      <c r="FV48" s="264"/>
      <c r="FW48" s="264"/>
      <c r="FX48" s="264"/>
      <c r="FY48" s="264"/>
      <c r="FZ48" s="264"/>
      <c r="GA48" s="264"/>
      <c r="GB48" s="264"/>
      <c r="GC48" s="264"/>
      <c r="GD48" s="264"/>
      <c r="GE48" s="264"/>
      <c r="GF48" s="264"/>
      <c r="GG48" s="264"/>
      <c r="GH48" s="264"/>
      <c r="GI48" s="264"/>
      <c r="GJ48" s="264"/>
      <c r="GK48" s="264"/>
      <c r="GL48" s="264"/>
      <c r="GM48" s="264"/>
      <c r="GN48" s="264"/>
      <c r="GO48" s="264"/>
      <c r="GP48" s="264"/>
      <c r="GQ48" s="264"/>
      <c r="GR48" s="264"/>
      <c r="GS48" s="264"/>
      <c r="GT48" s="264"/>
      <c r="GU48" s="264"/>
      <c r="GV48" s="264"/>
      <c r="GW48" s="264"/>
      <c r="GX48" s="264"/>
      <c r="GY48" s="264"/>
      <c r="GZ48" s="264"/>
      <c r="HA48" s="264"/>
      <c r="HB48" s="264"/>
      <c r="HC48" s="264"/>
      <c r="HD48" s="264"/>
      <c r="HE48" s="264"/>
      <c r="HF48" s="264"/>
      <c r="HG48" s="264"/>
      <c r="HH48" s="264"/>
      <c r="HI48" s="264"/>
      <c r="HJ48" s="264"/>
      <c r="HK48" s="264"/>
      <c r="HL48" s="264"/>
      <c r="HM48" s="264"/>
      <c r="HN48" s="264"/>
      <c r="HO48" s="264"/>
      <c r="HP48" s="264"/>
      <c r="HQ48" s="264"/>
      <c r="HR48" s="264"/>
      <c r="HS48" s="264"/>
      <c r="HT48" s="264"/>
      <c r="HU48" s="264"/>
      <c r="HV48" s="264"/>
      <c r="HW48" s="264"/>
      <c r="HX48" s="264"/>
      <c r="HY48" s="264"/>
      <c r="HZ48" s="264"/>
      <c r="IA48" s="264"/>
      <c r="IB48" s="264"/>
      <c r="IC48" s="264"/>
      <c r="ID48" s="264"/>
      <c r="IE48" s="264"/>
      <c r="IF48" s="264"/>
      <c r="IG48" s="264"/>
      <c r="IH48" s="264"/>
      <c r="II48" s="264"/>
      <c r="IJ48" s="264"/>
      <c r="IK48" s="264"/>
      <c r="IL48" s="264"/>
      <c r="IM48" s="264"/>
      <c r="IN48" s="264"/>
      <c r="IO48" s="264"/>
      <c r="IP48" s="264"/>
      <c r="IQ48" s="264"/>
      <c r="IR48" s="264"/>
      <c r="IS48" s="264"/>
      <c r="IT48" s="264"/>
      <c r="IU48" s="264"/>
      <c r="IV48" s="264"/>
      <c r="IW48" s="264"/>
    </row>
    <row r="49" customFormat="false" ht="12.75" hidden="false" customHeight="false" outlineLevel="0" collapsed="false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4"/>
      <c r="BV49" s="264"/>
      <c r="BW49" s="264"/>
      <c r="BX49" s="264"/>
      <c r="BY49" s="264"/>
      <c r="BZ49" s="264"/>
      <c r="CA49" s="264"/>
      <c r="CB49" s="264"/>
      <c r="CC49" s="264"/>
      <c r="CD49" s="264"/>
      <c r="CE49" s="264"/>
      <c r="CF49" s="264"/>
      <c r="CG49" s="264"/>
      <c r="CH49" s="264"/>
      <c r="CI49" s="264"/>
      <c r="CJ49" s="264"/>
      <c r="CK49" s="264"/>
      <c r="CL49" s="264"/>
      <c r="CM49" s="264"/>
      <c r="CN49" s="264"/>
      <c r="CO49" s="264"/>
      <c r="CP49" s="264"/>
      <c r="CQ49" s="264"/>
      <c r="CR49" s="264"/>
      <c r="CS49" s="264"/>
      <c r="CT49" s="264"/>
      <c r="CU49" s="264"/>
      <c r="CV49" s="264"/>
      <c r="CW49" s="264"/>
      <c r="CX49" s="264"/>
      <c r="CY49" s="264"/>
      <c r="CZ49" s="264"/>
      <c r="DA49" s="264"/>
      <c r="DB49" s="264"/>
      <c r="DC49" s="264"/>
      <c r="DD49" s="264"/>
      <c r="DE49" s="264"/>
      <c r="DF49" s="264"/>
      <c r="DG49" s="264"/>
      <c r="DH49" s="264"/>
      <c r="DI49" s="264"/>
      <c r="DJ49" s="264"/>
      <c r="DK49" s="264"/>
      <c r="DL49" s="264"/>
      <c r="DM49" s="264"/>
      <c r="DN49" s="264"/>
      <c r="DO49" s="264"/>
      <c r="DP49" s="264"/>
      <c r="DQ49" s="264"/>
      <c r="DR49" s="264"/>
      <c r="DS49" s="264"/>
      <c r="DT49" s="264"/>
      <c r="DU49" s="264"/>
      <c r="DV49" s="264"/>
      <c r="DW49" s="264"/>
      <c r="DX49" s="264"/>
      <c r="DY49" s="264"/>
      <c r="DZ49" s="264"/>
      <c r="EA49" s="264"/>
      <c r="EB49" s="264"/>
      <c r="EC49" s="264"/>
      <c r="ED49" s="264"/>
      <c r="EE49" s="264"/>
      <c r="EF49" s="264"/>
      <c r="EG49" s="264"/>
      <c r="EH49" s="264"/>
      <c r="EI49" s="264"/>
      <c r="EJ49" s="264"/>
      <c r="EK49" s="264"/>
      <c r="EL49" s="264"/>
      <c r="EM49" s="264"/>
      <c r="EN49" s="264"/>
      <c r="EO49" s="264"/>
      <c r="EP49" s="264"/>
      <c r="EQ49" s="264"/>
      <c r="ER49" s="264"/>
      <c r="ES49" s="264"/>
      <c r="ET49" s="264"/>
      <c r="EU49" s="264"/>
      <c r="EV49" s="264"/>
      <c r="EW49" s="264"/>
      <c r="EX49" s="264"/>
      <c r="EY49" s="264"/>
      <c r="EZ49" s="264"/>
      <c r="FA49" s="264"/>
      <c r="FB49" s="264"/>
      <c r="FC49" s="264"/>
      <c r="FD49" s="264"/>
      <c r="FE49" s="264"/>
      <c r="FF49" s="264"/>
      <c r="FG49" s="264"/>
      <c r="FH49" s="264"/>
      <c r="FI49" s="264"/>
      <c r="FJ49" s="264"/>
      <c r="FK49" s="264"/>
      <c r="FL49" s="264"/>
      <c r="FM49" s="264"/>
      <c r="FN49" s="264"/>
      <c r="FO49" s="264"/>
      <c r="FP49" s="264"/>
      <c r="FQ49" s="264"/>
      <c r="FR49" s="264"/>
      <c r="FS49" s="264"/>
      <c r="FT49" s="264"/>
      <c r="FU49" s="264"/>
      <c r="FV49" s="264"/>
      <c r="FW49" s="264"/>
      <c r="FX49" s="264"/>
      <c r="FY49" s="264"/>
      <c r="FZ49" s="264"/>
      <c r="GA49" s="264"/>
      <c r="GB49" s="264"/>
      <c r="GC49" s="264"/>
      <c r="GD49" s="264"/>
      <c r="GE49" s="264"/>
      <c r="GF49" s="264"/>
      <c r="GG49" s="264"/>
      <c r="GH49" s="264"/>
      <c r="GI49" s="264"/>
      <c r="GJ49" s="264"/>
      <c r="GK49" s="264"/>
      <c r="GL49" s="264"/>
      <c r="GM49" s="264"/>
      <c r="GN49" s="264"/>
      <c r="GO49" s="264"/>
      <c r="GP49" s="264"/>
      <c r="GQ49" s="264"/>
      <c r="GR49" s="264"/>
      <c r="GS49" s="264"/>
      <c r="GT49" s="264"/>
      <c r="GU49" s="264"/>
      <c r="GV49" s="264"/>
      <c r="GW49" s="264"/>
      <c r="GX49" s="264"/>
      <c r="GY49" s="264"/>
      <c r="GZ49" s="264"/>
      <c r="HA49" s="264"/>
      <c r="HB49" s="264"/>
      <c r="HC49" s="264"/>
      <c r="HD49" s="264"/>
      <c r="HE49" s="264"/>
      <c r="HF49" s="264"/>
      <c r="HG49" s="264"/>
      <c r="HH49" s="264"/>
      <c r="HI49" s="264"/>
      <c r="HJ49" s="264"/>
      <c r="HK49" s="264"/>
      <c r="HL49" s="264"/>
      <c r="HM49" s="264"/>
      <c r="HN49" s="264"/>
      <c r="HO49" s="264"/>
      <c r="HP49" s="264"/>
      <c r="HQ49" s="264"/>
      <c r="HR49" s="264"/>
      <c r="HS49" s="264"/>
      <c r="HT49" s="264"/>
      <c r="HU49" s="264"/>
      <c r="HV49" s="264"/>
      <c r="HW49" s="264"/>
      <c r="HX49" s="264"/>
      <c r="HY49" s="264"/>
      <c r="HZ49" s="264"/>
      <c r="IA49" s="264"/>
      <c r="IB49" s="264"/>
      <c r="IC49" s="264"/>
      <c r="ID49" s="264"/>
      <c r="IE49" s="264"/>
      <c r="IF49" s="264"/>
      <c r="IG49" s="264"/>
      <c r="IH49" s="264"/>
      <c r="II49" s="264"/>
      <c r="IJ49" s="264"/>
      <c r="IK49" s="264"/>
      <c r="IL49" s="264"/>
      <c r="IM49" s="264"/>
      <c r="IN49" s="264"/>
      <c r="IO49" s="264"/>
      <c r="IP49" s="264"/>
      <c r="IQ49" s="264"/>
      <c r="IR49" s="264"/>
      <c r="IS49" s="264"/>
      <c r="IT49" s="264"/>
      <c r="IU49" s="264"/>
      <c r="IV49" s="264"/>
      <c r="IW49" s="264"/>
    </row>
    <row r="50" customFormat="false" ht="12.75" hidden="false" customHeight="false" outlineLevel="0" collapsed="false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  <c r="BS50" s="264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  <c r="CS50" s="264"/>
      <c r="CT50" s="264"/>
      <c r="CU50" s="264"/>
      <c r="CV50" s="264"/>
      <c r="CW50" s="264"/>
      <c r="CX50" s="264"/>
      <c r="CY50" s="264"/>
      <c r="CZ50" s="264"/>
      <c r="DA50" s="264"/>
      <c r="DB50" s="264"/>
      <c r="DC50" s="264"/>
      <c r="DD50" s="264"/>
      <c r="DE50" s="264"/>
      <c r="DF50" s="264"/>
      <c r="DG50" s="264"/>
      <c r="DH50" s="264"/>
      <c r="DI50" s="264"/>
      <c r="DJ50" s="264"/>
      <c r="DK50" s="264"/>
      <c r="DL50" s="264"/>
      <c r="DM50" s="264"/>
      <c r="DN50" s="264"/>
      <c r="DO50" s="264"/>
      <c r="DP50" s="264"/>
      <c r="DQ50" s="264"/>
      <c r="DR50" s="264"/>
      <c r="DS50" s="264"/>
      <c r="DT50" s="264"/>
      <c r="DU50" s="264"/>
      <c r="DV50" s="264"/>
      <c r="DW50" s="264"/>
      <c r="DX50" s="264"/>
      <c r="DY50" s="264"/>
      <c r="DZ50" s="264"/>
      <c r="EA50" s="264"/>
      <c r="EB50" s="264"/>
      <c r="EC50" s="264"/>
      <c r="ED50" s="264"/>
      <c r="EE50" s="264"/>
      <c r="EF50" s="264"/>
      <c r="EG50" s="264"/>
      <c r="EH50" s="264"/>
      <c r="EI50" s="264"/>
      <c r="EJ50" s="264"/>
      <c r="EK50" s="264"/>
      <c r="EL50" s="264"/>
      <c r="EM50" s="264"/>
      <c r="EN50" s="264"/>
      <c r="EO50" s="264"/>
      <c r="EP50" s="264"/>
      <c r="EQ50" s="264"/>
      <c r="ER50" s="264"/>
      <c r="ES50" s="264"/>
      <c r="ET50" s="264"/>
      <c r="EU50" s="264"/>
      <c r="EV50" s="264"/>
      <c r="EW50" s="264"/>
      <c r="EX50" s="264"/>
      <c r="EY50" s="264"/>
      <c r="EZ50" s="264"/>
      <c r="FA50" s="264"/>
      <c r="FB50" s="264"/>
      <c r="FC50" s="264"/>
      <c r="FD50" s="264"/>
      <c r="FE50" s="264"/>
      <c r="FF50" s="264"/>
      <c r="FG50" s="264"/>
      <c r="FH50" s="264"/>
      <c r="FI50" s="264"/>
      <c r="FJ50" s="264"/>
      <c r="FK50" s="264"/>
      <c r="FL50" s="264"/>
      <c r="FM50" s="264"/>
      <c r="FN50" s="264"/>
      <c r="FO50" s="264"/>
      <c r="FP50" s="264"/>
      <c r="FQ50" s="264"/>
      <c r="FR50" s="264"/>
      <c r="FS50" s="264"/>
      <c r="FT50" s="264"/>
      <c r="FU50" s="264"/>
      <c r="FV50" s="264"/>
      <c r="FW50" s="264"/>
      <c r="FX50" s="264"/>
      <c r="FY50" s="264"/>
      <c r="FZ50" s="264"/>
      <c r="GA50" s="264"/>
      <c r="GB50" s="264"/>
      <c r="GC50" s="264"/>
      <c r="GD50" s="264"/>
      <c r="GE50" s="264"/>
      <c r="GF50" s="264"/>
      <c r="GG50" s="264"/>
      <c r="GH50" s="264"/>
      <c r="GI50" s="264"/>
      <c r="GJ50" s="264"/>
      <c r="GK50" s="264"/>
      <c r="GL50" s="264"/>
      <c r="GM50" s="264"/>
      <c r="GN50" s="264"/>
      <c r="GO50" s="264"/>
      <c r="GP50" s="264"/>
      <c r="GQ50" s="264"/>
      <c r="GR50" s="264"/>
      <c r="GS50" s="264"/>
      <c r="GT50" s="264"/>
      <c r="GU50" s="264"/>
      <c r="GV50" s="264"/>
      <c r="GW50" s="264"/>
      <c r="GX50" s="264"/>
      <c r="GY50" s="264"/>
      <c r="GZ50" s="264"/>
      <c r="HA50" s="264"/>
      <c r="HB50" s="264"/>
      <c r="HC50" s="264"/>
      <c r="HD50" s="264"/>
      <c r="HE50" s="264"/>
      <c r="HF50" s="264"/>
      <c r="HG50" s="264"/>
      <c r="HH50" s="264"/>
      <c r="HI50" s="264"/>
      <c r="HJ50" s="264"/>
      <c r="HK50" s="264"/>
      <c r="HL50" s="264"/>
      <c r="HM50" s="264"/>
      <c r="HN50" s="264"/>
      <c r="HO50" s="264"/>
      <c r="HP50" s="264"/>
      <c r="HQ50" s="264"/>
      <c r="HR50" s="264"/>
      <c r="HS50" s="264"/>
      <c r="HT50" s="264"/>
      <c r="HU50" s="264"/>
      <c r="HV50" s="264"/>
      <c r="HW50" s="264"/>
      <c r="HX50" s="264"/>
      <c r="HY50" s="264"/>
      <c r="HZ50" s="264"/>
      <c r="IA50" s="264"/>
      <c r="IB50" s="264"/>
      <c r="IC50" s="264"/>
      <c r="ID50" s="264"/>
      <c r="IE50" s="264"/>
      <c r="IF50" s="264"/>
      <c r="IG50" s="264"/>
      <c r="IH50" s="264"/>
      <c r="II50" s="264"/>
      <c r="IJ50" s="264"/>
      <c r="IK50" s="264"/>
      <c r="IL50" s="264"/>
      <c r="IM50" s="264"/>
      <c r="IN50" s="264"/>
      <c r="IO50" s="264"/>
      <c r="IP50" s="264"/>
      <c r="IQ50" s="264"/>
      <c r="IR50" s="264"/>
      <c r="IS50" s="264"/>
      <c r="IT50" s="264"/>
      <c r="IU50" s="264"/>
      <c r="IV50" s="264"/>
      <c r="IW50" s="264"/>
    </row>
    <row r="51" customFormat="false" ht="12.75" hidden="false" customHeight="false" outlineLevel="0" collapsed="false">
      <c r="Y51" s="1"/>
      <c r="Z51" s="1"/>
    </row>
    <row r="52" customFormat="false" ht="12.75" hidden="false" customHeight="false" outlineLevel="0" collapsed="false">
      <c r="Y52" s="1"/>
      <c r="Z52" s="1"/>
    </row>
    <row r="53" customFormat="false" ht="12.75" hidden="false" customHeight="false" outlineLevel="0" collapsed="false">
      <c r="Y53" s="1"/>
      <c r="Z53" s="1"/>
    </row>
    <row r="54" customFormat="false" ht="12.75" hidden="false" customHeight="false" outlineLevel="0" collapsed="false">
      <c r="Y54" s="1"/>
      <c r="Z54" s="1"/>
    </row>
    <row r="55" customFormat="false" ht="12.75" hidden="false" customHeight="false" outlineLevel="0" collapsed="false">
      <c r="Y55" s="1"/>
      <c r="Z55" s="1"/>
    </row>
    <row r="56" customFormat="false" ht="12.75" hidden="false" customHeight="false" outlineLevel="0" collapsed="false">
      <c r="Y56" s="1"/>
      <c r="Z56" s="1"/>
    </row>
    <row r="57" customFormat="false" ht="12.75" hidden="false" customHeight="false" outlineLevel="0" collapsed="false">
      <c r="Y57" s="1"/>
      <c r="Z57" s="1"/>
    </row>
    <row r="58" customFormat="false" ht="12.75" hidden="false" customHeight="false" outlineLevel="0" collapsed="false">
      <c r="Y58" s="1"/>
      <c r="Z58" s="1"/>
    </row>
    <row r="59" customFormat="false" ht="12.75" hidden="false" customHeight="false" outlineLevel="0" collapsed="false">
      <c r="Y59" s="1"/>
      <c r="Z59" s="1"/>
    </row>
    <row r="60" customFormat="false" ht="12.75" hidden="false" customHeight="false" outlineLevel="0" collapsed="false">
      <c r="A60" s="32"/>
    </row>
    <row r="61" customFormat="false" ht="12.75" hidden="false" customHeight="false" outlineLevel="0" collapsed="false">
      <c r="A61" s="32"/>
    </row>
    <row r="62" customFormat="false" ht="12.75" hidden="false" customHeight="false" outlineLevel="0" collapsed="false">
      <c r="A62" s="32"/>
    </row>
    <row r="63" customFormat="false" ht="12.75" hidden="false" customHeight="false" outlineLevel="0" collapsed="false">
      <c r="A63" s="32"/>
    </row>
    <row r="64" customFormat="false" ht="12.75" hidden="false" customHeight="false" outlineLevel="0" collapsed="false">
      <c r="A64" s="32"/>
    </row>
    <row r="65" customFormat="false" ht="12.75" hidden="false" customHeight="false" outlineLevel="0" collapsed="false">
      <c r="A65" s="3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94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1" t="str">
        <f aca="false">Assumptions!A3</f>
        <v>PROJECT NAME:</v>
      </c>
    </row>
    <row r="4" customFormat="false" ht="18.75" hidden="false" customHeight="false" outlineLevel="0" collapsed="false">
      <c r="A4" s="258" t="s">
        <v>291</v>
      </c>
      <c r="B4" s="295"/>
      <c r="C4" s="295"/>
    </row>
    <row r="6" customFormat="false" ht="12.75" hidden="false" customHeight="false" outlineLevel="0" collapsed="false">
      <c r="C6" s="296" t="n">
        <v>0</v>
      </c>
      <c r="D6" s="297" t="n">
        <f aca="false">'Price Assumption'!D7</f>
        <v>0.666666666666667</v>
      </c>
      <c r="E6" s="297" t="n">
        <f aca="false">'Price Assumption'!E7</f>
        <v>1.66666666666667</v>
      </c>
      <c r="F6" s="297" t="n">
        <f aca="false">'Price Assumption'!F7</f>
        <v>2.66666666666667</v>
      </c>
      <c r="G6" s="297" t="n">
        <f aca="false">'Price Assumption'!G7</f>
        <v>3.66666666666667</v>
      </c>
      <c r="H6" s="297" t="n">
        <f aca="false">'Price Assumption'!H7</f>
        <v>4.66666666666667</v>
      </c>
      <c r="I6" s="297" t="n">
        <f aca="false">'Price Assumption'!I7</f>
        <v>5.66666666666667</v>
      </c>
      <c r="J6" s="297" t="n">
        <f aca="false">'Price Assumption'!J7</f>
        <v>6.66666666666667</v>
      </c>
      <c r="K6" s="297" t="n">
        <f aca="false">'Price Assumption'!K7</f>
        <v>7.66666666666667</v>
      </c>
      <c r="L6" s="297" t="n">
        <f aca="false">'Price Assumption'!L7</f>
        <v>8.66666666666667</v>
      </c>
      <c r="M6" s="297" t="n">
        <f aca="false">'Price Assumption'!M7</f>
        <v>9.66666666666667</v>
      </c>
      <c r="N6" s="297" t="n">
        <f aca="false">'Price Assumption'!N7</f>
        <v>10.6666666666667</v>
      </c>
      <c r="O6" s="297" t="n">
        <f aca="false">'Price Assumption'!O7</f>
        <v>11.6666666666667</v>
      </c>
      <c r="P6" s="297" t="n">
        <f aca="false">'Price Assumption'!P7</f>
        <v>12.6666666666667</v>
      </c>
      <c r="Q6" s="297" t="n">
        <f aca="false">'Price Assumption'!Q7</f>
        <v>13.6666666666667</v>
      </c>
      <c r="R6" s="297" t="n">
        <f aca="false">'Price Assumption'!R7</f>
        <v>14.6666666666667</v>
      </c>
      <c r="S6" s="297" t="n">
        <f aca="false">'Price Assumption'!S7</f>
        <v>15.6666666666667</v>
      </c>
      <c r="T6" s="297" t="n">
        <f aca="false">'Price Assumption'!T7</f>
        <v>16.6666666666667</v>
      </c>
      <c r="U6" s="297" t="n">
        <f aca="false">'Price Assumption'!U7</f>
        <v>17.6666666666667</v>
      </c>
      <c r="V6" s="297" t="n">
        <f aca="false">'Price Assumption'!V7</f>
        <v>18.6666666666667</v>
      </c>
      <c r="W6" s="297" t="n">
        <f aca="false">'Price Assumption'!W7</f>
        <v>19.6666666666667</v>
      </c>
      <c r="X6" s="297" t="n">
        <f aca="false">'Price Assumption'!X7</f>
        <v>20.6666666666667</v>
      </c>
      <c r="Y6" s="297" t="n">
        <f aca="false">'Price Assumption'!Y7</f>
        <v>21.6666666666667</v>
      </c>
      <c r="Z6" s="297" t="n">
        <f aca="false">'Price Assumption'!Z7</f>
        <v>22.6666666666667</v>
      </c>
      <c r="AA6" s="297" t="n">
        <f aca="false">'Price Assumption'!AA7</f>
        <v>23.6666666666667</v>
      </c>
      <c r="AB6" s="297" t="n">
        <f aca="false">'Price Assumption'!AB7</f>
        <v>24.6666666666667</v>
      </c>
      <c r="AC6" s="297" t="n">
        <f aca="false">'Price Assumption'!AC7</f>
        <v>25.6666666666667</v>
      </c>
      <c r="AD6" s="297" t="n">
        <f aca="false">'Price Assumption'!AD7</f>
        <v>26.6666666666667</v>
      </c>
      <c r="AE6" s="297" t="n">
        <f aca="false">'Price Assumption'!AE7</f>
        <v>27.6666666666667</v>
      </c>
      <c r="AF6" s="297" t="n">
        <f aca="false">'Price Assumption'!AF7</f>
        <v>28.6666666666667</v>
      </c>
      <c r="AG6" s="297" t="n">
        <f aca="false">'Price Assumption'!AG7</f>
        <v>29.6666666666667</v>
      </c>
      <c r="AH6" s="297" t="n">
        <f aca="false">'Price Assumption'!AH7</f>
        <v>30.6666666666667</v>
      </c>
    </row>
    <row r="7" customFormat="false" ht="13.5" hidden="false" customHeight="false" outlineLevel="0" collapsed="false">
      <c r="A7" s="259" t="s">
        <v>259</v>
      </c>
      <c r="B7" s="260"/>
      <c r="C7" s="298" t="s">
        <v>282</v>
      </c>
      <c r="D7" s="260" t="n">
        <f aca="false">'Price Assumption'!D8</f>
        <v>2001</v>
      </c>
      <c r="E7" s="260" t="n">
        <f aca="false">'Price Assumption'!E8</f>
        <v>2002</v>
      </c>
      <c r="F7" s="260" t="n">
        <f aca="false">'Price Assumption'!F8</f>
        <v>2003</v>
      </c>
      <c r="G7" s="260" t="n">
        <f aca="false">'Price Assumption'!G8</f>
        <v>2004</v>
      </c>
      <c r="H7" s="260" t="n">
        <f aca="false">'Price Assumption'!H8</f>
        <v>2005</v>
      </c>
      <c r="I7" s="260" t="n">
        <f aca="false">'Price Assumption'!I8</f>
        <v>2006</v>
      </c>
      <c r="J7" s="260" t="n">
        <f aca="false">'Price Assumption'!J8</f>
        <v>2007</v>
      </c>
      <c r="K7" s="260" t="n">
        <f aca="false">'Price Assumption'!K8</f>
        <v>2008</v>
      </c>
      <c r="L7" s="260" t="n">
        <f aca="false">'Price Assumption'!L8</f>
        <v>2009</v>
      </c>
      <c r="M7" s="260" t="n">
        <f aca="false">'Price Assumption'!M8</f>
        <v>2010</v>
      </c>
      <c r="N7" s="260" t="n">
        <f aca="false">'Price Assumption'!N8</f>
        <v>2011</v>
      </c>
      <c r="O7" s="260" t="n">
        <f aca="false">'Price Assumption'!O8</f>
        <v>2012</v>
      </c>
      <c r="P7" s="260" t="n">
        <f aca="false">'Price Assumption'!P8</f>
        <v>2013</v>
      </c>
      <c r="Q7" s="260" t="n">
        <f aca="false">'Price Assumption'!Q8</f>
        <v>2014</v>
      </c>
      <c r="R7" s="260" t="n">
        <f aca="false">'Price Assumption'!R8</f>
        <v>2015</v>
      </c>
      <c r="S7" s="260" t="n">
        <f aca="false">'Price Assumption'!S8</f>
        <v>2016</v>
      </c>
      <c r="T7" s="260" t="n">
        <f aca="false">'Price Assumption'!T8</f>
        <v>2017</v>
      </c>
      <c r="U7" s="260" t="n">
        <f aca="false">'Price Assumption'!U8</f>
        <v>2018</v>
      </c>
      <c r="V7" s="260" t="n">
        <f aca="false">'Price Assumption'!V8</f>
        <v>2019</v>
      </c>
      <c r="W7" s="260" t="n">
        <f aca="false">'Price Assumption'!W8</f>
        <v>2020</v>
      </c>
      <c r="X7" s="260" t="n">
        <f aca="false">'Price Assumption'!X8</f>
        <v>2021</v>
      </c>
      <c r="Y7" s="260" t="n">
        <f aca="false">'Price Assumption'!Y8</f>
        <v>2022</v>
      </c>
      <c r="Z7" s="260" t="n">
        <f aca="false">'Price Assumption'!Z8</f>
        <v>2023</v>
      </c>
      <c r="AA7" s="260" t="n">
        <f aca="false">'Price Assumption'!AA8</f>
        <v>2024</v>
      </c>
      <c r="AB7" s="260" t="n">
        <f aca="false">'Price Assumption'!AB8</f>
        <v>2025</v>
      </c>
      <c r="AC7" s="260" t="n">
        <f aca="false">'Price Assumption'!AC8</f>
        <v>2026</v>
      </c>
      <c r="AD7" s="260" t="n">
        <f aca="false">'Price Assumption'!AD8</f>
        <v>2027</v>
      </c>
      <c r="AE7" s="260" t="n">
        <f aca="false">'Price Assumption'!AE8</f>
        <v>2028</v>
      </c>
      <c r="AF7" s="260" t="n">
        <f aca="false">'Price Assumption'!AF8</f>
        <v>2029</v>
      </c>
      <c r="AG7" s="260" t="n">
        <f aca="false">'Price Assumption'!AG8</f>
        <v>2030</v>
      </c>
      <c r="AH7" s="260" t="n">
        <f aca="false">'Price Assumption'!AH8</f>
        <v>2031</v>
      </c>
    </row>
    <row r="8" customFormat="false" ht="12.75" hidden="false" customHeight="false" outlineLevel="0" collapsed="false">
      <c r="A8" s="261"/>
      <c r="C8" s="299"/>
      <c r="D8" s="300" t="n">
        <f aca="false">Assumptions!H16+365.25*Assumptions!H17/12</f>
        <v>37255.5</v>
      </c>
      <c r="E8" s="300" t="n">
        <f aca="false">D8+365.25</f>
        <v>37620.75</v>
      </c>
      <c r="F8" s="300" t="n">
        <f aca="false">E8+365.25</f>
        <v>37986</v>
      </c>
      <c r="G8" s="300" t="n">
        <f aca="false">F8+365.25</f>
        <v>38351.25</v>
      </c>
      <c r="H8" s="300" t="n">
        <f aca="false">G8+365.25</f>
        <v>38716.5</v>
      </c>
      <c r="I8" s="300" t="n">
        <f aca="false">H8+365.25</f>
        <v>39081.75</v>
      </c>
      <c r="J8" s="300" t="n">
        <f aca="false">I8+365.25</f>
        <v>39447</v>
      </c>
      <c r="K8" s="300" t="n">
        <f aca="false">J8+365.25</f>
        <v>39812.25</v>
      </c>
      <c r="L8" s="300" t="n">
        <f aca="false">K8+365.25</f>
        <v>40177.5</v>
      </c>
      <c r="M8" s="300" t="n">
        <f aca="false">L8+365.25</f>
        <v>40542.75</v>
      </c>
      <c r="N8" s="300" t="n">
        <f aca="false">M8+365.25</f>
        <v>40908</v>
      </c>
      <c r="O8" s="300" t="n">
        <f aca="false">N8+365.25</f>
        <v>41273.25</v>
      </c>
      <c r="P8" s="300" t="n">
        <f aca="false">O8+365.25</f>
        <v>41638.5</v>
      </c>
      <c r="Q8" s="300" t="n">
        <f aca="false">P8+365.25</f>
        <v>42003.75</v>
      </c>
      <c r="R8" s="300" t="n">
        <f aca="false">Q8+365.25</f>
        <v>42369</v>
      </c>
      <c r="S8" s="300" t="n">
        <f aca="false">R8+365.25</f>
        <v>42734.25</v>
      </c>
      <c r="T8" s="300" t="n">
        <f aca="false">S8+365.25</f>
        <v>43099.5</v>
      </c>
      <c r="U8" s="300" t="n">
        <f aca="false">T8+365.25</f>
        <v>43464.75</v>
      </c>
      <c r="V8" s="300" t="n">
        <f aca="false">U8+365.25</f>
        <v>43830</v>
      </c>
      <c r="W8" s="300" t="n">
        <f aca="false">V8+365.25</f>
        <v>44195.25</v>
      </c>
      <c r="X8" s="300" t="n">
        <f aca="false">W8+365.25</f>
        <v>44560.5</v>
      </c>
      <c r="Y8" s="300" t="n">
        <f aca="false">X8+365.25</f>
        <v>44925.75</v>
      </c>
      <c r="Z8" s="300" t="n">
        <f aca="false">Y8+365.25</f>
        <v>45291</v>
      </c>
      <c r="AA8" s="300" t="n">
        <f aca="false">Z8+365.25</f>
        <v>45656.25</v>
      </c>
      <c r="AB8" s="300" t="n">
        <f aca="false">AA8+365.25</f>
        <v>46021.5</v>
      </c>
      <c r="AC8" s="300" t="n">
        <f aca="false">AB8+365.25</f>
        <v>46386.75</v>
      </c>
      <c r="AD8" s="300" t="n">
        <f aca="false">AC8+365.25</f>
        <v>46752</v>
      </c>
      <c r="AE8" s="300" t="n">
        <f aca="false">AD8+365.25</f>
        <v>47117.25</v>
      </c>
      <c r="AF8" s="300" t="n">
        <f aca="false">AE8+365.25</f>
        <v>47482.5</v>
      </c>
      <c r="AG8" s="300" t="n">
        <f aca="false">AF8+365.25</f>
        <v>47847.75</v>
      </c>
      <c r="AH8" s="300" t="n">
        <f aca="false">AG8+365.25</f>
        <v>48213</v>
      </c>
    </row>
    <row r="9" customFormat="false" ht="12.75" hidden="false" customHeight="false" outlineLevel="0" collapsed="false">
      <c r="A9" s="263" t="s">
        <v>292</v>
      </c>
      <c r="B9" s="1"/>
      <c r="C9" s="301"/>
      <c r="D9" s="264"/>
      <c r="E9" s="264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</row>
    <row r="10" customFormat="false" ht="12.75" hidden="false" customHeight="false" outlineLevel="0" collapsed="false">
      <c r="A10" s="263"/>
      <c r="B10" s="1"/>
      <c r="C10" s="301"/>
      <c r="D10" s="264"/>
      <c r="E10" s="264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</row>
    <row r="11" customFormat="false" ht="12.75" hidden="false" customHeight="false" outlineLevel="0" collapsed="false">
      <c r="A11" s="183" t="s">
        <v>293</v>
      </c>
      <c r="B11" s="1"/>
      <c r="C11" s="303" t="n">
        <v>0</v>
      </c>
      <c r="D11" s="183" t="n">
        <v>0</v>
      </c>
      <c r="E11" s="183" t="n">
        <v>0</v>
      </c>
      <c r="F11" s="183" t="n">
        <v>0</v>
      </c>
      <c r="G11" s="183" t="n">
        <v>0</v>
      </c>
      <c r="H11" s="183" t="n">
        <v>0</v>
      </c>
      <c r="I11" s="183" t="n">
        <v>0</v>
      </c>
      <c r="J11" s="183" t="n">
        <v>0</v>
      </c>
      <c r="K11" s="183" t="n">
        <v>0</v>
      </c>
      <c r="L11" s="183" t="n">
        <v>0</v>
      </c>
      <c r="M11" s="183" t="n">
        <v>0</v>
      </c>
      <c r="N11" s="183" t="n">
        <v>0</v>
      </c>
      <c r="O11" s="183" t="n">
        <v>0</v>
      </c>
      <c r="P11" s="183" t="n">
        <v>0</v>
      </c>
      <c r="Q11" s="183" t="n">
        <v>0</v>
      </c>
      <c r="R11" s="183" t="n">
        <v>0</v>
      </c>
      <c r="S11" s="183" t="n">
        <v>0</v>
      </c>
      <c r="T11" s="183" t="n">
        <v>0</v>
      </c>
      <c r="U11" s="183" t="n">
        <v>0</v>
      </c>
      <c r="V11" s="183" t="n">
        <v>0</v>
      </c>
      <c r="W11" s="183" t="n">
        <v>0</v>
      </c>
      <c r="X11" s="183" t="n">
        <v>0</v>
      </c>
      <c r="Y11" s="183" t="n">
        <v>0</v>
      </c>
      <c r="Z11" s="183" t="n">
        <v>0</v>
      </c>
      <c r="AA11" s="183" t="n">
        <v>0</v>
      </c>
      <c r="AB11" s="183" t="n">
        <v>0</v>
      </c>
      <c r="AC11" s="183" t="n">
        <v>0</v>
      </c>
      <c r="AD11" s="183" t="n">
        <v>0</v>
      </c>
      <c r="AE11" s="183" t="n">
        <v>0</v>
      </c>
      <c r="AF11" s="183" t="n">
        <v>0</v>
      </c>
      <c r="AG11" s="183" t="n">
        <v>0</v>
      </c>
      <c r="AH11" s="183" t="n">
        <v>0</v>
      </c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</row>
    <row r="12" customFormat="false" ht="12.75" hidden="false" customHeight="false" outlineLevel="0" collapsed="false">
      <c r="A12" s="183" t="s">
        <v>294</v>
      </c>
      <c r="B12" s="1"/>
      <c r="C12" s="303" t="n">
        <v>0</v>
      </c>
      <c r="D12" s="183" t="n">
        <v>0</v>
      </c>
      <c r="E12" s="183" t="n">
        <v>0</v>
      </c>
      <c r="F12" s="183" t="n">
        <v>0</v>
      </c>
      <c r="G12" s="183" t="n">
        <v>0</v>
      </c>
      <c r="H12" s="183" t="n">
        <v>0</v>
      </c>
      <c r="I12" s="183" t="n">
        <v>0</v>
      </c>
      <c r="J12" s="183" t="n">
        <v>0</v>
      </c>
      <c r="K12" s="183" t="n">
        <v>0</v>
      </c>
      <c r="L12" s="183" t="n">
        <v>0</v>
      </c>
      <c r="M12" s="183" t="n">
        <v>0</v>
      </c>
      <c r="N12" s="183" t="n">
        <v>0</v>
      </c>
      <c r="O12" s="183" t="n">
        <v>0</v>
      </c>
      <c r="P12" s="183" t="n">
        <v>0</v>
      </c>
      <c r="Q12" s="183" t="n">
        <v>0</v>
      </c>
      <c r="R12" s="183" t="n">
        <v>0</v>
      </c>
      <c r="S12" s="183" t="n">
        <v>0</v>
      </c>
      <c r="T12" s="183" t="n">
        <v>0</v>
      </c>
      <c r="U12" s="183" t="n">
        <v>0</v>
      </c>
      <c r="V12" s="183" t="n">
        <v>0</v>
      </c>
      <c r="W12" s="183" t="n">
        <v>0</v>
      </c>
      <c r="X12" s="183" t="n">
        <v>0</v>
      </c>
      <c r="Y12" s="183" t="n">
        <v>0</v>
      </c>
      <c r="Z12" s="183" t="n">
        <v>0</v>
      </c>
      <c r="AA12" s="183" t="n">
        <v>0</v>
      </c>
      <c r="AB12" s="183" t="n">
        <v>0</v>
      </c>
      <c r="AC12" s="183" t="n">
        <v>0</v>
      </c>
      <c r="AD12" s="183" t="n">
        <v>0</v>
      </c>
      <c r="AE12" s="183" t="n">
        <v>0</v>
      </c>
      <c r="AF12" s="183" t="n">
        <v>0</v>
      </c>
      <c r="AG12" s="183" t="n">
        <v>0</v>
      </c>
      <c r="AH12" s="183" t="n">
        <v>0</v>
      </c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</row>
    <row r="13" customFormat="false" ht="12.75" hidden="false" customHeight="false" outlineLevel="0" collapsed="false">
      <c r="A13" s="183" t="s">
        <v>295</v>
      </c>
      <c r="B13" s="1"/>
      <c r="C13" s="303" t="n">
        <v>0</v>
      </c>
      <c r="D13" s="183" t="n">
        <v>0</v>
      </c>
      <c r="E13" s="183" t="n">
        <v>0</v>
      </c>
      <c r="F13" s="183" t="n">
        <v>0</v>
      </c>
      <c r="G13" s="183" t="n">
        <v>0</v>
      </c>
      <c r="H13" s="183" t="n">
        <v>0</v>
      </c>
      <c r="I13" s="183" t="n">
        <v>0</v>
      </c>
      <c r="J13" s="183" t="n">
        <v>0</v>
      </c>
      <c r="K13" s="183" t="n">
        <v>0</v>
      </c>
      <c r="L13" s="183" t="n">
        <v>0</v>
      </c>
      <c r="M13" s="183" t="n">
        <v>0</v>
      </c>
      <c r="N13" s="183" t="n">
        <v>0</v>
      </c>
      <c r="O13" s="183" t="n">
        <v>0</v>
      </c>
      <c r="P13" s="183" t="n">
        <v>0</v>
      </c>
      <c r="Q13" s="183" t="n">
        <v>0</v>
      </c>
      <c r="R13" s="183" t="n">
        <v>0</v>
      </c>
      <c r="S13" s="183" t="n">
        <v>0</v>
      </c>
      <c r="T13" s="183" t="n">
        <v>0</v>
      </c>
      <c r="U13" s="183" t="n">
        <v>0</v>
      </c>
      <c r="V13" s="183" t="n">
        <v>0</v>
      </c>
      <c r="W13" s="183" t="n">
        <v>0</v>
      </c>
      <c r="X13" s="183" t="n">
        <v>0</v>
      </c>
      <c r="Y13" s="183" t="n">
        <v>0</v>
      </c>
      <c r="Z13" s="183" t="n">
        <v>0</v>
      </c>
      <c r="AA13" s="183" t="n">
        <v>0</v>
      </c>
      <c r="AB13" s="183" t="n">
        <v>0</v>
      </c>
      <c r="AC13" s="183" t="n">
        <v>0</v>
      </c>
      <c r="AD13" s="183" t="n">
        <v>0</v>
      </c>
      <c r="AE13" s="183" t="n">
        <v>0</v>
      </c>
      <c r="AF13" s="183" t="n">
        <v>0</v>
      </c>
      <c r="AG13" s="183" t="n">
        <v>0</v>
      </c>
      <c r="AH13" s="183" t="n">
        <v>0</v>
      </c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</row>
    <row r="14" customFormat="false" ht="12.75" hidden="false" customHeight="false" outlineLevel="0" collapsed="false">
      <c r="A14" s="183" t="s">
        <v>296</v>
      </c>
      <c r="B14" s="1"/>
      <c r="C14" s="303" t="n">
        <v>0</v>
      </c>
      <c r="D14" s="183" t="n">
        <v>0</v>
      </c>
      <c r="E14" s="183" t="n">
        <v>0</v>
      </c>
      <c r="F14" s="183" t="n">
        <v>0</v>
      </c>
      <c r="G14" s="183" t="n">
        <v>0</v>
      </c>
      <c r="H14" s="183" t="n">
        <v>0</v>
      </c>
      <c r="I14" s="183" t="n">
        <v>0</v>
      </c>
      <c r="J14" s="183" t="n">
        <v>0</v>
      </c>
      <c r="K14" s="183" t="n">
        <v>0</v>
      </c>
      <c r="L14" s="183" t="n">
        <v>0</v>
      </c>
      <c r="M14" s="183" t="n">
        <v>0</v>
      </c>
      <c r="N14" s="183" t="n">
        <v>0</v>
      </c>
      <c r="O14" s="183" t="n">
        <v>0</v>
      </c>
      <c r="P14" s="183" t="n">
        <v>0</v>
      </c>
      <c r="Q14" s="183" t="n">
        <v>0</v>
      </c>
      <c r="R14" s="183" t="n">
        <v>0</v>
      </c>
      <c r="S14" s="183" t="n">
        <v>0</v>
      </c>
      <c r="T14" s="183" t="n">
        <v>0</v>
      </c>
      <c r="U14" s="183" t="n">
        <v>0</v>
      </c>
      <c r="V14" s="183" t="n">
        <v>0</v>
      </c>
      <c r="W14" s="183" t="n">
        <v>0</v>
      </c>
      <c r="X14" s="183" t="n">
        <v>0</v>
      </c>
      <c r="Y14" s="183" t="n">
        <v>0</v>
      </c>
      <c r="Z14" s="183" t="n">
        <v>0</v>
      </c>
      <c r="AA14" s="183" t="n">
        <v>0</v>
      </c>
      <c r="AB14" s="183" t="n">
        <v>0</v>
      </c>
      <c r="AC14" s="183" t="n">
        <v>0</v>
      </c>
      <c r="AD14" s="183" t="n">
        <v>0</v>
      </c>
      <c r="AE14" s="183" t="n">
        <v>0</v>
      </c>
      <c r="AF14" s="183" t="n">
        <v>0</v>
      </c>
      <c r="AG14" s="183" t="n">
        <v>0</v>
      </c>
      <c r="AH14" s="183" t="n">
        <v>0</v>
      </c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</row>
    <row r="15" customFormat="false" ht="12.75" hidden="false" customHeight="false" outlineLevel="0" collapsed="false">
      <c r="A15" s="305" t="s">
        <v>297</v>
      </c>
      <c r="B15" s="115"/>
      <c r="C15" s="306" t="n">
        <v>0</v>
      </c>
      <c r="D15" s="305" t="n">
        <v>0</v>
      </c>
      <c r="E15" s="305" t="n">
        <v>0</v>
      </c>
      <c r="F15" s="305" t="n">
        <v>0</v>
      </c>
      <c r="G15" s="305" t="n">
        <v>0</v>
      </c>
      <c r="H15" s="305" t="n">
        <v>0</v>
      </c>
      <c r="I15" s="305" t="n">
        <v>0</v>
      </c>
      <c r="J15" s="305" t="n">
        <v>0</v>
      </c>
      <c r="K15" s="305" t="n">
        <v>0</v>
      </c>
      <c r="L15" s="305" t="n">
        <v>0</v>
      </c>
      <c r="M15" s="305" t="n">
        <v>0</v>
      </c>
      <c r="N15" s="305" t="n">
        <v>0</v>
      </c>
      <c r="O15" s="305" t="n">
        <v>0</v>
      </c>
      <c r="P15" s="305" t="n">
        <v>0</v>
      </c>
      <c r="Q15" s="305" t="n">
        <v>0</v>
      </c>
      <c r="R15" s="305" t="n">
        <v>0</v>
      </c>
      <c r="S15" s="305" t="n">
        <v>0</v>
      </c>
      <c r="T15" s="305" t="n">
        <v>0</v>
      </c>
      <c r="U15" s="305" t="n">
        <v>0</v>
      </c>
      <c r="V15" s="305" t="n">
        <v>0</v>
      </c>
      <c r="W15" s="305" t="n">
        <v>0</v>
      </c>
      <c r="X15" s="305" t="n">
        <v>0</v>
      </c>
      <c r="Y15" s="305" t="n">
        <v>0</v>
      </c>
      <c r="Z15" s="305" t="n">
        <v>0</v>
      </c>
      <c r="AA15" s="305" t="n">
        <v>0</v>
      </c>
      <c r="AB15" s="305" t="n">
        <v>0</v>
      </c>
      <c r="AC15" s="305" t="n">
        <v>0</v>
      </c>
      <c r="AD15" s="305" t="n">
        <v>0</v>
      </c>
      <c r="AE15" s="305" t="n">
        <v>0</v>
      </c>
      <c r="AF15" s="305" t="n">
        <v>0</v>
      </c>
      <c r="AG15" s="305" t="n">
        <v>0</v>
      </c>
      <c r="AH15" s="305" t="n">
        <v>0</v>
      </c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</row>
    <row r="16" customFormat="false" ht="12.75" hidden="false" customHeight="false" outlineLevel="0" collapsed="false">
      <c r="A16" s="183" t="s">
        <v>298</v>
      </c>
      <c r="B16" s="1"/>
      <c r="C16" s="303"/>
      <c r="D16" s="183" t="n">
        <f aca="false">SUM(D11:D15)</f>
        <v>0</v>
      </c>
      <c r="E16" s="183" t="n">
        <f aca="false">SUM(E11:E15)</f>
        <v>0</v>
      </c>
      <c r="F16" s="183" t="n">
        <f aca="false">SUM(F11:F15)</f>
        <v>0</v>
      </c>
      <c r="G16" s="183" t="n">
        <f aca="false">SUM(G11:G15)</f>
        <v>0</v>
      </c>
      <c r="H16" s="183" t="n">
        <f aca="false">SUM(H11:H15)</f>
        <v>0</v>
      </c>
      <c r="I16" s="183" t="n">
        <f aca="false">SUM(I11:I15)</f>
        <v>0</v>
      </c>
      <c r="J16" s="183" t="n">
        <f aca="false">SUM(J11:J15)</f>
        <v>0</v>
      </c>
      <c r="K16" s="183" t="n">
        <f aca="false">SUM(K11:K15)</f>
        <v>0</v>
      </c>
      <c r="L16" s="183" t="n">
        <f aca="false">SUM(L11:L15)</f>
        <v>0</v>
      </c>
      <c r="M16" s="183" t="n">
        <f aca="false">SUM(M11:M15)</f>
        <v>0</v>
      </c>
      <c r="N16" s="183" t="n">
        <f aca="false">SUM(N11:N15)</f>
        <v>0</v>
      </c>
      <c r="O16" s="183" t="n">
        <f aca="false">SUM(O11:O15)</f>
        <v>0</v>
      </c>
      <c r="P16" s="183" t="n">
        <f aca="false">SUM(P11:P15)</f>
        <v>0</v>
      </c>
      <c r="Q16" s="183" t="n">
        <f aca="false">SUM(Q11:Q15)</f>
        <v>0</v>
      </c>
      <c r="R16" s="183" t="n">
        <f aca="false">SUM(R11:R15)</f>
        <v>0</v>
      </c>
      <c r="S16" s="183" t="n">
        <f aca="false">SUM(S11:S15)</f>
        <v>0</v>
      </c>
      <c r="T16" s="183" t="n">
        <f aca="false">SUM(T11:T15)</f>
        <v>0</v>
      </c>
      <c r="U16" s="183" t="n">
        <f aca="false">SUM(U11:U15)</f>
        <v>0</v>
      </c>
      <c r="V16" s="183" t="n">
        <f aca="false">SUM(V11:V15)</f>
        <v>0</v>
      </c>
      <c r="W16" s="183" t="n">
        <f aca="false">SUM(W11:W15)</f>
        <v>0</v>
      </c>
      <c r="X16" s="183" t="n">
        <f aca="false">SUM(X11:X15)</f>
        <v>0</v>
      </c>
      <c r="Y16" s="183" t="n">
        <f aca="false">SUM(Y11:Y15)</f>
        <v>0</v>
      </c>
      <c r="Z16" s="183" t="n">
        <f aca="false">SUM(Z11:Z15)</f>
        <v>0</v>
      </c>
      <c r="AA16" s="183" t="n">
        <f aca="false">SUM(AA11:AA15)</f>
        <v>0</v>
      </c>
      <c r="AB16" s="183" t="n">
        <f aca="false">SUM(AB11:AB15)</f>
        <v>0</v>
      </c>
      <c r="AC16" s="183" t="n">
        <f aca="false">SUM(AC11:AC15)</f>
        <v>0</v>
      </c>
      <c r="AD16" s="183" t="n">
        <f aca="false">SUM(AD11:AD15)</f>
        <v>0</v>
      </c>
      <c r="AE16" s="183" t="n">
        <f aca="false">SUM(AE11:AE15)</f>
        <v>0</v>
      </c>
      <c r="AF16" s="183" t="n">
        <f aca="false">SUM(AF11:AF15)</f>
        <v>0</v>
      </c>
      <c r="AG16" s="183" t="n">
        <f aca="false">SUM(AG11:AG15)</f>
        <v>0</v>
      </c>
      <c r="AH16" s="183" t="n">
        <f aca="false">SUM(AH11:AH15)</f>
        <v>0</v>
      </c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</row>
    <row r="17" customFormat="false" ht="12.75" hidden="false" customHeight="false" outlineLevel="0" collapsed="false">
      <c r="A17" s="32"/>
      <c r="B17" s="1"/>
      <c r="C17" s="303"/>
      <c r="D17" s="183"/>
      <c r="E17" s="183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</row>
    <row r="18" customFormat="false" ht="12.75" hidden="false" customHeight="false" outlineLevel="0" collapsed="false">
      <c r="A18" s="183" t="s">
        <v>299</v>
      </c>
      <c r="B18" s="1"/>
      <c r="C18" s="303" t="n">
        <f aca="false">Assumptions!C58</f>
        <v>79110.2147347428</v>
      </c>
      <c r="D18" s="183" t="n">
        <f aca="false">Depreciation!$B$48</f>
        <v>79110.2147347428</v>
      </c>
      <c r="E18" s="183" t="n">
        <f aca="false">Depreciation!$B$48</f>
        <v>79110.2147347428</v>
      </c>
      <c r="F18" s="183" t="n">
        <f aca="false">Depreciation!$B$48</f>
        <v>79110.2147347428</v>
      </c>
      <c r="G18" s="183" t="n">
        <f aca="false">Depreciation!$B$48</f>
        <v>79110.2147347428</v>
      </c>
      <c r="H18" s="183" t="n">
        <f aca="false">Depreciation!$B$48</f>
        <v>79110.2147347428</v>
      </c>
      <c r="I18" s="183" t="n">
        <f aca="false">Depreciation!$B$48</f>
        <v>79110.2147347428</v>
      </c>
      <c r="J18" s="183" t="n">
        <f aca="false">Depreciation!$B$48</f>
        <v>79110.2147347428</v>
      </c>
      <c r="K18" s="183" t="n">
        <f aca="false">Depreciation!$B$48</f>
        <v>79110.2147347428</v>
      </c>
      <c r="L18" s="183" t="n">
        <f aca="false">Depreciation!$B$48</f>
        <v>79110.2147347428</v>
      </c>
      <c r="M18" s="183" t="n">
        <f aca="false">Depreciation!$B$48</f>
        <v>79110.2147347428</v>
      </c>
      <c r="N18" s="183" t="n">
        <f aca="false">Depreciation!$B$48</f>
        <v>79110.2147347428</v>
      </c>
      <c r="O18" s="183" t="n">
        <f aca="false">Depreciation!$B$48</f>
        <v>79110.2147347428</v>
      </c>
      <c r="P18" s="183" t="n">
        <f aca="false">Depreciation!$B$48</f>
        <v>79110.2147347428</v>
      </c>
      <c r="Q18" s="183" t="n">
        <f aca="false">Depreciation!$B$48</f>
        <v>79110.2147347428</v>
      </c>
      <c r="R18" s="183" t="n">
        <f aca="false">Depreciation!$B$48</f>
        <v>79110.2147347428</v>
      </c>
      <c r="S18" s="183" t="n">
        <f aca="false">Depreciation!$B$48</f>
        <v>79110.2147347428</v>
      </c>
      <c r="T18" s="183" t="n">
        <f aca="false">Depreciation!$B$48</f>
        <v>79110.2147347428</v>
      </c>
      <c r="U18" s="183" t="n">
        <f aca="false">Depreciation!$B$48</f>
        <v>79110.2147347428</v>
      </c>
      <c r="V18" s="183" t="n">
        <f aca="false">Depreciation!$B$48</f>
        <v>79110.2147347428</v>
      </c>
      <c r="W18" s="183" t="n">
        <f aca="false">Depreciation!$B$48</f>
        <v>79110.2147347428</v>
      </c>
      <c r="X18" s="183" t="n">
        <f aca="false">Depreciation!$B$48</f>
        <v>79110.2147347428</v>
      </c>
      <c r="Y18" s="183" t="n">
        <f aca="false">Depreciation!$B$48</f>
        <v>79110.2147347428</v>
      </c>
      <c r="Z18" s="183" t="n">
        <f aca="false">Depreciation!$B$48</f>
        <v>79110.2147347428</v>
      </c>
      <c r="AA18" s="183" t="n">
        <f aca="false">Depreciation!$B$48</f>
        <v>79110.2147347428</v>
      </c>
      <c r="AB18" s="183" t="n">
        <f aca="false">Depreciation!$B$48</f>
        <v>79110.2147347428</v>
      </c>
      <c r="AC18" s="183" t="n">
        <f aca="false">Depreciation!$B$48</f>
        <v>79110.2147347428</v>
      </c>
      <c r="AD18" s="183" t="n">
        <f aca="false">Depreciation!$B$48</f>
        <v>79110.2147347428</v>
      </c>
      <c r="AE18" s="183" t="n">
        <f aca="false">Depreciation!$B$48</f>
        <v>79110.2147347428</v>
      </c>
      <c r="AF18" s="183" t="n">
        <f aca="false">Depreciation!$B$48</f>
        <v>79110.2147347428</v>
      </c>
      <c r="AG18" s="183" t="n">
        <f aca="false">Depreciation!$B$48</f>
        <v>79110.2147347428</v>
      </c>
      <c r="AH18" s="183" t="n">
        <f aca="false">Depreciation!$B$48</f>
        <v>79110.2147347428</v>
      </c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</row>
    <row r="19" customFormat="false" ht="12.75" hidden="false" customHeight="false" outlineLevel="0" collapsed="false">
      <c r="A19" s="183" t="s">
        <v>300</v>
      </c>
      <c r="B19" s="32"/>
      <c r="C19" s="307" t="n">
        <v>0</v>
      </c>
      <c r="D19" s="308" t="n">
        <f aca="false">SUM(Depreciation!$D$48:D48)</f>
        <v>1965.28002802819</v>
      </c>
      <c r="E19" s="308" t="n">
        <f aca="false">SUM(Depreciation!$D$48:E48)</f>
        <v>4913.20007007047</v>
      </c>
      <c r="F19" s="308" t="n">
        <f aca="false">SUM(Depreciation!$D$48:F48)</f>
        <v>7861.12011211275</v>
      </c>
      <c r="G19" s="308" t="n">
        <f aca="false">SUM(Depreciation!$D$48:G48)</f>
        <v>10809.040154155</v>
      </c>
      <c r="H19" s="308" t="n">
        <f aca="false">SUM(Depreciation!$D$48:H48)</f>
        <v>13756.9601961973</v>
      </c>
      <c r="I19" s="308" t="n">
        <f aca="false">SUM(Depreciation!$D$48:I48)</f>
        <v>16254.2029049063</v>
      </c>
      <c r="J19" s="308" t="n">
        <f aca="false">SUM(Depreciation!$D$48:J48)</f>
        <v>18526.1069469486</v>
      </c>
      <c r="K19" s="308" t="n">
        <f aca="false">SUM(Depreciation!$D$48:K48)</f>
        <v>20798.0109889908</v>
      </c>
      <c r="L19" s="308" t="n">
        <f aca="false">SUM(Depreciation!$D$48:L48)</f>
        <v>23069.9150310331</v>
      </c>
      <c r="M19" s="308" t="n">
        <f aca="false">SUM(Depreciation!$D$48:M48)</f>
        <v>25341.8190730754</v>
      </c>
      <c r="N19" s="308" t="n">
        <f aca="false">SUM(Depreciation!$D$48:N48)</f>
        <v>27613.7231151177</v>
      </c>
      <c r="O19" s="308" t="n">
        <f aca="false">SUM(Depreciation!$D$48:O48)</f>
        <v>29885.62715716</v>
      </c>
      <c r="P19" s="308" t="n">
        <f aca="false">SUM(Depreciation!$D$48:P48)</f>
        <v>32157.5311992023</v>
      </c>
      <c r="Q19" s="308" t="n">
        <f aca="false">SUM(Depreciation!$D$48:Q48)</f>
        <v>34429.4352412445</v>
      </c>
      <c r="R19" s="308" t="n">
        <f aca="false">SUM(Depreciation!$D$48:R48)</f>
        <v>36701.3392832868</v>
      </c>
      <c r="S19" s="308" t="n">
        <f aca="false">SUM(Depreciation!$D$48:S48)</f>
        <v>38973.2433253291</v>
      </c>
      <c r="T19" s="308" t="n">
        <f aca="false">SUM(Depreciation!$D$48:T48)</f>
        <v>41245.1473673714</v>
      </c>
      <c r="U19" s="308" t="n">
        <f aca="false">SUM(Depreciation!$D$48:U48)</f>
        <v>43517.0514094137</v>
      </c>
      <c r="V19" s="308" t="n">
        <f aca="false">SUM(Depreciation!$D$48:V48)</f>
        <v>45788.955451456</v>
      </c>
      <c r="W19" s="308" t="n">
        <f aca="false">SUM(Depreciation!$D$48:W48)</f>
        <v>48060.8594934982</v>
      </c>
      <c r="X19" s="308" t="n">
        <f aca="false">SUM(Depreciation!$D$48:X48)</f>
        <v>50332.7635355405</v>
      </c>
      <c r="Y19" s="308" t="n">
        <f aca="false">SUM(Depreciation!$D$48:Y48)</f>
        <v>52604.6675775828</v>
      </c>
      <c r="Z19" s="308" t="n">
        <f aca="false">SUM(Depreciation!$D$48:Z48)</f>
        <v>54876.5716196251</v>
      </c>
      <c r="AA19" s="308" t="n">
        <f aca="false">SUM(Depreciation!$D$48:AA48)</f>
        <v>57148.4756616674</v>
      </c>
      <c r="AB19" s="308" t="n">
        <f aca="false">SUM(Depreciation!$D$48:AB48)</f>
        <v>59420.3797037096</v>
      </c>
      <c r="AC19" s="308" t="n">
        <f aca="false">SUM(Depreciation!$D$48:AC48)</f>
        <v>61692.2837457519</v>
      </c>
      <c r="AD19" s="308" t="n">
        <f aca="false">SUM(Depreciation!$D$48:AD48)</f>
        <v>63964.1877877942</v>
      </c>
      <c r="AE19" s="308" t="n">
        <f aca="false">SUM(Depreciation!$D$48:AE48)</f>
        <v>66236.0918298365</v>
      </c>
      <c r="AF19" s="308" t="n">
        <f aca="false">SUM(Depreciation!$D$48:AF48)</f>
        <v>68507.9958718788</v>
      </c>
      <c r="AG19" s="308" t="n">
        <f aca="false">SUM(Depreciation!$D$48:AG48)</f>
        <v>70779.8999139211</v>
      </c>
      <c r="AH19" s="308" t="n">
        <f aca="false">SUM(Depreciation!$D$48:AH48)</f>
        <v>71537.2012612685</v>
      </c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</row>
    <row r="20" customFormat="false" ht="12.75" hidden="false" customHeight="false" outlineLevel="0" collapsed="false">
      <c r="A20" s="183" t="s">
        <v>301</v>
      </c>
      <c r="B20" s="32"/>
      <c r="C20" s="303" t="n">
        <f aca="false">C18-C19</f>
        <v>79110.2147347428</v>
      </c>
      <c r="D20" s="183" t="n">
        <f aca="false">D18-D19</f>
        <v>77144.9347067146</v>
      </c>
      <c r="E20" s="183" t="n">
        <f aca="false">E18-E19</f>
        <v>74197.0146646723</v>
      </c>
      <c r="F20" s="183" t="n">
        <f aca="false">F18-F19</f>
        <v>71249.09462263</v>
      </c>
      <c r="G20" s="183" t="n">
        <f aca="false">G18-G19</f>
        <v>68301.1745805877</v>
      </c>
      <c r="H20" s="183" t="n">
        <f aca="false">H18-H19</f>
        <v>65353.2545385454</v>
      </c>
      <c r="I20" s="183" t="n">
        <f aca="false">I18-I19</f>
        <v>62856.0118298365</v>
      </c>
      <c r="J20" s="183" t="n">
        <f aca="false">J18-J19</f>
        <v>60584.1077877942</v>
      </c>
      <c r="K20" s="183" t="n">
        <f aca="false">K18-K19</f>
        <v>58312.2037457519</v>
      </c>
      <c r="L20" s="183" t="n">
        <f aca="false">L18-L19</f>
        <v>56040.2997037097</v>
      </c>
      <c r="M20" s="183" t="n">
        <f aca="false">M18-M19</f>
        <v>53768.3956616674</v>
      </c>
      <c r="N20" s="183" t="n">
        <f aca="false">N18-N19</f>
        <v>51496.4916196251</v>
      </c>
      <c r="O20" s="183" t="n">
        <f aca="false">O18-O19</f>
        <v>49224.5875775828</v>
      </c>
      <c r="P20" s="183" t="n">
        <f aca="false">P18-P19</f>
        <v>46952.6835355405</v>
      </c>
      <c r="Q20" s="183" t="n">
        <f aca="false">Q18-Q19</f>
        <v>44680.7794934982</v>
      </c>
      <c r="R20" s="183" t="n">
        <f aca="false">R18-R19</f>
        <v>42408.875451456</v>
      </c>
      <c r="S20" s="183" t="n">
        <f aca="false">S18-S19</f>
        <v>40136.9714094137</v>
      </c>
      <c r="T20" s="183" t="n">
        <f aca="false">T18-T19</f>
        <v>37865.0673673714</v>
      </c>
      <c r="U20" s="183" t="n">
        <f aca="false">U18-U19</f>
        <v>35593.1633253291</v>
      </c>
      <c r="V20" s="183" t="n">
        <f aca="false">V18-V19</f>
        <v>33321.2592832868</v>
      </c>
      <c r="W20" s="183" t="n">
        <f aca="false">W18-W19</f>
        <v>31049.3552412445</v>
      </c>
      <c r="X20" s="183" t="n">
        <f aca="false">X18-X19</f>
        <v>28777.4511992023</v>
      </c>
      <c r="Y20" s="183" t="n">
        <f aca="false">Y18-Y19</f>
        <v>26505.54715716</v>
      </c>
      <c r="Z20" s="183" t="n">
        <f aca="false">Z18-Z19</f>
        <v>24233.6431151177</v>
      </c>
      <c r="AA20" s="183" t="n">
        <f aca="false">AA18-AA19</f>
        <v>21961.7390730754</v>
      </c>
      <c r="AB20" s="183" t="n">
        <f aca="false">AB18-AB19</f>
        <v>19689.8350310331</v>
      </c>
      <c r="AC20" s="183" t="n">
        <f aca="false">AC18-AC19</f>
        <v>17417.9309889908</v>
      </c>
      <c r="AD20" s="183" t="n">
        <f aca="false">AD18-AD19</f>
        <v>15146.0269469486</v>
      </c>
      <c r="AE20" s="183" t="n">
        <f aca="false">AE18-AE19</f>
        <v>12874.1229049063</v>
      </c>
      <c r="AF20" s="183" t="n">
        <f aca="false">AF18-AF19</f>
        <v>10602.218862864</v>
      </c>
      <c r="AG20" s="183" t="n">
        <f aca="false">AG18-AG19</f>
        <v>8330.3148208217</v>
      </c>
      <c r="AH20" s="183" t="n">
        <f aca="false">AH18-AH19</f>
        <v>7573.01347347428</v>
      </c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</row>
    <row r="21" customFormat="false" ht="12.75" hidden="false" customHeight="false" outlineLevel="0" collapsed="false">
      <c r="A21" s="183"/>
      <c r="B21" s="32"/>
      <c r="C21" s="30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</row>
    <row r="22" customFormat="false" ht="12.75" hidden="false" customHeight="false" outlineLevel="0" collapsed="false">
      <c r="A22" s="183" t="s">
        <v>302</v>
      </c>
      <c r="B22" s="32"/>
      <c r="C22" s="303" t="n">
        <f aca="false">Assumptions!$C$47</f>
        <v>0</v>
      </c>
      <c r="D22" s="183" t="n">
        <f aca="false">Assumptions!$C$47</f>
        <v>0</v>
      </c>
      <c r="E22" s="183" t="n">
        <f aca="false">Assumptions!$C$47</f>
        <v>0</v>
      </c>
      <c r="F22" s="183" t="n">
        <f aca="false">Assumptions!$C$47</f>
        <v>0</v>
      </c>
      <c r="G22" s="183" t="n">
        <f aca="false">Assumptions!$C$47</f>
        <v>0</v>
      </c>
      <c r="H22" s="183" t="n">
        <f aca="false">Assumptions!$C$47</f>
        <v>0</v>
      </c>
      <c r="I22" s="183" t="n">
        <f aca="false">Assumptions!$C$47</f>
        <v>0</v>
      </c>
      <c r="J22" s="183" t="n">
        <f aca="false">Assumptions!$C$47</f>
        <v>0</v>
      </c>
      <c r="K22" s="183" t="n">
        <f aca="false">Assumptions!$C$47</f>
        <v>0</v>
      </c>
      <c r="L22" s="183" t="n">
        <f aca="false">Assumptions!$C$47</f>
        <v>0</v>
      </c>
      <c r="M22" s="183" t="n">
        <f aca="false">Assumptions!$C$47</f>
        <v>0</v>
      </c>
      <c r="N22" s="183" t="n">
        <f aca="false">Assumptions!$C$47</f>
        <v>0</v>
      </c>
      <c r="O22" s="183" t="n">
        <f aca="false">Assumptions!$C$47</f>
        <v>0</v>
      </c>
      <c r="P22" s="183" t="n">
        <f aca="false">Assumptions!$C$47</f>
        <v>0</v>
      </c>
      <c r="Q22" s="183" t="n">
        <f aca="false">Assumptions!$C$47</f>
        <v>0</v>
      </c>
      <c r="R22" s="183" t="n">
        <f aca="false">Assumptions!$C$47</f>
        <v>0</v>
      </c>
      <c r="S22" s="183" t="n">
        <f aca="false">Assumptions!$C$47</f>
        <v>0</v>
      </c>
      <c r="T22" s="183" t="n">
        <f aca="false">Assumptions!$C$47</f>
        <v>0</v>
      </c>
      <c r="U22" s="183" t="n">
        <f aca="false">Assumptions!$C$47</f>
        <v>0</v>
      </c>
      <c r="V22" s="183" t="n">
        <f aca="false">Assumptions!$C$47</f>
        <v>0</v>
      </c>
      <c r="W22" s="183" t="n">
        <f aca="false">Assumptions!$C$47</f>
        <v>0</v>
      </c>
      <c r="X22" s="183" t="n">
        <f aca="false">Assumptions!$C$47</f>
        <v>0</v>
      </c>
      <c r="Y22" s="183" t="n">
        <f aca="false">Assumptions!$C$47</f>
        <v>0</v>
      </c>
      <c r="Z22" s="183" t="n">
        <f aca="false">Assumptions!$C$47</f>
        <v>0</v>
      </c>
      <c r="AA22" s="183" t="n">
        <f aca="false">Assumptions!$C$47</f>
        <v>0</v>
      </c>
      <c r="AB22" s="183" t="n">
        <f aca="false">Assumptions!$C$47</f>
        <v>0</v>
      </c>
      <c r="AC22" s="183" t="n">
        <f aca="false">Assumptions!$C$47</f>
        <v>0</v>
      </c>
      <c r="AD22" s="183" t="n">
        <f aca="false">Assumptions!$C$47</f>
        <v>0</v>
      </c>
      <c r="AE22" s="183" t="n">
        <f aca="false">Assumptions!$C$47</f>
        <v>0</v>
      </c>
      <c r="AF22" s="183" t="n">
        <f aca="false">Assumptions!$C$47</f>
        <v>0</v>
      </c>
      <c r="AG22" s="183" t="n">
        <f aca="false">Assumptions!$C$47</f>
        <v>0</v>
      </c>
      <c r="AH22" s="183" t="n">
        <f aca="false">Assumptions!$C$47</f>
        <v>0</v>
      </c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</row>
    <row r="23" customFormat="false" ht="12.75" hidden="false" customHeight="false" outlineLevel="0" collapsed="false">
      <c r="A23" s="183" t="s">
        <v>303</v>
      </c>
      <c r="B23" s="32"/>
      <c r="C23" s="307" t="n">
        <v>0</v>
      </c>
      <c r="D23" s="308" t="n">
        <v>0</v>
      </c>
      <c r="E23" s="308" t="n">
        <v>0</v>
      </c>
      <c r="F23" s="308" t="n">
        <v>0</v>
      </c>
      <c r="G23" s="308" t="n">
        <v>0</v>
      </c>
      <c r="H23" s="308" t="n">
        <v>0</v>
      </c>
      <c r="I23" s="308" t="n">
        <v>0</v>
      </c>
      <c r="J23" s="308" t="n">
        <v>0</v>
      </c>
      <c r="K23" s="308" t="n">
        <v>0</v>
      </c>
      <c r="L23" s="308" t="n">
        <v>0</v>
      </c>
      <c r="M23" s="308" t="n">
        <v>0</v>
      </c>
      <c r="N23" s="308" t="n">
        <v>0</v>
      </c>
      <c r="O23" s="308" t="n">
        <v>0</v>
      </c>
      <c r="P23" s="308" t="n">
        <v>0</v>
      </c>
      <c r="Q23" s="308" t="n">
        <v>0</v>
      </c>
      <c r="R23" s="308" t="n">
        <v>0</v>
      </c>
      <c r="S23" s="308" t="n">
        <v>0</v>
      </c>
      <c r="T23" s="308" t="n">
        <v>0</v>
      </c>
      <c r="U23" s="308" t="n">
        <v>0</v>
      </c>
      <c r="V23" s="308" t="n">
        <v>0</v>
      </c>
      <c r="W23" s="308" t="n">
        <v>0</v>
      </c>
      <c r="X23" s="308" t="n">
        <v>0</v>
      </c>
      <c r="Y23" s="308" t="n">
        <v>0</v>
      </c>
      <c r="Z23" s="308" t="n">
        <v>0</v>
      </c>
      <c r="AA23" s="308" t="n">
        <v>0</v>
      </c>
      <c r="AB23" s="308" t="n">
        <v>0</v>
      </c>
      <c r="AC23" s="308" t="n">
        <v>0</v>
      </c>
      <c r="AD23" s="308" t="n">
        <v>0</v>
      </c>
      <c r="AE23" s="308" t="n">
        <v>0</v>
      </c>
      <c r="AF23" s="308" t="n">
        <v>0</v>
      </c>
      <c r="AG23" s="308" t="n">
        <v>0</v>
      </c>
      <c r="AH23" s="308" t="n">
        <v>0</v>
      </c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</row>
    <row r="24" customFormat="false" ht="12.75" hidden="false" customHeight="false" outlineLevel="0" collapsed="false">
      <c r="A24" s="32"/>
      <c r="B24" s="32"/>
      <c r="C24" s="303"/>
      <c r="D24" s="183"/>
      <c r="E24" s="183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</row>
    <row r="25" customFormat="false" ht="12.75" hidden="false" customHeight="false" outlineLevel="0" collapsed="false">
      <c r="A25" s="309" t="s">
        <v>304</v>
      </c>
      <c r="B25" s="32"/>
      <c r="C25" s="303" t="n">
        <f aca="false">SUM(C16,C20,C22,C23)</f>
        <v>79110.2147347428</v>
      </c>
      <c r="D25" s="183" t="n">
        <f aca="false">SUM(D16,D20,D22,D23)</f>
        <v>77144.9347067146</v>
      </c>
      <c r="E25" s="183" t="n">
        <f aca="false">SUM(E16,E20,E22,E23)</f>
        <v>74197.0146646723</v>
      </c>
      <c r="F25" s="183" t="n">
        <f aca="false">SUM(F16,F20,F22,F23)</f>
        <v>71249.09462263</v>
      </c>
      <c r="G25" s="183" t="n">
        <f aca="false">SUM(G16,G20,G22,G23)</f>
        <v>68301.1745805877</v>
      </c>
      <c r="H25" s="183" t="n">
        <f aca="false">SUM(H16,H20,H22,H23)</f>
        <v>65353.2545385454</v>
      </c>
      <c r="I25" s="183" t="n">
        <f aca="false">SUM(I16,I20,I22,I23)</f>
        <v>62856.0118298365</v>
      </c>
      <c r="J25" s="183" t="n">
        <f aca="false">SUM(J16,J20,J22,J23)</f>
        <v>60584.1077877942</v>
      </c>
      <c r="K25" s="183" t="n">
        <f aca="false">SUM(K16,K20,K22,K23)</f>
        <v>58312.2037457519</v>
      </c>
      <c r="L25" s="183" t="n">
        <f aca="false">SUM(L16,L20,L22,L23)</f>
        <v>56040.2997037097</v>
      </c>
      <c r="M25" s="183" t="n">
        <f aca="false">SUM(M16,M20,M22,M23)</f>
        <v>53768.3956616674</v>
      </c>
      <c r="N25" s="183" t="n">
        <f aca="false">SUM(N16,N20,N22,N23)</f>
        <v>51496.4916196251</v>
      </c>
      <c r="O25" s="183" t="n">
        <f aca="false">SUM(O16,O20,O22,O23)</f>
        <v>49224.5875775828</v>
      </c>
      <c r="P25" s="183" t="n">
        <f aca="false">SUM(P16,P20,P22,P23)</f>
        <v>46952.6835355405</v>
      </c>
      <c r="Q25" s="183" t="n">
        <f aca="false">SUM(Q16,Q20,Q22,Q23)</f>
        <v>44680.7794934982</v>
      </c>
      <c r="R25" s="183" t="n">
        <f aca="false">SUM(R16,R20,R22,R23)</f>
        <v>42408.875451456</v>
      </c>
      <c r="S25" s="183" t="n">
        <f aca="false">SUM(S16,S20,S22,S23)</f>
        <v>40136.9714094137</v>
      </c>
      <c r="T25" s="183" t="n">
        <f aca="false">SUM(T16,T20,T22,T23)</f>
        <v>37865.0673673714</v>
      </c>
      <c r="U25" s="183" t="n">
        <f aca="false">SUM(U16,U20,U22,U23)</f>
        <v>35593.1633253291</v>
      </c>
      <c r="V25" s="183" t="n">
        <f aca="false">SUM(V16,V20,V22,V23)</f>
        <v>33321.2592832868</v>
      </c>
      <c r="W25" s="183" t="n">
        <f aca="false">SUM(W16,W20,W22,W23)</f>
        <v>31049.3552412445</v>
      </c>
      <c r="X25" s="183" t="n">
        <f aca="false">SUM(X16,X20,X22,X23)</f>
        <v>28777.4511992023</v>
      </c>
      <c r="Y25" s="183" t="n">
        <f aca="false">SUM(Y16,Y20,Y22,Y23)</f>
        <v>26505.54715716</v>
      </c>
      <c r="Z25" s="183" t="n">
        <f aca="false">SUM(Z16,Z20,Z22,Z23)</f>
        <v>24233.6431151177</v>
      </c>
      <c r="AA25" s="183" t="n">
        <f aca="false">SUM(AA16,AA20,AA22,AA23)</f>
        <v>21961.7390730754</v>
      </c>
      <c r="AB25" s="183" t="n">
        <f aca="false">SUM(AB16,AB20,AB22,AB23)</f>
        <v>19689.8350310331</v>
      </c>
      <c r="AC25" s="183" t="n">
        <f aca="false">SUM(AC16,AC20,AC22,AC23)</f>
        <v>17417.9309889908</v>
      </c>
      <c r="AD25" s="183" t="n">
        <f aca="false">SUM(AD16,AD20,AD22,AD23)</f>
        <v>15146.0269469486</v>
      </c>
      <c r="AE25" s="183" t="n">
        <f aca="false">SUM(AE16,AE20,AE22,AE23)</f>
        <v>12874.1229049063</v>
      </c>
      <c r="AF25" s="183" t="n">
        <f aca="false">SUM(AF16,AF20,AF22,AF23)</f>
        <v>10602.218862864</v>
      </c>
      <c r="AG25" s="183" t="n">
        <f aca="false">SUM(AG16,AG20,AG22,AG23)</f>
        <v>8330.3148208217</v>
      </c>
      <c r="AH25" s="183" t="n">
        <f aca="false">SUM(AH16,AH20,AH22,AH23)</f>
        <v>7573.01347347428</v>
      </c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</row>
    <row r="26" customFormat="false" ht="12.75" hidden="false" customHeight="false" outlineLevel="0" collapsed="false">
      <c r="A26" s="32"/>
      <c r="B26" s="32"/>
      <c r="C26" s="303"/>
      <c r="D26" s="183"/>
      <c r="E26" s="183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</row>
    <row r="27" customFormat="false" ht="12.75" hidden="false" customHeight="false" outlineLevel="0" collapsed="false">
      <c r="A27" s="32"/>
      <c r="B27" s="32"/>
      <c r="C27" s="303"/>
      <c r="D27" s="183"/>
      <c r="E27" s="183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</row>
    <row r="28" customFormat="false" ht="12.75" hidden="false" customHeight="false" outlineLevel="0" collapsed="false">
      <c r="A28" s="309" t="s">
        <v>305</v>
      </c>
      <c r="B28" s="32"/>
      <c r="C28" s="303"/>
      <c r="D28" s="183"/>
      <c r="E28" s="183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</row>
    <row r="29" customFormat="false" ht="12.75" hidden="false" customHeight="false" outlineLevel="0" collapsed="false">
      <c r="A29" s="309"/>
      <c r="B29" s="32"/>
      <c r="C29" s="303"/>
      <c r="D29" s="183"/>
      <c r="E29" s="183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</row>
    <row r="30" customFormat="false" ht="12.75" hidden="false" customHeight="false" outlineLevel="0" collapsed="false">
      <c r="A30" s="183" t="s">
        <v>306</v>
      </c>
      <c r="C30" s="303" t="n">
        <v>0</v>
      </c>
      <c r="D30" s="183" t="n">
        <v>0</v>
      </c>
      <c r="E30" s="183" t="n">
        <v>0</v>
      </c>
      <c r="F30" s="183" t="n">
        <v>0</v>
      </c>
      <c r="G30" s="183" t="n">
        <v>0</v>
      </c>
      <c r="H30" s="183" t="n">
        <v>0</v>
      </c>
      <c r="I30" s="183" t="n">
        <v>0</v>
      </c>
      <c r="J30" s="183" t="n">
        <v>0</v>
      </c>
      <c r="K30" s="183" t="n">
        <v>0</v>
      </c>
      <c r="L30" s="183" t="n">
        <v>0</v>
      </c>
      <c r="M30" s="183" t="n">
        <v>0</v>
      </c>
      <c r="N30" s="183" t="n">
        <v>0</v>
      </c>
      <c r="O30" s="183" t="n">
        <v>0</v>
      </c>
      <c r="P30" s="183" t="n">
        <v>0</v>
      </c>
      <c r="Q30" s="183" t="n">
        <v>0</v>
      </c>
      <c r="R30" s="183" t="n">
        <v>0</v>
      </c>
      <c r="S30" s="183" t="n">
        <v>0</v>
      </c>
      <c r="T30" s="183" t="n">
        <v>0</v>
      </c>
      <c r="U30" s="183" t="n">
        <v>0</v>
      </c>
      <c r="V30" s="183" t="n">
        <v>0</v>
      </c>
      <c r="W30" s="183" t="n">
        <v>0</v>
      </c>
      <c r="X30" s="183" t="n">
        <v>0</v>
      </c>
      <c r="Y30" s="183" t="n">
        <v>0</v>
      </c>
      <c r="Z30" s="183" t="n">
        <v>0</v>
      </c>
      <c r="AA30" s="183" t="n">
        <v>0</v>
      </c>
      <c r="AB30" s="183" t="n">
        <v>0</v>
      </c>
      <c r="AC30" s="183" t="n">
        <v>0</v>
      </c>
      <c r="AD30" s="183" t="n">
        <v>0</v>
      </c>
      <c r="AE30" s="183" t="n">
        <v>0</v>
      </c>
      <c r="AF30" s="183" t="n">
        <v>0</v>
      </c>
      <c r="AG30" s="183" t="n">
        <v>0</v>
      </c>
      <c r="AH30" s="183" t="n">
        <v>0</v>
      </c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</row>
    <row r="31" customFormat="false" ht="12.75" hidden="false" customHeight="false" outlineLevel="0" collapsed="false">
      <c r="A31" s="183" t="s">
        <v>307</v>
      </c>
      <c r="C31" s="303" t="n">
        <v>0</v>
      </c>
      <c r="D31" s="183" t="n">
        <v>0</v>
      </c>
      <c r="E31" s="183" t="n">
        <v>0</v>
      </c>
      <c r="F31" s="183" t="n">
        <v>0</v>
      </c>
      <c r="G31" s="183" t="n">
        <v>0</v>
      </c>
      <c r="H31" s="183" t="n">
        <v>0</v>
      </c>
      <c r="I31" s="183" t="n">
        <v>0</v>
      </c>
      <c r="J31" s="183" t="n">
        <v>0</v>
      </c>
      <c r="K31" s="183" t="n">
        <v>0</v>
      </c>
      <c r="L31" s="183" t="n">
        <v>0</v>
      </c>
      <c r="M31" s="183" t="n">
        <v>0</v>
      </c>
      <c r="N31" s="183" t="n">
        <v>0</v>
      </c>
      <c r="O31" s="183" t="n">
        <v>0</v>
      </c>
      <c r="P31" s="183" t="n">
        <v>0</v>
      </c>
      <c r="Q31" s="183" t="n">
        <v>0</v>
      </c>
      <c r="R31" s="183" t="n">
        <v>0</v>
      </c>
      <c r="S31" s="183" t="n">
        <v>0</v>
      </c>
      <c r="T31" s="183" t="n">
        <v>0</v>
      </c>
      <c r="U31" s="183" t="n">
        <v>0</v>
      </c>
      <c r="V31" s="183" t="n">
        <v>0</v>
      </c>
      <c r="W31" s="183" t="n">
        <v>0</v>
      </c>
      <c r="X31" s="183" t="n">
        <v>0</v>
      </c>
      <c r="Y31" s="183" t="n">
        <v>0</v>
      </c>
      <c r="Z31" s="183" t="n">
        <v>0</v>
      </c>
      <c r="AA31" s="183" t="n">
        <v>0</v>
      </c>
      <c r="AB31" s="183" t="n">
        <v>0</v>
      </c>
      <c r="AC31" s="183" t="n">
        <v>0</v>
      </c>
      <c r="AD31" s="183" t="n">
        <v>0</v>
      </c>
      <c r="AE31" s="183" t="n">
        <v>0</v>
      </c>
      <c r="AF31" s="183" t="n">
        <v>0</v>
      </c>
      <c r="AG31" s="183" t="n">
        <v>0</v>
      </c>
      <c r="AH31" s="183" t="n">
        <v>0</v>
      </c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</row>
    <row r="32" customFormat="false" ht="12.75" hidden="false" customHeight="false" outlineLevel="0" collapsed="false">
      <c r="A32" s="183" t="s">
        <v>308</v>
      </c>
      <c r="C32" s="303" t="n">
        <v>0</v>
      </c>
      <c r="D32" s="183" t="n">
        <f aca="false">C32+(CF!C19+CF!C20)+(IS!C43+IS!C44)</f>
        <v>-1201.14565192964</v>
      </c>
      <c r="E32" s="183" t="n">
        <f aca="false">D32+(CF!D19+CF!D20)+(IS!D43+IS!D44)</f>
        <v>-2772.29743328924</v>
      </c>
      <c r="F32" s="183" t="n">
        <f aca="false">E32+(CF!E19+CF!E20)+(IS!E43+IS!E44)</f>
        <v>-4339.6424480904</v>
      </c>
      <c r="G32" s="183" t="n">
        <f aca="false">F32+(CF!F19+CF!F20)+(IS!F43+IS!F44)</f>
        <v>-6424.02887907942</v>
      </c>
      <c r="H32" s="183" t="n">
        <f aca="false">G32+(CF!G19+CF!G20)+(IS!G43+IS!G44)</f>
        <v>-9591.41415256543</v>
      </c>
      <c r="I32" s="183" t="n">
        <f aca="false">H32+(CF!H19+CF!H20)+(IS!H43+IS!H44)</f>
        <v>-13407.4908236361</v>
      </c>
      <c r="J32" s="183" t="n">
        <f aca="false">I32+(CF!I19+CF!I20)+(IS!I43+IS!I44)</f>
        <v>-17581.2248942496</v>
      </c>
      <c r="K32" s="183" t="n">
        <f aca="false">J32+(CF!J19+CF!J20)+(IS!J43+IS!J44)</f>
        <v>-21830.8519576874</v>
      </c>
      <c r="L32" s="183" t="n">
        <f aca="false">K32+(CF!K19+CF!K20)+(IS!K43+IS!K44)</f>
        <v>-26300.886764382</v>
      </c>
      <c r="M32" s="183" t="n">
        <f aca="false">L32+(CF!L19+CF!L20)+(IS!L43+IS!L44)</f>
        <v>-30847.1338031647</v>
      </c>
      <c r="N32" s="183" t="n">
        <f aca="false">M32+(CF!M19+CF!M20)+(IS!M43+IS!M44)</f>
        <v>-35622.4176230498</v>
      </c>
      <c r="O32" s="183" t="n">
        <f aca="false">N32+(CF!N19+CF!N20)+(IS!N43+IS!N44)</f>
        <v>-40473.9958791167</v>
      </c>
      <c r="P32" s="183" t="n">
        <f aca="false">O32+(CF!O19+CF!O20)+(IS!O43+IS!O44)</f>
        <v>-45563.5012913899</v>
      </c>
      <c r="Q32" s="183" t="n">
        <f aca="false">P32+(CF!P19+CF!P20)+(IS!P43+IS!P44)</f>
        <v>-50729.1162538867</v>
      </c>
      <c r="R32" s="183" t="n">
        <f aca="false">Q32+(CF!Q19+CF!Q20)+(IS!Q43+IS!Q44)</f>
        <v>-55974.187163894</v>
      </c>
      <c r="S32" s="183" t="n">
        <f aca="false">R32+(CF!R19+CF!R20)+(IS!R43+IS!R44)</f>
        <v>-62176.4116705257</v>
      </c>
      <c r="T32" s="183" t="n">
        <f aca="false">S32+(CF!S19+CF!S20)+(IS!S43+IS!S44)</f>
        <v>-69375.1721336487</v>
      </c>
      <c r="U32" s="183" t="n">
        <f aca="false">T32+(CF!T19+CF!T20)+(IS!T43+IS!T44)</f>
        <v>-76662.3064926564</v>
      </c>
      <c r="V32" s="183" t="n">
        <f aca="false">U32+(CF!U19+CF!U20)+(IS!U43+IS!U44)</f>
        <v>-84012.9543983863</v>
      </c>
      <c r="W32" s="183" t="n">
        <f aca="false">V32+(CF!V19+CF!V20)+(IS!V43+IS!V44)</f>
        <v>-91423.2266501279</v>
      </c>
      <c r="X32" s="183" t="n">
        <f aca="false">W32+(CF!W19+CF!W20)+(IS!W43+IS!W44)</f>
        <v>-98888.9475763572</v>
      </c>
      <c r="Y32" s="183" t="n">
        <f aca="false">X32+(CF!X19+CF!X20)+(IS!X43+IS!X44)</f>
        <v>-106405.641346769</v>
      </c>
      <c r="Z32" s="183" t="n">
        <f aca="false">Y32+(CF!Y19+CF!Y20)+(IS!Y43+IS!Y44)</f>
        <v>-113972.600787538</v>
      </c>
      <c r="AA32" s="183" t="n">
        <f aca="false">Z32+(CF!Z19+CF!Z20)+(IS!Z43+IS!Z44)</f>
        <v>-121589.097509629</v>
      </c>
      <c r="AB32" s="183" t="n">
        <f aca="false">AA32+(CF!AA19+CF!AA20)+(IS!AA43+IS!AA44)</f>
        <v>-129254.381272331</v>
      </c>
      <c r="AC32" s="183" t="n">
        <f aca="false">AB32+(CF!AB19+CF!AB20)+(IS!AB43+IS!AB44)</f>
        <v>-136967.679327714</v>
      </c>
      <c r="AD32" s="183" t="n">
        <f aca="false">AC32+(CF!AC19+CF!AC20)+(IS!AC43+IS!AC44)</f>
        <v>-144728.195745409</v>
      </c>
      <c r="AE32" s="183" t="n">
        <f aca="false">AD32+(CF!AD19+CF!AD20)+(IS!AD43+IS!AD44)</f>
        <v>-152535.110717137</v>
      </c>
      <c r="AF32" s="183" t="n">
        <f aca="false">AE32+(CF!AE19+CF!AE20)+(IS!AE43+IS!AE44)</f>
        <v>-160387.57984037</v>
      </c>
      <c r="AG32" s="183" t="n">
        <f aca="false">AF32+(CF!AF19+CF!AF20)+(IS!AF43+IS!AF44)</f>
        <v>-168284.733380505</v>
      </c>
      <c r="AH32" s="183" t="n">
        <f aca="false">AG32+(CF!AG19+CF!AG20)+(IS!AG43+IS!AG44)</f>
        <v>-170216.744933537</v>
      </c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</row>
    <row r="33" customFormat="false" ht="12.75" hidden="false" customHeight="false" outlineLevel="0" collapsed="false">
      <c r="A33" s="183" t="s">
        <v>309</v>
      </c>
      <c r="C33" s="303" t="n">
        <v>0</v>
      </c>
      <c r="D33" s="183" t="n">
        <f aca="false">Assumptions!$C$47</f>
        <v>0</v>
      </c>
      <c r="E33" s="183" t="n">
        <f aca="false">Assumptions!$C$47</f>
        <v>0</v>
      </c>
      <c r="F33" s="183" t="n">
        <f aca="false">Assumptions!$C$47</f>
        <v>0</v>
      </c>
      <c r="G33" s="183" t="n">
        <f aca="false">Assumptions!$C$47</f>
        <v>0</v>
      </c>
      <c r="H33" s="183" t="n">
        <f aca="false">Assumptions!$C$47</f>
        <v>0</v>
      </c>
      <c r="I33" s="183" t="n">
        <f aca="false">Assumptions!$C$47</f>
        <v>0</v>
      </c>
      <c r="J33" s="183" t="n">
        <f aca="false">Assumptions!$C$47</f>
        <v>0</v>
      </c>
      <c r="K33" s="183" t="n">
        <f aca="false">Assumptions!$C$47</f>
        <v>0</v>
      </c>
      <c r="L33" s="183" t="n">
        <f aca="false">Assumptions!$C$47</f>
        <v>0</v>
      </c>
      <c r="M33" s="183" t="n">
        <f aca="false">Assumptions!$C$47</f>
        <v>0</v>
      </c>
      <c r="N33" s="183" t="n">
        <f aca="false">Assumptions!$C$47</f>
        <v>0</v>
      </c>
      <c r="O33" s="183" t="n">
        <f aca="false">Assumptions!$C$47</f>
        <v>0</v>
      </c>
      <c r="P33" s="183" t="n">
        <f aca="false">Assumptions!$C$47</f>
        <v>0</v>
      </c>
      <c r="Q33" s="183" t="n">
        <f aca="false">Assumptions!$C$47</f>
        <v>0</v>
      </c>
      <c r="R33" s="183" t="n">
        <f aca="false">Assumptions!$C$47</f>
        <v>0</v>
      </c>
      <c r="S33" s="183" t="n">
        <f aca="false">Assumptions!$C$47</f>
        <v>0</v>
      </c>
      <c r="T33" s="183" t="n">
        <f aca="false">Assumptions!$C$47</f>
        <v>0</v>
      </c>
      <c r="U33" s="183" t="n">
        <f aca="false">Assumptions!$C$47</f>
        <v>0</v>
      </c>
      <c r="V33" s="183" t="n">
        <f aca="false">Assumptions!$C$47</f>
        <v>0</v>
      </c>
      <c r="W33" s="183" t="n">
        <f aca="false">Assumptions!$C$47</f>
        <v>0</v>
      </c>
      <c r="X33" s="183" t="n">
        <f aca="false">Assumptions!$C$47</f>
        <v>0</v>
      </c>
      <c r="Y33" s="183" t="n">
        <f aca="false">Assumptions!$C$47</f>
        <v>0</v>
      </c>
      <c r="Z33" s="183" t="n">
        <f aca="false">Assumptions!$C$47</f>
        <v>0</v>
      </c>
      <c r="AA33" s="183" t="n">
        <f aca="false">Assumptions!$C$47</f>
        <v>0</v>
      </c>
      <c r="AB33" s="183" t="n">
        <f aca="false">Assumptions!$C$47</f>
        <v>0</v>
      </c>
      <c r="AC33" s="183" t="n">
        <f aca="false">Assumptions!$C$47</f>
        <v>0</v>
      </c>
      <c r="AD33" s="183" t="n">
        <f aca="false">Assumptions!$C$47</f>
        <v>0</v>
      </c>
      <c r="AE33" s="183" t="n">
        <f aca="false">Assumptions!$C$47</f>
        <v>0</v>
      </c>
      <c r="AF33" s="183" t="n">
        <f aca="false">Assumptions!$C$47</f>
        <v>0</v>
      </c>
      <c r="AG33" s="183" t="n">
        <f aca="false">Assumptions!$C$47</f>
        <v>0</v>
      </c>
      <c r="AH33" s="183" t="n">
        <f aca="false">Assumptions!$C$47</f>
        <v>0</v>
      </c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</row>
    <row r="34" customFormat="false" ht="12.75" hidden="false" customHeight="false" outlineLevel="0" collapsed="false">
      <c r="A34" s="183" t="s">
        <v>310</v>
      </c>
      <c r="C34" s="303" t="n">
        <f aca="false">Assumptions!C12</f>
        <v>61666.6025948104</v>
      </c>
      <c r="D34" s="183" t="e">
        <f aca="false">#REF!+#REF!+#REF!</f>
        <v>#REF!</v>
      </c>
      <c r="E34" s="183" t="e">
        <f aca="false">#REF!+#REF!+#REF!</f>
        <v>#REF!</v>
      </c>
      <c r="F34" s="183" t="e">
        <f aca="false">#REF!+#REF!+#REF!</f>
        <v>#REF!</v>
      </c>
      <c r="G34" s="183" t="e">
        <f aca="false">#REF!+#REF!+#REF!</f>
        <v>#REF!</v>
      </c>
      <c r="H34" s="183" t="e">
        <f aca="false">#REF!+#REF!+#REF!</f>
        <v>#REF!</v>
      </c>
      <c r="I34" s="183" t="e">
        <f aca="false">#REF!+#REF!+#REF!</f>
        <v>#REF!</v>
      </c>
      <c r="J34" s="183" t="e">
        <f aca="false">#REF!+#REF!+#REF!</f>
        <v>#REF!</v>
      </c>
      <c r="K34" s="183" t="e">
        <f aca="false">#REF!+#REF!+#REF!</f>
        <v>#REF!</v>
      </c>
      <c r="L34" s="183" t="e">
        <f aca="false">#REF!+#REF!+#REF!</f>
        <v>#REF!</v>
      </c>
      <c r="M34" s="183" t="e">
        <f aca="false">#REF!+#REF!+#REF!</f>
        <v>#REF!</v>
      </c>
      <c r="N34" s="183" t="e">
        <f aca="false">#REF!+#REF!+#REF!</f>
        <v>#REF!</v>
      </c>
      <c r="O34" s="183" t="e">
        <f aca="false">#REF!+#REF!+#REF!</f>
        <v>#REF!</v>
      </c>
      <c r="P34" s="183" t="e">
        <f aca="false">#REF!+#REF!+#REF!</f>
        <v>#REF!</v>
      </c>
      <c r="Q34" s="183" t="e">
        <f aca="false">#REF!+#REF!+#REF!</f>
        <v>#REF!</v>
      </c>
      <c r="R34" s="183" t="e">
        <f aca="false">#REF!+#REF!+#REF!</f>
        <v>#REF!</v>
      </c>
      <c r="S34" s="183" t="e">
        <f aca="false">#REF!+#REF!+#REF!</f>
        <v>#REF!</v>
      </c>
      <c r="T34" s="183" t="e">
        <f aca="false">#REF!+#REF!+#REF!</f>
        <v>#REF!</v>
      </c>
      <c r="U34" s="183" t="e">
        <f aca="false">#REF!+#REF!+#REF!</f>
        <v>#REF!</v>
      </c>
      <c r="V34" s="183" t="e">
        <f aca="false">#REF!+#REF!+#REF!</f>
        <v>#REF!</v>
      </c>
      <c r="W34" s="183" t="e">
        <f aca="false">#REF!+#REF!+#REF!</f>
        <v>#REF!</v>
      </c>
      <c r="X34" s="183" t="e">
        <f aca="false">#REF!+#REF!+#REF!</f>
        <v>#REF!</v>
      </c>
      <c r="Y34" s="183" t="e">
        <f aca="false">#REF!+#REF!+#REF!</f>
        <v>#REF!</v>
      </c>
      <c r="Z34" s="183" t="e">
        <f aca="false">#REF!+#REF!+#REF!</f>
        <v>#REF!</v>
      </c>
      <c r="AA34" s="183" t="e">
        <f aca="false">#REF!+#REF!+#REF!</f>
        <v>#REF!</v>
      </c>
      <c r="AB34" s="183" t="e">
        <f aca="false">#REF!+#REF!+#REF!</f>
        <v>#REF!</v>
      </c>
      <c r="AC34" s="183" t="e">
        <f aca="false">#REF!+#REF!+#REF!</f>
        <v>#REF!</v>
      </c>
      <c r="AD34" s="183" t="e">
        <f aca="false">#REF!+#REF!+#REF!</f>
        <v>#REF!</v>
      </c>
      <c r="AE34" s="183" t="e">
        <f aca="false">#REF!+#REF!+#REF!</f>
        <v>#REF!</v>
      </c>
      <c r="AF34" s="183" t="e">
        <f aca="false">#REF!+#REF!+#REF!</f>
        <v>#REF!</v>
      </c>
      <c r="AG34" s="183" t="e">
        <f aca="false">#REF!+#REF!+#REF!</f>
        <v>#REF!</v>
      </c>
      <c r="AH34" s="183" t="e">
        <f aca="false">#REF!+#REF!+#REF!</f>
        <v>#REF!</v>
      </c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</row>
    <row r="35" customFormat="false" ht="12.75" hidden="false" customHeight="false" outlineLevel="0" collapsed="false">
      <c r="A35" s="183" t="s">
        <v>311</v>
      </c>
      <c r="C35" s="307" t="n">
        <v>0</v>
      </c>
      <c r="D35" s="308" t="n">
        <v>0</v>
      </c>
      <c r="E35" s="308" t="n">
        <v>0</v>
      </c>
      <c r="F35" s="310" t="n">
        <v>0</v>
      </c>
      <c r="G35" s="310" t="n">
        <v>0</v>
      </c>
      <c r="H35" s="310" t="n">
        <v>0</v>
      </c>
      <c r="I35" s="310" t="n">
        <v>0</v>
      </c>
      <c r="J35" s="310" t="n">
        <v>0</v>
      </c>
      <c r="K35" s="310" t="n">
        <v>0</v>
      </c>
      <c r="L35" s="310" t="n">
        <v>0</v>
      </c>
      <c r="M35" s="310" t="n">
        <v>0</v>
      </c>
      <c r="N35" s="310" t="n">
        <v>0</v>
      </c>
      <c r="O35" s="310" t="n">
        <v>0</v>
      </c>
      <c r="P35" s="310" t="n">
        <v>0</v>
      </c>
      <c r="Q35" s="310" t="n">
        <v>0</v>
      </c>
      <c r="R35" s="310" t="n">
        <v>0</v>
      </c>
      <c r="S35" s="310" t="n">
        <v>0</v>
      </c>
      <c r="T35" s="310" t="n">
        <v>0</v>
      </c>
      <c r="U35" s="310" t="n">
        <v>0</v>
      </c>
      <c r="V35" s="310" t="n">
        <v>0</v>
      </c>
      <c r="W35" s="310" t="n">
        <v>0</v>
      </c>
      <c r="X35" s="310" t="n">
        <v>0</v>
      </c>
      <c r="Y35" s="310" t="n">
        <v>0</v>
      </c>
      <c r="Z35" s="310" t="n">
        <v>0</v>
      </c>
      <c r="AA35" s="310" t="n">
        <v>0</v>
      </c>
      <c r="AB35" s="310" t="n">
        <v>0</v>
      </c>
      <c r="AC35" s="310" t="n">
        <v>0</v>
      </c>
      <c r="AD35" s="310" t="n">
        <v>0</v>
      </c>
      <c r="AE35" s="310" t="n">
        <v>0</v>
      </c>
      <c r="AF35" s="310" t="n">
        <v>0</v>
      </c>
      <c r="AG35" s="310" t="n">
        <v>0</v>
      </c>
      <c r="AH35" s="310" t="n">
        <v>0</v>
      </c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</row>
    <row r="36" customFormat="false" ht="12.75" hidden="false" customHeight="false" outlineLevel="0" collapsed="false">
      <c r="A36" s="183"/>
      <c r="C36" s="303"/>
      <c r="D36" s="183"/>
      <c r="E36" s="183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</row>
    <row r="37" customFormat="false" ht="12.75" hidden="false" customHeight="false" outlineLevel="0" collapsed="false">
      <c r="A37" s="309" t="s">
        <v>312</v>
      </c>
      <c r="B37" s="32"/>
      <c r="C37" s="303" t="n">
        <f aca="false">SUM(C30:C35)</f>
        <v>61666.6025948104</v>
      </c>
      <c r="D37" s="183" t="e">
        <f aca="false">SUM(D30:D35)</f>
        <v>#REF!</v>
      </c>
      <c r="E37" s="183" t="e">
        <f aca="false">SUM(E30:E35)</f>
        <v>#REF!</v>
      </c>
      <c r="F37" s="183" t="e">
        <f aca="false">SUM(F30:F35)</f>
        <v>#REF!</v>
      </c>
      <c r="G37" s="183" t="e">
        <f aca="false">SUM(G30:G35)</f>
        <v>#REF!</v>
      </c>
      <c r="H37" s="183" t="e">
        <f aca="false">SUM(H30:H35)</f>
        <v>#REF!</v>
      </c>
      <c r="I37" s="183" t="e">
        <f aca="false">SUM(I30:I35)</f>
        <v>#REF!</v>
      </c>
      <c r="J37" s="183" t="e">
        <f aca="false">SUM(J30:J35)</f>
        <v>#REF!</v>
      </c>
      <c r="K37" s="183" t="e">
        <f aca="false">SUM(K30:K35)</f>
        <v>#REF!</v>
      </c>
      <c r="L37" s="183" t="e">
        <f aca="false">SUM(L30:L35)</f>
        <v>#REF!</v>
      </c>
      <c r="M37" s="183" t="e">
        <f aca="false">SUM(M30:M35)</f>
        <v>#REF!</v>
      </c>
      <c r="N37" s="183" t="e">
        <f aca="false">SUM(N30:N35)</f>
        <v>#REF!</v>
      </c>
      <c r="O37" s="183" t="e">
        <f aca="false">SUM(O30:O35)</f>
        <v>#REF!</v>
      </c>
      <c r="P37" s="183" t="e">
        <f aca="false">SUM(P30:P35)</f>
        <v>#REF!</v>
      </c>
      <c r="Q37" s="183" t="e">
        <f aca="false">SUM(Q30:Q35)</f>
        <v>#REF!</v>
      </c>
      <c r="R37" s="183" t="e">
        <f aca="false">SUM(R30:R35)</f>
        <v>#REF!</v>
      </c>
      <c r="S37" s="183" t="e">
        <f aca="false">SUM(S30:S35)</f>
        <v>#REF!</v>
      </c>
      <c r="T37" s="183" t="e">
        <f aca="false">SUM(T30:T35)</f>
        <v>#REF!</v>
      </c>
      <c r="U37" s="183" t="e">
        <f aca="false">SUM(U30:U35)</f>
        <v>#REF!</v>
      </c>
      <c r="V37" s="183" t="e">
        <f aca="false">SUM(V30:V35)</f>
        <v>#REF!</v>
      </c>
      <c r="W37" s="183" t="e">
        <f aca="false">SUM(W30:W35)</f>
        <v>#REF!</v>
      </c>
      <c r="X37" s="183" t="e">
        <f aca="false">SUM(X30:X35)</f>
        <v>#REF!</v>
      </c>
      <c r="Y37" s="183" t="e">
        <f aca="false">SUM(Y30:Y35)</f>
        <v>#REF!</v>
      </c>
      <c r="Z37" s="183" t="e">
        <f aca="false">SUM(Z30:Z35)</f>
        <v>#REF!</v>
      </c>
      <c r="AA37" s="183" t="e">
        <f aca="false">SUM(AA30:AA35)</f>
        <v>#REF!</v>
      </c>
      <c r="AB37" s="183" t="e">
        <f aca="false">SUM(AB30:AB35)</f>
        <v>#REF!</v>
      </c>
      <c r="AC37" s="183" t="e">
        <f aca="false">SUM(AC30:AC35)</f>
        <v>#REF!</v>
      </c>
      <c r="AD37" s="183" t="e">
        <f aca="false">SUM(AD30:AD35)</f>
        <v>#REF!</v>
      </c>
      <c r="AE37" s="183" t="e">
        <f aca="false">SUM(AE30:AE35)</f>
        <v>#REF!</v>
      </c>
      <c r="AF37" s="183" t="e">
        <f aca="false">SUM(AF30:AF35)</f>
        <v>#REF!</v>
      </c>
      <c r="AG37" s="183" t="e">
        <f aca="false">SUM(AG30:AG35)</f>
        <v>#REF!</v>
      </c>
      <c r="AH37" s="183" t="e">
        <f aca="false">SUM(AH30:AH35)</f>
        <v>#REF!</v>
      </c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</row>
    <row r="38" customFormat="false" ht="12.75" hidden="false" customHeight="false" outlineLevel="0" collapsed="false">
      <c r="A38" s="183"/>
      <c r="B38" s="32"/>
      <c r="C38" s="303"/>
      <c r="D38" s="183"/>
      <c r="E38" s="183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</row>
    <row r="39" customFormat="false" ht="12.75" hidden="false" customHeight="false" outlineLevel="0" collapsed="false">
      <c r="A39" s="309" t="s">
        <v>313</v>
      </c>
      <c r="B39" s="32"/>
      <c r="C39" s="303"/>
      <c r="D39" s="183"/>
      <c r="E39" s="183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</row>
    <row r="40" customFormat="false" ht="12.75" hidden="false" customHeight="false" outlineLevel="0" collapsed="false">
      <c r="A40" s="309"/>
      <c r="B40" s="32"/>
      <c r="C40" s="303"/>
      <c r="D40" s="183"/>
      <c r="E40" s="183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</row>
    <row r="41" customFormat="false" ht="12.75" hidden="false" customHeight="false" outlineLevel="0" collapsed="false">
      <c r="A41" s="183" t="s">
        <v>314</v>
      </c>
      <c r="C41" s="303" t="n">
        <f aca="false">Assumptions!$C$11</f>
        <v>17443.6121399324</v>
      </c>
      <c r="D41" s="183" t="n">
        <f aca="false">Assumptions!$C$11</f>
        <v>17443.6121399324</v>
      </c>
      <c r="E41" s="183" t="n">
        <f aca="false">Assumptions!$C$11</f>
        <v>17443.6121399324</v>
      </c>
      <c r="F41" s="183" t="n">
        <f aca="false">Assumptions!$C$11</f>
        <v>17443.6121399324</v>
      </c>
      <c r="G41" s="183" t="n">
        <f aca="false">Assumptions!$C$11</f>
        <v>17443.6121399324</v>
      </c>
      <c r="H41" s="183" t="n">
        <f aca="false">Assumptions!$C$11</f>
        <v>17443.6121399324</v>
      </c>
      <c r="I41" s="183" t="n">
        <f aca="false">Assumptions!$C$11</f>
        <v>17443.6121399324</v>
      </c>
      <c r="J41" s="183" t="n">
        <f aca="false">Assumptions!$C$11</f>
        <v>17443.6121399324</v>
      </c>
      <c r="K41" s="183" t="n">
        <f aca="false">Assumptions!$C$11</f>
        <v>17443.6121399324</v>
      </c>
      <c r="L41" s="183" t="n">
        <f aca="false">Assumptions!$C$11</f>
        <v>17443.6121399324</v>
      </c>
      <c r="M41" s="183" t="n">
        <f aca="false">Assumptions!$C$11</f>
        <v>17443.6121399324</v>
      </c>
      <c r="N41" s="183" t="n">
        <f aca="false">Assumptions!$C$11</f>
        <v>17443.6121399324</v>
      </c>
      <c r="O41" s="183" t="n">
        <f aca="false">Assumptions!$C$11</f>
        <v>17443.6121399324</v>
      </c>
      <c r="P41" s="183" t="n">
        <f aca="false">Assumptions!$C$11</f>
        <v>17443.6121399324</v>
      </c>
      <c r="Q41" s="183" t="n">
        <f aca="false">Assumptions!$C$11</f>
        <v>17443.6121399324</v>
      </c>
      <c r="R41" s="183" t="n">
        <f aca="false">Assumptions!$C$11</f>
        <v>17443.6121399324</v>
      </c>
      <c r="S41" s="183" t="n">
        <f aca="false">Assumptions!$C$11</f>
        <v>17443.6121399324</v>
      </c>
      <c r="T41" s="183" t="n">
        <f aca="false">Assumptions!$C$11</f>
        <v>17443.6121399324</v>
      </c>
      <c r="U41" s="183" t="n">
        <f aca="false">Assumptions!$C$11</f>
        <v>17443.6121399324</v>
      </c>
      <c r="V41" s="183" t="n">
        <f aca="false">Assumptions!$C$11</f>
        <v>17443.6121399324</v>
      </c>
      <c r="W41" s="183" t="n">
        <f aca="false">Assumptions!$C$11</f>
        <v>17443.6121399324</v>
      </c>
      <c r="X41" s="183" t="n">
        <f aca="false">Assumptions!$C$11</f>
        <v>17443.6121399324</v>
      </c>
      <c r="Y41" s="183" t="n">
        <f aca="false">Assumptions!$C$11</f>
        <v>17443.6121399324</v>
      </c>
      <c r="Z41" s="183" t="n">
        <f aca="false">Assumptions!$C$11</f>
        <v>17443.6121399324</v>
      </c>
      <c r="AA41" s="183" t="n">
        <f aca="false">Assumptions!$C$11</f>
        <v>17443.6121399324</v>
      </c>
      <c r="AB41" s="183" t="n">
        <f aca="false">Assumptions!$C$11</f>
        <v>17443.6121399324</v>
      </c>
      <c r="AC41" s="183" t="n">
        <f aca="false">Assumptions!$C$11</f>
        <v>17443.6121399324</v>
      </c>
      <c r="AD41" s="183" t="n">
        <f aca="false">Assumptions!$C$11</f>
        <v>17443.6121399324</v>
      </c>
      <c r="AE41" s="183" t="n">
        <f aca="false">Assumptions!$C$11</f>
        <v>17443.6121399324</v>
      </c>
      <c r="AF41" s="183" t="n">
        <f aca="false">Assumptions!$C$11</f>
        <v>17443.6121399324</v>
      </c>
      <c r="AG41" s="183" t="n">
        <f aca="false">Assumptions!$C$11</f>
        <v>17443.6121399324</v>
      </c>
      <c r="AH41" s="183" t="n">
        <f aca="false">Assumptions!$C$11</f>
        <v>17443.6121399324</v>
      </c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</row>
    <row r="42" customFormat="false" ht="12.75" hidden="false" customHeight="false" outlineLevel="0" collapsed="false">
      <c r="A42" s="183" t="s">
        <v>315</v>
      </c>
      <c r="C42" s="307" t="n">
        <f aca="false">IS!B46-CF!B24</f>
        <v>0</v>
      </c>
      <c r="D42" s="308" t="n">
        <f aca="false">IS!C46-CF!C24</f>
        <v>2459.63647549291</v>
      </c>
      <c r="E42" s="308" t="n">
        <f aca="false">IS!D46-CF!D24</f>
        <v>796.978728827799</v>
      </c>
      <c r="F42" s="308" t="n">
        <f aca="false">IS!E46-CF!E24</f>
        <v>1606.03400593509</v>
      </c>
      <c r="G42" s="308" t="n">
        <f aca="false">IS!F46-CF!F24</f>
        <v>1666.27541479344</v>
      </c>
      <c r="H42" s="308" t="n">
        <f aca="false">IS!G46-CF!G24</f>
        <v>2447.80618043126</v>
      </c>
      <c r="I42" s="308" t="n">
        <f aca="false">IS!H46-CF!H24</f>
        <v>3186.50019481227</v>
      </c>
      <c r="J42" s="308" t="n">
        <f aca="false">IS!I46-CF!I24</f>
        <v>3587.3950745953</v>
      </c>
      <c r="K42" s="308" t="n">
        <f aca="false">IS!J46-CF!J24</f>
        <v>3795.82911865823</v>
      </c>
      <c r="L42" s="308" t="n">
        <f aca="false">IS!K46-CF!K24</f>
        <v>3875.85172668598</v>
      </c>
      <c r="M42" s="308" t="n">
        <f aca="false">IS!L46-CF!L24</f>
        <v>4092.67732753755</v>
      </c>
      <c r="N42" s="308" t="n">
        <f aca="false">IS!M46-CF!M24</f>
        <v>4172.77987730756</v>
      </c>
      <c r="O42" s="308" t="n">
        <f aca="false">IS!N46-CF!N24</f>
        <v>4398.25117990371</v>
      </c>
      <c r="P42" s="308" t="n">
        <f aca="false">IS!O46-CF!O24</f>
        <v>4478.17393199001</v>
      </c>
      <c r="Q42" s="308" t="n">
        <f aca="false">IS!P46-CF!P24</f>
        <v>4549.5353360196</v>
      </c>
      <c r="R42" s="308" t="n">
        <f aca="false">IS!Q46-CF!Q24</f>
        <v>4624.09633092242</v>
      </c>
      <c r="S42" s="308" t="n">
        <f aca="false">IS!R46-CF!R24</f>
        <v>5617.52312545828</v>
      </c>
      <c r="T42" s="308" t="n">
        <f aca="false">IS!S46-CF!S24</f>
        <v>3687.9160653889</v>
      </c>
      <c r="U42" s="308" t="n">
        <f aca="false">IS!T46-CF!T24</f>
        <v>-1373.36599341456</v>
      </c>
      <c r="V42" s="308" t="n">
        <f aca="false">IS!U46-CF!U24</f>
        <v>-1373.36599341456</v>
      </c>
      <c r="W42" s="308" t="n">
        <f aca="false">IS!V46-CF!V24</f>
        <v>-1373.36599341456</v>
      </c>
      <c r="X42" s="308" t="n">
        <f aca="false">IS!W46-CF!W24</f>
        <v>-1373.36599341456</v>
      </c>
      <c r="Y42" s="308" t="n">
        <f aca="false">IS!X46-CF!X24</f>
        <v>-1373.36599341456</v>
      </c>
      <c r="Z42" s="308" t="n">
        <f aca="false">IS!Y46-CF!Y24</f>
        <v>-1373.36599341456</v>
      </c>
      <c r="AA42" s="308" t="n">
        <f aca="false">IS!Z46-CF!Z24</f>
        <v>-1373.36599341456</v>
      </c>
      <c r="AB42" s="308" t="n">
        <f aca="false">IS!AA46-CF!AA24</f>
        <v>-1373.36599341456</v>
      </c>
      <c r="AC42" s="308" t="n">
        <f aca="false">IS!AB46-CF!AB24</f>
        <v>-1373.36599341456</v>
      </c>
      <c r="AD42" s="308" t="n">
        <f aca="false">IS!AC46-CF!AC24</f>
        <v>-1373.36599341456</v>
      </c>
      <c r="AE42" s="308" t="n">
        <f aca="false">IS!AD46-CF!AD24</f>
        <v>-1373.36599341456</v>
      </c>
      <c r="AF42" s="308" t="n">
        <f aca="false">IS!AE46-CF!AE24</f>
        <v>-1373.36599341456</v>
      </c>
      <c r="AG42" s="308" t="n">
        <f aca="false">IS!AF46-CF!AF24</f>
        <v>-1373.36599341456</v>
      </c>
      <c r="AH42" s="308" t="n">
        <f aca="false">IS!AG46-CF!AG24</f>
        <v>-457.78866447152</v>
      </c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</row>
    <row r="43" customFormat="false" ht="12.75" hidden="false" customHeight="false" outlineLevel="0" collapsed="false">
      <c r="A43" s="183" t="s">
        <v>316</v>
      </c>
      <c r="C43" s="303" t="n">
        <f aca="false">SUM(C41:C42)</f>
        <v>17443.6121399324</v>
      </c>
      <c r="D43" s="183" t="n">
        <f aca="false">SUM(D41:D42)</f>
        <v>19903.2486154253</v>
      </c>
      <c r="E43" s="183" t="n">
        <f aca="false">SUM(E41:E42)</f>
        <v>18240.5908687602</v>
      </c>
      <c r="F43" s="183" t="n">
        <f aca="false">SUM(F41:F42)</f>
        <v>19049.6461458675</v>
      </c>
      <c r="G43" s="183" t="n">
        <f aca="false">SUM(G41:G42)</f>
        <v>19109.8875547258</v>
      </c>
      <c r="H43" s="183" t="n">
        <f aca="false">SUM(H41:H42)</f>
        <v>19891.4183203636</v>
      </c>
      <c r="I43" s="183" t="n">
        <f aca="false">SUM(I41:I42)</f>
        <v>20630.1123347446</v>
      </c>
      <c r="J43" s="183" t="n">
        <f aca="false">SUM(J41:J42)</f>
        <v>21031.0072145277</v>
      </c>
      <c r="K43" s="183" t="n">
        <f aca="false">SUM(K41:K42)</f>
        <v>21239.4412585906</v>
      </c>
      <c r="L43" s="183" t="n">
        <f aca="false">SUM(L41:L42)</f>
        <v>21319.4638666184</v>
      </c>
      <c r="M43" s="183" t="n">
        <f aca="false">SUM(M41:M42)</f>
        <v>21536.2894674699</v>
      </c>
      <c r="N43" s="183" t="n">
        <f aca="false">SUM(N41:N42)</f>
        <v>21616.3920172399</v>
      </c>
      <c r="O43" s="183" t="n">
        <f aca="false">SUM(O41:O42)</f>
        <v>21841.8633198361</v>
      </c>
      <c r="P43" s="183" t="n">
        <f aca="false">SUM(P41:P42)</f>
        <v>21921.7860719224</v>
      </c>
      <c r="Q43" s="183" t="n">
        <f aca="false">SUM(Q41:Q42)</f>
        <v>21993.147475952</v>
      </c>
      <c r="R43" s="183" t="n">
        <f aca="false">SUM(R41:R42)</f>
        <v>22067.7084708548</v>
      </c>
      <c r="S43" s="183" t="n">
        <f aca="false">SUM(S41:S42)</f>
        <v>23061.1352653907</v>
      </c>
      <c r="T43" s="183" t="n">
        <f aca="false">SUM(T41:T42)</f>
        <v>21131.5282053213</v>
      </c>
      <c r="U43" s="183" t="n">
        <f aca="false">SUM(U41:U42)</f>
        <v>16070.2461465178</v>
      </c>
      <c r="V43" s="183" t="n">
        <f aca="false">SUM(V41:V42)</f>
        <v>16070.2461465178</v>
      </c>
      <c r="W43" s="183" t="n">
        <f aca="false">SUM(W41:W42)</f>
        <v>16070.2461465178</v>
      </c>
      <c r="X43" s="183" t="n">
        <f aca="false">SUM(X41:X42)</f>
        <v>16070.2461465178</v>
      </c>
      <c r="Y43" s="183" t="n">
        <f aca="false">SUM(Y41:Y42)</f>
        <v>16070.2461465178</v>
      </c>
      <c r="Z43" s="183" t="n">
        <f aca="false">SUM(Z41:Z42)</f>
        <v>16070.2461465178</v>
      </c>
      <c r="AA43" s="183" t="n">
        <f aca="false">SUM(AA41:AA42)</f>
        <v>16070.2461465178</v>
      </c>
      <c r="AB43" s="183" t="n">
        <f aca="false">SUM(AB41:AB42)</f>
        <v>16070.2461465178</v>
      </c>
      <c r="AC43" s="183" t="n">
        <f aca="false">SUM(AC41:AC42)</f>
        <v>16070.2461465178</v>
      </c>
      <c r="AD43" s="183" t="n">
        <f aca="false">SUM(AD41:AD42)</f>
        <v>16070.2461465178</v>
      </c>
      <c r="AE43" s="183" t="n">
        <f aca="false">SUM(AE41:AE42)</f>
        <v>16070.2461465178</v>
      </c>
      <c r="AF43" s="183" t="n">
        <f aca="false">SUM(AF41:AF42)</f>
        <v>16070.2461465178</v>
      </c>
      <c r="AG43" s="183" t="n">
        <f aca="false">SUM(AG41:AG42)</f>
        <v>16070.2461465178</v>
      </c>
      <c r="AH43" s="183" t="n">
        <f aca="false">SUM(AH41:AH42)</f>
        <v>16985.8234754609</v>
      </c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4"/>
      <c r="BH43" s="304"/>
    </row>
    <row r="44" customFormat="false" ht="12.75" hidden="false" customHeight="false" outlineLevel="0" collapsed="false">
      <c r="A44" s="32"/>
      <c r="B44" s="32"/>
      <c r="C44" s="303"/>
      <c r="D44" s="183"/>
      <c r="E44" s="183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4"/>
      <c r="BH44" s="304"/>
    </row>
    <row r="45" customFormat="false" ht="12.75" hidden="false" customHeight="false" outlineLevel="0" collapsed="false">
      <c r="A45" s="309" t="s">
        <v>317</v>
      </c>
      <c r="B45" s="32"/>
      <c r="C45" s="303" t="n">
        <f aca="false">C43+C37</f>
        <v>79110.2147347428</v>
      </c>
      <c r="D45" s="183" t="e">
        <f aca="false">D43+D37</f>
        <v>#REF!</v>
      </c>
      <c r="E45" s="183" t="e">
        <f aca="false">E43+E37</f>
        <v>#REF!</v>
      </c>
      <c r="F45" s="183" t="e">
        <f aca="false">F43+F37</f>
        <v>#REF!</v>
      </c>
      <c r="G45" s="183" t="e">
        <f aca="false">G43+G37</f>
        <v>#REF!</v>
      </c>
      <c r="H45" s="183" t="e">
        <f aca="false">H43+H37</f>
        <v>#REF!</v>
      </c>
      <c r="I45" s="183" t="e">
        <f aca="false">I43+I37</f>
        <v>#REF!</v>
      </c>
      <c r="J45" s="183" t="e">
        <f aca="false">J43+J37</f>
        <v>#REF!</v>
      </c>
      <c r="K45" s="183" t="e">
        <f aca="false">K43+K37</f>
        <v>#REF!</v>
      </c>
      <c r="L45" s="183" t="e">
        <f aca="false">L43+L37</f>
        <v>#REF!</v>
      </c>
      <c r="M45" s="183" t="e">
        <f aca="false">M43+M37</f>
        <v>#REF!</v>
      </c>
      <c r="N45" s="183" t="e">
        <f aca="false">N43+N37</f>
        <v>#REF!</v>
      </c>
      <c r="O45" s="183" t="e">
        <f aca="false">O43+O37</f>
        <v>#REF!</v>
      </c>
      <c r="P45" s="183" t="e">
        <f aca="false">P43+P37</f>
        <v>#REF!</v>
      </c>
      <c r="Q45" s="183" t="e">
        <f aca="false">Q43+Q37</f>
        <v>#REF!</v>
      </c>
      <c r="R45" s="183" t="e">
        <f aca="false">R43+R37</f>
        <v>#REF!</v>
      </c>
      <c r="S45" s="183" t="e">
        <f aca="false">S43+S37</f>
        <v>#REF!</v>
      </c>
      <c r="T45" s="183" t="e">
        <f aca="false">T43+T37</f>
        <v>#REF!</v>
      </c>
      <c r="U45" s="183" t="e">
        <f aca="false">U43+U37</f>
        <v>#REF!</v>
      </c>
      <c r="V45" s="183" t="e">
        <f aca="false">V43+V37</f>
        <v>#REF!</v>
      </c>
      <c r="W45" s="183" t="e">
        <f aca="false">W43+W37</f>
        <v>#REF!</v>
      </c>
      <c r="X45" s="183" t="e">
        <f aca="false">X43+X37</f>
        <v>#REF!</v>
      </c>
      <c r="Y45" s="183" t="e">
        <f aca="false">Y43+Y37</f>
        <v>#REF!</v>
      </c>
      <c r="Z45" s="183" t="e">
        <f aca="false">Z43+Z37</f>
        <v>#REF!</v>
      </c>
      <c r="AA45" s="183" t="e">
        <f aca="false">AA43+AA37</f>
        <v>#REF!</v>
      </c>
      <c r="AB45" s="183" t="e">
        <f aca="false">AB43+AB37</f>
        <v>#REF!</v>
      </c>
      <c r="AC45" s="183" t="e">
        <f aca="false">AC43+AC37</f>
        <v>#REF!</v>
      </c>
      <c r="AD45" s="183" t="e">
        <f aca="false">AD43+AD37</f>
        <v>#REF!</v>
      </c>
      <c r="AE45" s="183" t="e">
        <f aca="false">AE43+AE37</f>
        <v>#REF!</v>
      </c>
      <c r="AF45" s="183" t="e">
        <f aca="false">AF43+AF37</f>
        <v>#REF!</v>
      </c>
      <c r="AG45" s="183" t="e">
        <f aca="false">AG43+AG37</f>
        <v>#REF!</v>
      </c>
      <c r="AH45" s="183" t="e">
        <f aca="false">AH43+AH37</f>
        <v>#REF!</v>
      </c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4"/>
      <c r="BH45" s="304"/>
    </row>
    <row r="46" customFormat="false" ht="12.75" hidden="false" customHeight="false" outlineLevel="0" collapsed="false">
      <c r="A46" s="183"/>
      <c r="B46" s="32"/>
      <c r="C46" s="303"/>
      <c r="D46" s="183"/>
      <c r="E46" s="183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4"/>
      <c r="BH46" s="304"/>
    </row>
    <row r="47" customFormat="false" ht="12.75" hidden="false" customHeight="false" outlineLevel="0" collapsed="false">
      <c r="A47" s="309" t="s">
        <v>318</v>
      </c>
      <c r="B47" s="32"/>
      <c r="C47" s="303" t="n">
        <f aca="false">C25-C45</f>
        <v>0</v>
      </c>
      <c r="D47" s="183" t="e">
        <f aca="false">D25-D45</f>
        <v>#REF!</v>
      </c>
      <c r="E47" s="183" t="e">
        <f aca="false">E25-E45</f>
        <v>#REF!</v>
      </c>
      <c r="F47" s="183" t="e">
        <f aca="false">F25-F45</f>
        <v>#REF!</v>
      </c>
      <c r="G47" s="183" t="e">
        <f aca="false">G25-G45</f>
        <v>#REF!</v>
      </c>
      <c r="H47" s="183" t="e">
        <f aca="false">H25-H45</f>
        <v>#REF!</v>
      </c>
      <c r="I47" s="183" t="e">
        <f aca="false">I25-I45</f>
        <v>#REF!</v>
      </c>
      <c r="J47" s="183" t="e">
        <f aca="false">J25-J45</f>
        <v>#REF!</v>
      </c>
      <c r="K47" s="183" t="e">
        <f aca="false">K25-K45</f>
        <v>#REF!</v>
      </c>
      <c r="L47" s="183" t="e">
        <f aca="false">L25-L45</f>
        <v>#REF!</v>
      </c>
      <c r="M47" s="183" t="e">
        <f aca="false">M25-M45</f>
        <v>#REF!</v>
      </c>
      <c r="N47" s="183" t="e">
        <f aca="false">N25-N45</f>
        <v>#REF!</v>
      </c>
      <c r="O47" s="183" t="e">
        <f aca="false">O25-O45</f>
        <v>#REF!</v>
      </c>
      <c r="P47" s="183" t="e">
        <f aca="false">P25-P45</f>
        <v>#REF!</v>
      </c>
      <c r="Q47" s="183" t="e">
        <f aca="false">Q25-Q45</f>
        <v>#REF!</v>
      </c>
      <c r="R47" s="183" t="e">
        <f aca="false">R25-R45</f>
        <v>#REF!</v>
      </c>
      <c r="S47" s="183" t="e">
        <f aca="false">S25-S45</f>
        <v>#REF!</v>
      </c>
      <c r="T47" s="183" t="e">
        <f aca="false">T25-T45</f>
        <v>#REF!</v>
      </c>
      <c r="U47" s="183" t="e">
        <f aca="false">U25-U45</f>
        <v>#REF!</v>
      </c>
      <c r="V47" s="183" t="e">
        <f aca="false">V25-V45</f>
        <v>#REF!</v>
      </c>
      <c r="W47" s="183" t="e">
        <f aca="false">W25-W45</f>
        <v>#REF!</v>
      </c>
      <c r="X47" s="183" t="e">
        <f aca="false">X25-X45</f>
        <v>#REF!</v>
      </c>
      <c r="Y47" s="183" t="e">
        <f aca="false">Y25-Y45</f>
        <v>#REF!</v>
      </c>
      <c r="Z47" s="183" t="e">
        <f aca="false">Z25-Z45</f>
        <v>#REF!</v>
      </c>
      <c r="AA47" s="183" t="e">
        <f aca="false">AA25-AA45</f>
        <v>#REF!</v>
      </c>
      <c r="AB47" s="183" t="e">
        <f aca="false">AB25-AB45</f>
        <v>#REF!</v>
      </c>
      <c r="AC47" s="183" t="e">
        <f aca="false">AC25-AC45</f>
        <v>#REF!</v>
      </c>
      <c r="AD47" s="183" t="e">
        <f aca="false">AD25-AD45</f>
        <v>#REF!</v>
      </c>
      <c r="AE47" s="183" t="e">
        <f aca="false">AE25-AE45</f>
        <v>#REF!</v>
      </c>
      <c r="AF47" s="183" t="e">
        <f aca="false">AF25-AF45</f>
        <v>#REF!</v>
      </c>
      <c r="AG47" s="183" t="e">
        <f aca="false">AG25-AG45</f>
        <v>#REF!</v>
      </c>
      <c r="AH47" s="183" t="e">
        <f aca="false">AH25-AH45</f>
        <v>#REF!</v>
      </c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</row>
    <row r="48" customFormat="false" ht="12.75" hidden="false" customHeight="false" outlineLevel="0" collapsed="false">
      <c r="A48" s="32"/>
      <c r="B48" s="32"/>
      <c r="C48" s="183"/>
      <c r="D48" s="183"/>
      <c r="E48" s="183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4"/>
      <c r="BH48" s="304"/>
    </row>
    <row r="49" customFormat="false" ht="12.75" hidden="false" customHeight="false" outlineLevel="0" collapsed="false">
      <c r="A49" s="32"/>
      <c r="B49" s="32"/>
      <c r="C49" s="183"/>
      <c r="D49" s="183"/>
      <c r="E49" s="183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4"/>
      <c r="BH49" s="304"/>
    </row>
    <row r="50" customFormat="false" ht="12.75" hidden="false" customHeight="false" outlineLevel="0" collapsed="false">
      <c r="A50" s="32"/>
      <c r="B50" s="32"/>
      <c r="C50" s="183"/>
      <c r="D50" s="183"/>
      <c r="E50" s="183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4"/>
      <c r="BH50" s="304"/>
    </row>
    <row r="51" customFormat="false" ht="12.75" hidden="false" customHeight="false" outlineLevel="0" collapsed="false">
      <c r="A51" s="32"/>
      <c r="B51" s="32"/>
      <c r="C51" s="183"/>
      <c r="D51" s="183"/>
      <c r="E51" s="183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4"/>
      <c r="BH51" s="304"/>
    </row>
    <row r="52" customFormat="false" ht="12.75" hidden="false" customHeight="false" outlineLevel="0" collapsed="false">
      <c r="A52" s="32"/>
      <c r="B52" s="32"/>
      <c r="C52" s="183"/>
      <c r="D52" s="183"/>
      <c r="E52" s="183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4"/>
      <c r="BH52" s="304"/>
    </row>
    <row r="53" customFormat="false" ht="12.75" hidden="false" customHeight="false" outlineLevel="0" collapsed="false">
      <c r="A53" s="32"/>
      <c r="B53" s="32"/>
      <c r="C53" s="183"/>
      <c r="D53" s="183"/>
      <c r="E53" s="183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4"/>
      <c r="BH53" s="304"/>
    </row>
    <row r="54" customFormat="false" ht="12.75" hidden="false" customHeight="false" outlineLevel="0" collapsed="false">
      <c r="A54" s="32"/>
      <c r="B54" s="32"/>
      <c r="C54" s="183"/>
      <c r="D54" s="183"/>
      <c r="E54" s="183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4"/>
      <c r="BH54" s="304"/>
    </row>
    <row r="55" customFormat="false" ht="12.75" hidden="false" customHeight="false" outlineLevel="0" collapsed="false">
      <c r="A55" s="32"/>
      <c r="B55" s="145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</row>
    <row r="56" customFormat="false" ht="12.75" hidden="false" customHeight="false" outlineLevel="0" collapsed="false">
      <c r="A56" s="32"/>
      <c r="B56" s="145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4"/>
      <c r="BH56" s="304"/>
    </row>
    <row r="57" customFormat="false" ht="12.75" hidden="false" customHeight="false" outlineLevel="0" collapsed="false">
      <c r="A57" s="32"/>
      <c r="B57" s="145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4"/>
      <c r="BH57" s="304"/>
    </row>
    <row r="58" customFormat="false" ht="12.75" hidden="false" customHeight="false" outlineLevel="0" collapsed="false">
      <c r="A58" s="32"/>
      <c r="B58" s="145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4"/>
      <c r="BH58" s="304"/>
    </row>
    <row r="59" customFormat="false" ht="12.75" hidden="false" customHeight="false" outlineLevel="0" collapsed="false">
      <c r="A59" s="32"/>
      <c r="B59" s="145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</row>
    <row r="60" customFormat="false" ht="12.75" hidden="false" customHeight="false" outlineLevel="0" collapsed="false">
      <c r="A60" s="32"/>
      <c r="B60" s="145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</row>
    <row r="61" customFormat="false" ht="12.75" hidden="false" customHeight="false" outlineLevel="0" collapsed="false">
      <c r="A61" s="145"/>
      <c r="B61" s="145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</row>
    <row r="62" customFormat="false" ht="12.75" hidden="false" customHeight="false" outlineLevel="0" collapsed="false"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</row>
    <row r="63" customFormat="false" ht="12.75" hidden="false" customHeight="false" outlineLevel="0" collapsed="false"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</row>
    <row r="64" customFormat="false" ht="12.75" hidden="false" customHeight="false" outlineLevel="0" collapsed="false"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</row>
    <row r="65" customFormat="false" ht="12.75" hidden="false" customHeight="false" outlineLevel="0" collapsed="false"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</row>
    <row r="66" customFormat="false" ht="12.75" hidden="false" customHeight="false" outlineLevel="0" collapsed="false"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</row>
    <row r="67" customFormat="false" ht="12.75" hidden="false" customHeight="false" outlineLevel="0" collapsed="false"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</row>
    <row r="68" customFormat="false" ht="12.75" hidden="false" customHeight="false" outlineLevel="0" collapsed="false"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</row>
    <row r="69" customFormat="false" ht="12.75" hidden="false" customHeight="false" outlineLevel="0" collapsed="false"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</row>
    <row r="70" customFormat="false" ht="12.75" hidden="false" customHeight="false" outlineLevel="0" collapsed="false"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</row>
    <row r="71" customFormat="false" ht="12.75" hidden="false" customHeight="false" outlineLevel="0" collapsed="false"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</row>
    <row r="72" customFormat="false" ht="12.75" hidden="false" customHeight="false" outlineLevel="0" collapsed="false"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</row>
    <row r="73" customFormat="false" ht="12.75" hidden="false" customHeight="false" outlineLevel="0" collapsed="false"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</row>
    <row r="74" customFormat="false" ht="12.75" hidden="false" customHeight="false" outlineLevel="0" collapsed="false"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</row>
    <row r="75" customFormat="false" ht="12.75" hidden="false" customHeight="false" outlineLevel="0" collapsed="false"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</row>
    <row r="76" customFormat="false" ht="12.75" hidden="false" customHeight="false" outlineLevel="0" collapsed="false"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</row>
    <row r="77" customFormat="false" ht="12.75" hidden="false" customHeight="false" outlineLevel="0" collapsed="false"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</row>
    <row r="78" customFormat="false" ht="12.75" hidden="false" customHeight="false" outlineLevel="0" collapsed="false">
      <c r="C78" s="304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</row>
    <row r="79" customFormat="false" ht="12.75" hidden="false" customHeight="false" outlineLevel="0" collapsed="false"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</row>
    <row r="80" customFormat="false" ht="12.75" hidden="false" customHeight="false" outlineLevel="0" collapsed="false"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</row>
    <row r="81" customFormat="false" ht="12.75" hidden="false" customHeight="false" outlineLevel="0" collapsed="false"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</row>
    <row r="82" customFormat="false" ht="12.75" hidden="false" customHeight="false" outlineLevel="0" collapsed="false"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</row>
    <row r="83" customFormat="false" ht="12.75" hidden="false" customHeight="false" outlineLevel="0" collapsed="false"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</row>
    <row r="84" customFormat="false" ht="12.75" hidden="false" customHeight="false" outlineLevel="0" collapsed="false"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</row>
    <row r="85" customFormat="false" ht="12.75" hidden="false" customHeight="false" outlineLevel="0" collapsed="false"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</row>
    <row r="86" customFormat="false" ht="12.75" hidden="false" customHeight="false" outlineLevel="0" collapsed="false"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</row>
    <row r="87" customFormat="false" ht="12.75" hidden="false" customHeight="false" outlineLevel="0" collapsed="false"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</row>
    <row r="88" customFormat="false" ht="12.75" hidden="false" customHeight="false" outlineLevel="0" collapsed="false"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</row>
    <row r="89" customFormat="false" ht="12.75" hidden="false" customHeight="false" outlineLevel="0" collapsed="false"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</row>
    <row r="90" customFormat="false" ht="12.75" hidden="false" customHeight="false" outlineLevel="0" collapsed="false"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Q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99"/>
    <col collapsed="false" customWidth="true" hidden="false" outlineLevel="0" max="2" min="2" style="0" width="11.56"/>
    <col collapsed="false" customWidth="true" hidden="false" outlineLevel="0" max="3" min="3" style="0" width="11.13"/>
    <col collapsed="false" customWidth="true" hidden="false" outlineLevel="0" max="4" min="4" style="0" width="11.56"/>
    <col collapsed="false" customWidth="true" hidden="false" outlineLevel="0" max="5" min="5" style="0" width="11.13"/>
    <col collapsed="false" customWidth="true" hidden="false" outlineLevel="0" max="8" min="6" style="0" width="11.56"/>
    <col collapsed="false" customWidth="true" hidden="false" outlineLevel="0" max="9" min="9" style="0" width="11.13"/>
    <col collapsed="false" customWidth="true" hidden="false" outlineLevel="0" max="11" min="10" style="0" width="11.56"/>
    <col collapsed="false" customWidth="true" hidden="false" outlineLevel="0" max="12" min="12" style="0" width="11.13"/>
    <col collapsed="false" customWidth="true" hidden="false" outlineLevel="0" max="13" min="13" style="0" width="10.71"/>
    <col collapsed="false" customWidth="true" hidden="false" outlineLevel="0" max="16" min="14" style="0" width="11.13"/>
    <col collapsed="false" customWidth="true" hidden="false" outlineLevel="0" max="17" min="17" style="0" width="10.85"/>
    <col collapsed="false" customWidth="true" hidden="false" outlineLevel="0" max="20" min="18" style="0" width="11.13"/>
    <col collapsed="false" customWidth="true" hidden="false" outlineLevel="0" max="21" min="21" style="0" width="10.85"/>
    <col collapsed="false" customWidth="true" hidden="false" outlineLevel="0" max="22" min="22" style="0" width="11.56"/>
    <col collapsed="false" customWidth="true" hidden="false" outlineLevel="0" max="23" min="23" style="0" width="11.13"/>
    <col collapsed="false" customWidth="true" hidden="false" outlineLevel="0" max="24" min="24" style="0" width="11.56"/>
    <col collapsed="false" customWidth="true" hidden="false" outlineLevel="0" max="25" min="25" style="0" width="11.13"/>
    <col collapsed="false" customWidth="true" hidden="false" outlineLevel="0" max="28" min="26" style="0" width="11.56"/>
    <col collapsed="false" customWidth="true" hidden="false" outlineLevel="0" max="29" min="29" style="0" width="11.13"/>
    <col collapsed="false" customWidth="true" hidden="false" outlineLevel="0" max="32" min="30" style="0" width="11.56"/>
    <col collapsed="false" customWidth="true" hidden="false" outlineLevel="0" max="33" min="33" style="0" width="10.85"/>
  </cols>
  <sheetData>
    <row r="2" customFormat="false" ht="18.75" hidden="false" customHeight="false" outlineLevel="0" collapsed="false">
      <c r="A2" s="11" t="str">
        <f aca="false">Assumptions!A3</f>
        <v>PROJECT NAME: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0"/>
      <c r="Z2" s="140"/>
      <c r="AA2" s="1"/>
      <c r="AB2" s="1"/>
      <c r="AC2" s="1"/>
      <c r="AD2" s="1"/>
      <c r="AE2" s="1"/>
      <c r="AF2" s="1"/>
      <c r="AG2" s="1"/>
      <c r="A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40"/>
      <c r="Z3" s="140"/>
      <c r="AA3" s="1"/>
      <c r="AB3" s="1"/>
      <c r="AC3" s="1"/>
      <c r="AD3" s="1"/>
      <c r="AE3" s="1"/>
      <c r="AF3" s="1"/>
      <c r="AG3" s="1"/>
      <c r="AH3" s="1"/>
    </row>
    <row r="4" customFormat="false" ht="18.75" hidden="false" customHeight="false" outlineLevel="0" collapsed="false">
      <c r="A4" s="258" t="s">
        <v>319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40"/>
      <c r="Z4" s="140"/>
      <c r="AA4" s="1"/>
      <c r="AB4" s="1"/>
      <c r="AC4" s="1"/>
      <c r="AD4" s="1"/>
      <c r="AE4" s="1"/>
      <c r="AF4" s="1"/>
      <c r="AG4" s="1"/>
      <c r="AH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40"/>
      <c r="Z5" s="140"/>
      <c r="AA5" s="1"/>
      <c r="AB5" s="1"/>
      <c r="AC5" s="1"/>
      <c r="AD5" s="1"/>
      <c r="AE5" s="1"/>
      <c r="AF5" s="1"/>
      <c r="AG5" s="1"/>
      <c r="AH5" s="1"/>
    </row>
    <row r="6" customFormat="false" ht="12.75" hidden="false" customHeight="false" outlineLevel="0" collapsed="false">
      <c r="A6" s="1"/>
      <c r="B6" s="231" t="n">
        <v>0</v>
      </c>
      <c r="C6" s="231" t="n">
        <f aca="false">'Price Assumption'!D7</f>
        <v>0.666666666666667</v>
      </c>
      <c r="D6" s="231" t="n">
        <f aca="false">'Price Assumption'!E7</f>
        <v>1.66666666666667</v>
      </c>
      <c r="E6" s="231" t="n">
        <f aca="false">'Price Assumption'!F7</f>
        <v>2.66666666666667</v>
      </c>
      <c r="F6" s="231" t="n">
        <f aca="false">'Price Assumption'!G7</f>
        <v>3.66666666666667</v>
      </c>
      <c r="G6" s="231" t="n">
        <f aca="false">'Price Assumption'!H7</f>
        <v>4.66666666666667</v>
      </c>
      <c r="H6" s="231" t="n">
        <f aca="false">'Price Assumption'!I7</f>
        <v>5.66666666666667</v>
      </c>
      <c r="I6" s="231" t="n">
        <f aca="false">'Price Assumption'!J7</f>
        <v>6.66666666666667</v>
      </c>
      <c r="J6" s="231" t="n">
        <f aca="false">'Price Assumption'!K7</f>
        <v>7.66666666666667</v>
      </c>
      <c r="K6" s="231" t="n">
        <f aca="false">'Price Assumption'!L7</f>
        <v>8.66666666666667</v>
      </c>
      <c r="L6" s="231" t="n">
        <f aca="false">'Price Assumption'!M7</f>
        <v>9.66666666666667</v>
      </c>
      <c r="M6" s="231" t="n">
        <f aca="false">'Price Assumption'!N7</f>
        <v>10.6666666666667</v>
      </c>
      <c r="N6" s="231" t="n">
        <f aca="false">'Price Assumption'!O7</f>
        <v>11.6666666666667</v>
      </c>
      <c r="O6" s="231" t="n">
        <f aca="false">'Price Assumption'!P7</f>
        <v>12.6666666666667</v>
      </c>
      <c r="P6" s="231" t="n">
        <f aca="false">'Price Assumption'!Q7</f>
        <v>13.6666666666667</v>
      </c>
      <c r="Q6" s="231" t="n">
        <f aca="false">'Price Assumption'!R7</f>
        <v>14.6666666666667</v>
      </c>
      <c r="R6" s="231" t="n">
        <f aca="false">'Price Assumption'!S7</f>
        <v>15.6666666666667</v>
      </c>
      <c r="S6" s="231" t="n">
        <f aca="false">'Price Assumption'!T7</f>
        <v>16.6666666666667</v>
      </c>
      <c r="T6" s="231" t="n">
        <f aca="false">'Price Assumption'!U7</f>
        <v>17.6666666666667</v>
      </c>
      <c r="U6" s="231" t="n">
        <f aca="false">'Price Assumption'!V7</f>
        <v>18.6666666666667</v>
      </c>
      <c r="V6" s="231" t="n">
        <f aca="false">'Price Assumption'!W7</f>
        <v>19.6666666666667</v>
      </c>
      <c r="W6" s="231" t="n">
        <f aca="false">'Price Assumption'!X7</f>
        <v>20.6666666666667</v>
      </c>
      <c r="X6" s="231" t="n">
        <f aca="false">'Price Assumption'!Y7</f>
        <v>21.6666666666667</v>
      </c>
      <c r="Y6" s="231" t="n">
        <f aca="false">'Price Assumption'!Z7</f>
        <v>22.6666666666667</v>
      </c>
      <c r="Z6" s="231" t="n">
        <f aca="false">'Price Assumption'!AA7</f>
        <v>23.6666666666667</v>
      </c>
      <c r="AA6" s="231" t="n">
        <f aca="false">'Price Assumption'!AB7</f>
        <v>24.6666666666667</v>
      </c>
      <c r="AB6" s="231" t="n">
        <f aca="false">'Price Assumption'!AC7</f>
        <v>25.6666666666667</v>
      </c>
      <c r="AC6" s="231" t="n">
        <f aca="false">'Price Assumption'!AD7</f>
        <v>26.6666666666667</v>
      </c>
      <c r="AD6" s="231" t="n">
        <f aca="false">'Price Assumption'!AE7</f>
        <v>27.6666666666667</v>
      </c>
      <c r="AE6" s="231" t="n">
        <f aca="false">'Price Assumption'!AF7</f>
        <v>28.6666666666667</v>
      </c>
      <c r="AF6" s="231" t="n">
        <f aca="false">'Price Assumption'!AG7</f>
        <v>29.6666666666667</v>
      </c>
      <c r="AG6" s="231" t="n">
        <f aca="false">'Price Assumption'!AH7</f>
        <v>30.6666666666667</v>
      </c>
      <c r="AH6" s="1"/>
    </row>
    <row r="7" customFormat="false" ht="13.5" hidden="false" customHeight="false" outlineLevel="0" collapsed="false">
      <c r="A7" s="259" t="s">
        <v>259</v>
      </c>
      <c r="B7" s="260" t="s">
        <v>282</v>
      </c>
      <c r="C7" s="260" t="n">
        <f aca="false">'Price Assumption'!D8</f>
        <v>2001</v>
      </c>
      <c r="D7" s="260" t="n">
        <f aca="false">'Price Assumption'!E8</f>
        <v>2002</v>
      </c>
      <c r="E7" s="260" t="n">
        <f aca="false">'Price Assumption'!F8</f>
        <v>2003</v>
      </c>
      <c r="F7" s="260" t="n">
        <f aca="false">'Price Assumption'!G8</f>
        <v>2004</v>
      </c>
      <c r="G7" s="260" t="n">
        <f aca="false">'Price Assumption'!H8</f>
        <v>2005</v>
      </c>
      <c r="H7" s="260" t="n">
        <f aca="false">'Price Assumption'!I8</f>
        <v>2006</v>
      </c>
      <c r="I7" s="260" t="n">
        <f aca="false">'Price Assumption'!J8</f>
        <v>2007</v>
      </c>
      <c r="J7" s="260" t="n">
        <f aca="false">'Price Assumption'!K8</f>
        <v>2008</v>
      </c>
      <c r="K7" s="260" t="n">
        <f aca="false">'Price Assumption'!L8</f>
        <v>2009</v>
      </c>
      <c r="L7" s="260" t="n">
        <f aca="false">'Price Assumption'!M8</f>
        <v>2010</v>
      </c>
      <c r="M7" s="260" t="n">
        <f aca="false">'Price Assumption'!N8</f>
        <v>2011</v>
      </c>
      <c r="N7" s="260" t="n">
        <f aca="false">'Price Assumption'!O8</f>
        <v>2012</v>
      </c>
      <c r="O7" s="260" t="n">
        <f aca="false">'Price Assumption'!P8</f>
        <v>2013</v>
      </c>
      <c r="P7" s="260" t="n">
        <f aca="false">'Price Assumption'!Q8</f>
        <v>2014</v>
      </c>
      <c r="Q7" s="260" t="n">
        <f aca="false">'Price Assumption'!R8</f>
        <v>2015</v>
      </c>
      <c r="R7" s="260" t="n">
        <f aca="false">'Price Assumption'!S8</f>
        <v>2016</v>
      </c>
      <c r="S7" s="260" t="n">
        <f aca="false">'Price Assumption'!T8</f>
        <v>2017</v>
      </c>
      <c r="T7" s="260" t="n">
        <f aca="false">'Price Assumption'!U8</f>
        <v>2018</v>
      </c>
      <c r="U7" s="260" t="n">
        <f aca="false">'Price Assumption'!V8</f>
        <v>2019</v>
      </c>
      <c r="V7" s="260" t="n">
        <f aca="false">'Price Assumption'!W8</f>
        <v>2020</v>
      </c>
      <c r="W7" s="260" t="n">
        <f aca="false">'Price Assumption'!X8</f>
        <v>2021</v>
      </c>
      <c r="X7" s="260" t="n">
        <f aca="false">'Price Assumption'!Y8</f>
        <v>2022</v>
      </c>
      <c r="Y7" s="260" t="n">
        <f aca="false">'Price Assumption'!Z8</f>
        <v>2023</v>
      </c>
      <c r="Z7" s="260" t="n">
        <f aca="false">'Price Assumption'!AA8</f>
        <v>2024</v>
      </c>
      <c r="AA7" s="260" t="n">
        <f aca="false">'Price Assumption'!AB8</f>
        <v>2025</v>
      </c>
      <c r="AB7" s="260" t="n">
        <f aca="false">'Price Assumption'!AC8</f>
        <v>2026</v>
      </c>
      <c r="AC7" s="260" t="n">
        <f aca="false">'Price Assumption'!AD8</f>
        <v>2027</v>
      </c>
      <c r="AD7" s="260" t="n">
        <f aca="false">'Price Assumption'!AE8</f>
        <v>2028</v>
      </c>
      <c r="AE7" s="260" t="n">
        <f aca="false">'Price Assumption'!AF8</f>
        <v>2029</v>
      </c>
      <c r="AF7" s="260" t="n">
        <f aca="false">'Price Assumption'!AG8</f>
        <v>2030</v>
      </c>
      <c r="AG7" s="260" t="n">
        <f aca="false">'Price Assumption'!AH8</f>
        <v>2031</v>
      </c>
      <c r="AH7" s="1"/>
    </row>
    <row r="8" customFormat="false" ht="12.75" hidden="false" customHeight="false" outlineLevel="0" collapsed="false">
      <c r="A8" s="282"/>
      <c r="B8" s="283" t="n">
        <f aca="false">Assumptions!G45</f>
        <v>36739</v>
      </c>
      <c r="C8" s="283" t="n">
        <f aca="false">BS!D8</f>
        <v>37255.5</v>
      </c>
      <c r="D8" s="283" t="n">
        <f aca="false">BS!E8</f>
        <v>37620.75</v>
      </c>
      <c r="E8" s="283" t="n">
        <f aca="false">BS!F8</f>
        <v>37986</v>
      </c>
      <c r="F8" s="283" t="n">
        <f aca="false">BS!G8</f>
        <v>38351.25</v>
      </c>
      <c r="G8" s="283" t="n">
        <f aca="false">BS!H8</f>
        <v>38716.5</v>
      </c>
      <c r="H8" s="283" t="n">
        <f aca="false">BS!I8</f>
        <v>39081.75</v>
      </c>
      <c r="I8" s="283" t="n">
        <f aca="false">BS!J8</f>
        <v>39447</v>
      </c>
      <c r="J8" s="283" t="n">
        <f aca="false">BS!K8</f>
        <v>39812.25</v>
      </c>
      <c r="K8" s="283" t="n">
        <f aca="false">BS!L8</f>
        <v>40177.5</v>
      </c>
      <c r="L8" s="283" t="n">
        <f aca="false">BS!M8</f>
        <v>40542.75</v>
      </c>
      <c r="M8" s="283" t="n">
        <f aca="false">BS!N8</f>
        <v>40908</v>
      </c>
      <c r="N8" s="283" t="n">
        <f aca="false">BS!O8</f>
        <v>41273.25</v>
      </c>
      <c r="O8" s="283" t="n">
        <f aca="false">BS!P8</f>
        <v>41638.5</v>
      </c>
      <c r="P8" s="283" t="n">
        <f aca="false">BS!Q8</f>
        <v>42003.75</v>
      </c>
      <c r="Q8" s="283" t="n">
        <f aca="false">BS!R8</f>
        <v>42369</v>
      </c>
      <c r="R8" s="283" t="n">
        <f aca="false">BS!S8</f>
        <v>42734.25</v>
      </c>
      <c r="S8" s="283" t="n">
        <f aca="false">BS!T8</f>
        <v>43099.5</v>
      </c>
      <c r="T8" s="283" t="n">
        <f aca="false">BS!U8</f>
        <v>43464.75</v>
      </c>
      <c r="U8" s="283" t="n">
        <f aca="false">BS!V8</f>
        <v>43830</v>
      </c>
      <c r="V8" s="283" t="n">
        <f aca="false">BS!W8</f>
        <v>44195.25</v>
      </c>
      <c r="W8" s="283" t="n">
        <f aca="false">BS!X8</f>
        <v>44560.5</v>
      </c>
      <c r="X8" s="283" t="n">
        <f aca="false">BS!Y8</f>
        <v>44925.75</v>
      </c>
      <c r="Y8" s="283" t="n">
        <f aca="false">BS!Z8</f>
        <v>45291</v>
      </c>
      <c r="Z8" s="283" t="n">
        <f aca="false">BS!AA8</f>
        <v>45656.25</v>
      </c>
      <c r="AA8" s="283" t="n">
        <f aca="false">BS!AB8</f>
        <v>46021.5</v>
      </c>
      <c r="AB8" s="283" t="n">
        <f aca="false">BS!AC8</f>
        <v>46386.75</v>
      </c>
      <c r="AC8" s="283" t="n">
        <f aca="false">BS!AD8</f>
        <v>46752</v>
      </c>
      <c r="AD8" s="283" t="n">
        <f aca="false">BS!AE8</f>
        <v>47117.25</v>
      </c>
      <c r="AE8" s="283" t="n">
        <f aca="false">BS!AF8</f>
        <v>47482.5</v>
      </c>
      <c r="AF8" s="283" t="n">
        <f aca="false">BS!AG8</f>
        <v>47847.75</v>
      </c>
      <c r="AG8" s="283" t="n">
        <f aca="false">BS!AH8</f>
        <v>48213</v>
      </c>
      <c r="AH8" s="1"/>
    </row>
    <row r="9" customFormat="false" ht="12.75" hidden="false" customHeight="false" outlineLevel="0" collapsed="false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1"/>
    </row>
    <row r="10" customFormat="false" ht="18.75" hidden="false" customHeight="false" outlineLevel="0" collapsed="false">
      <c r="A10" s="11" t="s">
        <v>320</v>
      </c>
      <c r="B10" s="1"/>
      <c r="C10" s="1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customFormat="false" ht="12.75" hidden="false" customHeight="false" outlineLevel="0" collapsed="false">
      <c r="A11" s="1"/>
      <c r="B11" s="1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customFormat="false" ht="12.75" hidden="false" customHeight="false" outlineLevel="0" collapsed="false">
      <c r="A12" s="287" t="s">
        <v>286</v>
      </c>
      <c r="B12" s="291" t="n">
        <v>0</v>
      </c>
      <c r="C12" s="291" t="n">
        <f aca="false">CF!C17*Assumptions!$G$47</f>
        <v>-351.853570178288</v>
      </c>
      <c r="D12" s="291" t="n">
        <f aca="false">CF!D17*Assumptions!$G$47</f>
        <v>802.220182781897</v>
      </c>
      <c r="E12" s="291" t="n">
        <f aca="false">CF!E17*Assumptions!$G$47</f>
        <v>394.783327560021</v>
      </c>
      <c r="F12" s="291" t="n">
        <f aca="false">CF!F17*Assumptions!$G$47</f>
        <v>732.576341382834</v>
      </c>
      <c r="G12" s="291" t="n">
        <f aca="false">CF!G17*Assumptions!$G$47</f>
        <v>933.742931162241</v>
      </c>
      <c r="H12" s="291" t="n">
        <f aca="false">CF!H17*Assumptions!$G$47</f>
        <v>946.742758409106</v>
      </c>
      <c r="I12" s="291" t="n">
        <f aca="false">CF!I17*Assumptions!$G$47</f>
        <v>959.3168164979</v>
      </c>
      <c r="J12" s="291" t="n">
        <f aca="false">CF!J17*Assumptions!$G$47</f>
        <v>903.468299100815</v>
      </c>
      <c r="K12" s="291" t="n">
        <f aca="false">CF!K17*Assumptions!$G$47</f>
        <v>1002.38351958092</v>
      </c>
      <c r="L12" s="291" t="n">
        <f aca="false">CF!L17*Assumptions!$G$47</f>
        <v>942.541018520095</v>
      </c>
      <c r="M12" s="291" t="n">
        <f aca="false">CF!M17*Assumptions!$G$47</f>
        <v>1046.87078004168</v>
      </c>
      <c r="N12" s="291" t="n">
        <f aca="false">CF!N17*Assumptions!$G$47</f>
        <v>982.757390241049</v>
      </c>
      <c r="O12" s="291" t="n">
        <f aca="false">CF!O17*Assumptions!$G$47</f>
        <v>1092.79675673846</v>
      </c>
      <c r="P12" s="291" t="n">
        <f aca="false">CF!P17*Assumptions!$G$47</f>
        <v>1105.62144772669</v>
      </c>
      <c r="Q12" s="291" t="n">
        <f aca="false">CF!Q17*Assumptions!$G$47</f>
        <v>1118.17025874758</v>
      </c>
      <c r="R12" s="291" t="n">
        <f aca="false">CF!R17*Assumptions!$G$47</f>
        <v>1109.75588296976</v>
      </c>
      <c r="S12" s="291" t="n">
        <f aca="false">CF!S17*Assumptions!$G$47</f>
        <v>2587.75246728017</v>
      </c>
      <c r="T12" s="291" t="n">
        <f aca="false">CF!T17*Assumptions!$G$47</f>
        <v>5174.25563061655</v>
      </c>
      <c r="U12" s="291" t="n">
        <f aca="false">CF!U17*Assumptions!$G$47</f>
        <v>5214.40325812746</v>
      </c>
      <c r="V12" s="291" t="n">
        <f aca="false">CF!V17*Assumptions!$G$47</f>
        <v>5252.09247810957</v>
      </c>
      <c r="W12" s="291" t="n">
        <f aca="false">CF!W17*Assumptions!$G$47</f>
        <v>5287.14220913844</v>
      </c>
      <c r="X12" s="291" t="n">
        <f aca="false">CF!X17*Assumptions!$G$47</f>
        <v>5319.36271747095</v>
      </c>
      <c r="Y12" s="291" t="n">
        <f aca="false">CF!Y17*Assumptions!$G$47</f>
        <v>5351.13621327287</v>
      </c>
      <c r="Z12" s="291" t="n">
        <f aca="false">CF!Z17*Assumptions!$G$47</f>
        <v>5382.44928616831</v>
      </c>
      <c r="AA12" s="291" t="n">
        <f aca="false">CF!AA17*Assumptions!$G$47</f>
        <v>5413.28812347005</v>
      </c>
      <c r="AB12" s="291" t="n">
        <f aca="false">CF!AB17*Assumptions!$G$47</f>
        <v>5443.63849811028</v>
      </c>
      <c r="AC12" s="291" t="n">
        <f aca="false">CF!AC17*Assumptions!$G$47</f>
        <v>5473.48575620916</v>
      </c>
      <c r="AD12" s="291" t="n">
        <f aca="false">CF!AD17*Assumptions!$G$47</f>
        <v>5502.81480427046</v>
      </c>
      <c r="AE12" s="291" t="n">
        <f aca="false">CF!AE17*Assumptions!$G$47</f>
        <v>5531.61009599304</v>
      </c>
      <c r="AF12" s="291" t="n">
        <f aca="false">CF!AF17*Assumptions!$G$47</f>
        <v>5559.85561868674</v>
      </c>
      <c r="AG12" s="291" t="n">
        <f aca="false">CF!AG17*Assumptions!$G$47</f>
        <v>1410.57157769144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customFormat="false" ht="12.75" hidden="false" customHeight="false" outlineLevel="0" collapsed="false">
      <c r="A13" s="287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customFormat="false" ht="12.75" hidden="false" customHeight="false" outlineLevel="0" collapsed="false">
      <c r="A14" s="289" t="s">
        <v>321</v>
      </c>
      <c r="B14" s="288" t="n">
        <v>0</v>
      </c>
      <c r="C14" s="204" t="n">
        <f aca="false">CF!C19*Assumptions!$G$47</f>
        <v>-13.389716960262</v>
      </c>
      <c r="D14" s="204" t="n">
        <f aca="false">CF!D19*Assumptions!$G$47</f>
        <v>-0</v>
      </c>
      <c r="E14" s="204" t="n">
        <f aca="false">CF!E19*Assumptions!$G$47</f>
        <v>-0</v>
      </c>
      <c r="F14" s="204" t="n">
        <f aca="false">CF!F19*Assumptions!$G$47</f>
        <v>-9.11707030877545</v>
      </c>
      <c r="G14" s="204" t="n">
        <f aca="false">CF!G19*Assumptions!$G$47</f>
        <v>-88.0663906983935</v>
      </c>
      <c r="H14" s="204" t="n">
        <f aca="false">CF!H19*Assumptions!$G$47</f>
        <v>-126.046491388562</v>
      </c>
      <c r="I14" s="204" t="n">
        <f aca="false">CF!I19*Assumptions!$G$47</f>
        <v>-146.245455321829</v>
      </c>
      <c r="J14" s="204" t="n">
        <f aca="false">CF!J19*Assumptions!$G$47</f>
        <v>-149.471024613671</v>
      </c>
      <c r="K14" s="204" t="n">
        <f aca="false">CF!K19*Assumptions!$G$47</f>
        <v>-159.356107360814</v>
      </c>
      <c r="L14" s="204" t="n">
        <f aca="false">CF!L19*Assumptions!$G$47</f>
        <v>-162.595802283797</v>
      </c>
      <c r="M14" s="204" t="n">
        <f aca="false">CF!M19*Assumptions!$G$47</f>
        <v>-172.862700864823</v>
      </c>
      <c r="N14" s="204" t="n">
        <f aca="false">CF!N19*Assumptions!$G$47</f>
        <v>-176.106033137079</v>
      </c>
      <c r="O14" s="204" t="n">
        <f aca="false">CF!O19*Assumptions!$G$47</f>
        <v>-186.766311147483</v>
      </c>
      <c r="P14" s="204" t="n">
        <f aca="false">CF!P19*Assumptions!$G$47</f>
        <v>-190.00146262513</v>
      </c>
      <c r="Q14" s="204" t="n">
        <f aca="false">CF!Q19*Assumptions!$G$47</f>
        <v>-193.649740250756</v>
      </c>
      <c r="R14" s="204" t="n">
        <f aca="false">CF!R19*Assumptions!$G$47</f>
        <v>-275.097351361748</v>
      </c>
      <c r="S14" s="204" t="n">
        <f aca="false">CF!S19*Assumptions!$G$47</f>
        <v>-358.287544767733</v>
      </c>
      <c r="T14" s="204" t="n">
        <f aca="false">CF!T19*Assumptions!$G$47</f>
        <v>-362.197894143159</v>
      </c>
      <c r="U14" s="204" t="n">
        <f aca="false">CF!U19*Assumptions!$G$47</f>
        <v>-365.008228068922</v>
      </c>
      <c r="V14" s="204" t="n">
        <f aca="false">CF!V19*Assumptions!$G$47</f>
        <v>-367.64647346767</v>
      </c>
      <c r="W14" s="204" t="n">
        <f aca="false">CF!W19*Assumptions!$G$47</f>
        <v>-370.099954639691</v>
      </c>
      <c r="X14" s="204" t="n">
        <f aca="false">CF!X19*Assumptions!$G$47</f>
        <v>-372.355390222966</v>
      </c>
      <c r="Y14" s="204" t="n">
        <f aca="false">CF!Y19*Assumptions!$G$47</f>
        <v>-374.579534929101</v>
      </c>
      <c r="Z14" s="204" t="n">
        <f aca="false">CF!Z19*Assumptions!$G$47</f>
        <v>-376.771450031782</v>
      </c>
      <c r="AA14" s="204" t="n">
        <f aca="false">CF!AA19*Assumptions!$G$47</f>
        <v>-378.930168642903</v>
      </c>
      <c r="AB14" s="204" t="n">
        <f aca="false">CF!AB19*Assumptions!$G$47</f>
        <v>-381.05469486772</v>
      </c>
      <c r="AC14" s="204" t="n">
        <f aca="false">CF!AC19*Assumptions!$G$47</f>
        <v>-383.144002934641</v>
      </c>
      <c r="AD14" s="204" t="n">
        <f aca="false">CF!AD19*Assumptions!$G$47</f>
        <v>-385.197036298932</v>
      </c>
      <c r="AE14" s="204" t="n">
        <f aca="false">CF!AE19*Assumptions!$G$47</f>
        <v>-387.212706719513</v>
      </c>
      <c r="AF14" s="204" t="n">
        <f aca="false">CF!AF19*Assumptions!$G$47</f>
        <v>-389.189893308072</v>
      </c>
      <c r="AG14" s="204" t="n">
        <f aca="false">CF!AG19*Assumptions!$G$47</f>
        <v>-98.7400104384008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customFormat="false" ht="12.75" hidden="false" customHeight="false" outlineLevel="0" collapsed="false">
      <c r="A15" s="289" t="s">
        <v>322</v>
      </c>
      <c r="B15" s="272" t="n">
        <v>0</v>
      </c>
      <c r="C15" s="311" t="n">
        <f aca="false">CF!C20*Assumptions!$G$47</f>
        <v>-62.2621838652183</v>
      </c>
      <c r="D15" s="311" t="n">
        <f aca="false">CF!D20*Assumptions!$G$47</f>
        <v>-0</v>
      </c>
      <c r="E15" s="311" t="n">
        <f aca="false">CF!E20*Assumptions!$G$47</f>
        <v>-0</v>
      </c>
      <c r="F15" s="311" t="n">
        <f aca="false">CF!F20*Assumptions!$G$47</f>
        <v>-42.3943769358058</v>
      </c>
      <c r="G15" s="311" t="n">
        <f aca="false">CF!G20*Assumptions!$G$47</f>
        <v>-409.50871674753</v>
      </c>
      <c r="H15" s="311" t="n">
        <f aca="false">CF!H20*Assumptions!$G$47</f>
        <v>-586.116184956811</v>
      </c>
      <c r="I15" s="311" t="n">
        <f aca="false">CF!I20*Assumptions!$G$47</f>
        <v>-680.041367246506</v>
      </c>
      <c r="J15" s="311" t="n">
        <f aca="false">CF!J20*Assumptions!$G$47</f>
        <v>-695.040264453569</v>
      </c>
      <c r="K15" s="311" t="n">
        <f aca="false">CF!K20*Assumptions!$G$47</f>
        <v>-741.005899227785</v>
      </c>
      <c r="L15" s="311" t="n">
        <f aca="false">CF!L20*Assumptions!$G$47</f>
        <v>-756.070480619655</v>
      </c>
      <c r="M15" s="311" t="n">
        <f aca="false">CF!M20*Assumptions!$G$47</f>
        <v>-803.811559021428</v>
      </c>
      <c r="N15" s="311" t="n">
        <f aca="false">CF!N20*Assumptions!$G$47</f>
        <v>-818.893054087416</v>
      </c>
      <c r="O15" s="311" t="n">
        <f aca="false">CF!O20*Assumptions!$G$47</f>
        <v>-868.463346835795</v>
      </c>
      <c r="P15" s="311" t="n">
        <f aca="false">CF!P20*Assumptions!$G$47</f>
        <v>-883.506801206855</v>
      </c>
      <c r="Q15" s="311" t="n">
        <f aca="false">CF!Q20*Assumptions!$G$47</f>
        <v>-900.471292166017</v>
      </c>
      <c r="R15" s="311" t="n">
        <f aca="false">CF!R20*Assumptions!$G$47</f>
        <v>-1279.20268383213</v>
      </c>
      <c r="S15" s="311" t="n">
        <f aca="false">CF!S20*Assumptions!$G$47</f>
        <v>-1666.03708316996</v>
      </c>
      <c r="T15" s="311" t="n">
        <f aca="false">CF!T20*Assumptions!$G$47</f>
        <v>-1684.22020776569</v>
      </c>
      <c r="U15" s="311" t="n">
        <f aca="false">CF!U20*Assumptions!$G$47</f>
        <v>-1697.28826052049</v>
      </c>
      <c r="V15" s="311" t="n">
        <f aca="false">CF!V20*Assumptions!$G$47</f>
        <v>-1709.55610162466</v>
      </c>
      <c r="W15" s="311" t="n">
        <f aca="false">CF!W20*Assumptions!$G$47</f>
        <v>-1720.96478907456</v>
      </c>
      <c r="X15" s="311" t="n">
        <f aca="false">CF!X20*Assumptions!$G$47</f>
        <v>-1731.45256453679</v>
      </c>
      <c r="Y15" s="311" t="n">
        <f aca="false">CF!Y20*Assumptions!$G$47</f>
        <v>-1741.79483742032</v>
      </c>
      <c r="Z15" s="311" t="n">
        <f aca="false">CF!Z20*Assumptions!$G$47</f>
        <v>-1751.98724264778</v>
      </c>
      <c r="AA15" s="311" t="n">
        <f aca="false">CF!AA20*Assumptions!$G$47</f>
        <v>-1762.0252841895</v>
      </c>
      <c r="AB15" s="311" t="n">
        <f aca="false">CF!AB20*Assumptions!$G$47</f>
        <v>-1771.9043311349</v>
      </c>
      <c r="AC15" s="311" t="n">
        <f aca="false">CF!AC20*Assumptions!$G$47</f>
        <v>-1781.61961364608</v>
      </c>
      <c r="AD15" s="311" t="n">
        <f aca="false">CF!AD20*Assumptions!$G$47</f>
        <v>-1791.16621879003</v>
      </c>
      <c r="AE15" s="311" t="n">
        <f aca="false">CF!AE20*Assumptions!$G$47</f>
        <v>-1800.53908624573</v>
      </c>
      <c r="AF15" s="311" t="n">
        <f aca="false">CF!AF20*Assumptions!$G$47</f>
        <v>-1809.73300388253</v>
      </c>
      <c r="AG15" s="311" t="n">
        <f aca="false">CF!AG20*Assumptions!$G$47</f>
        <v>-459.141048538564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customFormat="false" ht="12.75" hidden="false" customHeight="false" outlineLevel="0" collapsed="false">
      <c r="A16" s="289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customFormat="false" ht="12.75" hidden="false" customHeight="false" outlineLevel="0" collapsed="false">
      <c r="A17" s="287" t="s">
        <v>289</v>
      </c>
      <c r="B17" s="291" t="n">
        <v>0</v>
      </c>
      <c r="C17" s="291" t="n">
        <f aca="false">SUM(C12:C15)</f>
        <v>-427.505471003768</v>
      </c>
      <c r="D17" s="291" t="n">
        <f aca="false">SUM(D12:D15)</f>
        <v>802.220182781897</v>
      </c>
      <c r="E17" s="291" t="n">
        <f aca="false">SUM(E12:E15)</f>
        <v>394.783327560021</v>
      </c>
      <c r="F17" s="291" t="n">
        <f aca="false">SUM(F12:F15)</f>
        <v>681.064894138253</v>
      </c>
      <c r="G17" s="291" t="n">
        <f aca="false">SUM(G12:G15)</f>
        <v>436.167823716318</v>
      </c>
      <c r="H17" s="291" t="n">
        <f aca="false">SUM(H12:H15)</f>
        <v>234.580082063733</v>
      </c>
      <c r="I17" s="291" t="n">
        <f aca="false">SUM(I12:I15)</f>
        <v>133.029993929565</v>
      </c>
      <c r="J17" s="291" t="n">
        <f aca="false">SUM(J12:J15)</f>
        <v>58.9570100335757</v>
      </c>
      <c r="K17" s="291" t="n">
        <f aca="false">SUM(K12:K15)</f>
        <v>102.021512992316</v>
      </c>
      <c r="L17" s="291" t="n">
        <f aca="false">SUM(L12:L15)</f>
        <v>23.874735616644</v>
      </c>
      <c r="M17" s="291" t="n">
        <f aca="false">SUM(M12:M15)</f>
        <v>70.1965201554333</v>
      </c>
      <c r="N17" s="291" t="n">
        <f aca="false">SUM(N12:N15)</f>
        <v>-12.2416969834461</v>
      </c>
      <c r="O17" s="291" t="n">
        <f aca="false">SUM(O12:O15)</f>
        <v>37.5670987551767</v>
      </c>
      <c r="P17" s="291" t="n">
        <f aca="false">SUM(P12:P15)</f>
        <v>32.1131838947072</v>
      </c>
      <c r="Q17" s="291" t="n">
        <f aca="false">SUM(Q12:Q15)</f>
        <v>24.0492263308088</v>
      </c>
      <c r="R17" s="291" t="n">
        <f aca="false">SUM(R12:R15)</f>
        <v>-444.544152224115</v>
      </c>
      <c r="S17" s="291" t="n">
        <f aca="false">SUM(S12:S15)</f>
        <v>563.427839342477</v>
      </c>
      <c r="T17" s="291" t="n">
        <f aca="false">SUM(T12:T15)</f>
        <v>3127.8375287077</v>
      </c>
      <c r="U17" s="291" t="n">
        <f aca="false">SUM(U12:U15)</f>
        <v>3152.10676953805</v>
      </c>
      <c r="V17" s="291" t="n">
        <f aca="false">SUM(V12:V15)</f>
        <v>3174.88990301723</v>
      </c>
      <c r="W17" s="291" t="n">
        <f aca="false">SUM(W12:W15)</f>
        <v>3196.07746542419</v>
      </c>
      <c r="X17" s="291" t="n">
        <f aca="false">SUM(X12:X15)</f>
        <v>3215.55476271119</v>
      </c>
      <c r="Y17" s="291" t="n">
        <f aca="false">SUM(Y12:Y15)</f>
        <v>3234.76184092345</v>
      </c>
      <c r="Z17" s="291" t="n">
        <f aca="false">SUM(Z12:Z15)</f>
        <v>3253.69059348874</v>
      </c>
      <c r="AA17" s="291" t="n">
        <f aca="false">SUM(AA12:AA15)</f>
        <v>3272.33267063764</v>
      </c>
      <c r="AB17" s="291" t="n">
        <f aca="false">SUM(AB12:AB15)</f>
        <v>3290.67947210766</v>
      </c>
      <c r="AC17" s="291" t="n">
        <f aca="false">SUM(AC12:AC15)</f>
        <v>3308.72213962844</v>
      </c>
      <c r="AD17" s="291" t="n">
        <f aca="false">SUM(AD12:AD15)</f>
        <v>3326.45154918149</v>
      </c>
      <c r="AE17" s="291" t="n">
        <f aca="false">SUM(AE12:AE15)</f>
        <v>3343.85830302779</v>
      </c>
      <c r="AF17" s="291" t="n">
        <f aca="false">SUM(AF12:AF15)</f>
        <v>3360.93272149613</v>
      </c>
      <c r="AG17" s="291" t="n">
        <f aca="false">SUM(AG12:AG15)</f>
        <v>852.690518714476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customFormat="false" ht="12.75" hidden="false" customHeight="false" outlineLevel="0" collapsed="false">
      <c r="A18" s="287"/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customFormat="false" ht="12.75" hidden="false" customHeight="false" outlineLevel="0" collapsed="false">
      <c r="A19" s="312" t="s">
        <v>323</v>
      </c>
      <c r="B19" s="291" t="n">
        <f aca="false">-Assumptions!$G$47*Assumptions!C11</f>
        <v>-8721.80606996619</v>
      </c>
      <c r="C19" s="291" t="n">
        <v>0</v>
      </c>
      <c r="D19" s="291" t="n">
        <v>0</v>
      </c>
      <c r="E19" s="291" t="n">
        <v>0</v>
      </c>
      <c r="F19" s="291" t="n">
        <v>0</v>
      </c>
      <c r="G19" s="291" t="n">
        <v>0</v>
      </c>
      <c r="H19" s="291" t="n">
        <v>0</v>
      </c>
      <c r="I19" s="291" t="n">
        <v>0</v>
      </c>
      <c r="J19" s="291" t="n">
        <v>0</v>
      </c>
      <c r="K19" s="291" t="n">
        <v>0</v>
      </c>
      <c r="L19" s="291" t="n">
        <v>0</v>
      </c>
      <c r="M19" s="291" t="n">
        <v>0</v>
      </c>
      <c r="N19" s="291" t="n">
        <v>0</v>
      </c>
      <c r="O19" s="291" t="n">
        <v>0</v>
      </c>
      <c r="P19" s="291" t="n">
        <v>0</v>
      </c>
      <c r="Q19" s="291" t="n">
        <v>0</v>
      </c>
      <c r="R19" s="291" t="n">
        <v>0</v>
      </c>
      <c r="S19" s="291" t="n">
        <v>0</v>
      </c>
      <c r="T19" s="291" t="n">
        <v>0</v>
      </c>
      <c r="U19" s="291" t="n">
        <v>0</v>
      </c>
      <c r="V19" s="291" t="n">
        <v>0</v>
      </c>
      <c r="W19" s="291" t="n">
        <v>0</v>
      </c>
      <c r="X19" s="291" t="n">
        <v>0</v>
      </c>
      <c r="Y19" s="291" t="n">
        <v>0</v>
      </c>
      <c r="Z19" s="291" t="n">
        <v>0</v>
      </c>
      <c r="AA19" s="291" t="n">
        <v>0</v>
      </c>
      <c r="AB19" s="291" t="n">
        <v>0</v>
      </c>
      <c r="AC19" s="291" t="n">
        <v>0</v>
      </c>
      <c r="AD19" s="291" t="n">
        <v>0</v>
      </c>
      <c r="AE19" s="291" t="n">
        <v>0</v>
      </c>
      <c r="AF19" s="291" t="n">
        <v>0</v>
      </c>
      <c r="AG19" s="291" t="n">
        <v>0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customFormat="false" ht="12.75" hidden="false" customHeight="false" outlineLevel="0" collapsed="false">
      <c r="A20" s="312"/>
      <c r="B20" s="288"/>
      <c r="C20" s="288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customFormat="false" ht="12.75" hidden="false" customHeight="false" outlineLevel="0" collapsed="false">
      <c r="A21" s="313"/>
      <c r="B21" s="314"/>
      <c r="C21" s="31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customFormat="false" ht="12.75" hidden="false" customHeight="false" outlineLevel="0" collapsed="false">
      <c r="A22" s="293" t="s">
        <v>324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customFormat="false" ht="12.75" hidden="false" customHeight="false" outlineLevel="0" collapsed="false">
      <c r="A23" s="32" t="s">
        <v>325</v>
      </c>
      <c r="B23" s="264" t="n">
        <f aca="false">B19+B17</f>
        <v>-8721.80606996619</v>
      </c>
      <c r="C23" s="264" t="n">
        <f aca="false">C19+C17</f>
        <v>-427.505471003768</v>
      </c>
      <c r="D23" s="264" t="n">
        <f aca="false">D19+D17</f>
        <v>802.220182781897</v>
      </c>
      <c r="E23" s="264" t="n">
        <f aca="false">E19+E17</f>
        <v>394.783327560021</v>
      </c>
      <c r="F23" s="264" t="n">
        <f aca="false">F19+F17</f>
        <v>681.064894138253</v>
      </c>
      <c r="G23" s="264" t="n">
        <f aca="false">G19+G17</f>
        <v>436.167823716318</v>
      </c>
      <c r="H23" s="264" t="n">
        <f aca="false">H19+H17</f>
        <v>234.580082063733</v>
      </c>
      <c r="I23" s="264" t="n">
        <f aca="false">I19+I17</f>
        <v>133.029993929565</v>
      </c>
      <c r="J23" s="264" t="n">
        <f aca="false">J19+J17</f>
        <v>58.9570100335757</v>
      </c>
      <c r="K23" s="264" t="n">
        <f aca="false">K19+K17</f>
        <v>102.021512992316</v>
      </c>
      <c r="L23" s="264" t="n">
        <f aca="false">L19+L17</f>
        <v>23.874735616644</v>
      </c>
      <c r="M23" s="264" t="n">
        <f aca="false">M19+M17</f>
        <v>70.1965201554333</v>
      </c>
      <c r="N23" s="264" t="n">
        <f aca="false">N19+N17</f>
        <v>-12.2416969834461</v>
      </c>
      <c r="O23" s="264" t="n">
        <f aca="false">O19+O17</f>
        <v>37.5670987551767</v>
      </c>
      <c r="P23" s="264" t="n">
        <f aca="false">P19+P17</f>
        <v>32.1131838947072</v>
      </c>
      <c r="Q23" s="264" t="n">
        <f aca="false">Q19+Q17</f>
        <v>24.0492263308088</v>
      </c>
      <c r="R23" s="264" t="n">
        <f aca="false">R19+R17</f>
        <v>-444.544152224115</v>
      </c>
      <c r="S23" s="264" t="n">
        <f aca="false">S19+S17</f>
        <v>563.427839342477</v>
      </c>
      <c r="T23" s="264" t="n">
        <f aca="false">T19+T17</f>
        <v>3127.8375287077</v>
      </c>
      <c r="U23" s="264" t="n">
        <f aca="false">U19+U17</f>
        <v>3152.10676953805</v>
      </c>
      <c r="V23" s="264" t="n">
        <f aca="false">V19+V17</f>
        <v>3174.88990301723</v>
      </c>
      <c r="W23" s="264" t="n">
        <f aca="false">W19+W17</f>
        <v>3196.07746542419</v>
      </c>
      <c r="X23" s="264" t="n">
        <f aca="false">X19+X17</f>
        <v>3215.55476271119</v>
      </c>
      <c r="Y23" s="264" t="n">
        <f aca="false">Y19+Y17</f>
        <v>3234.76184092345</v>
      </c>
      <c r="Z23" s="264" t="n">
        <f aca="false">Z19+Z17</f>
        <v>3253.69059348874</v>
      </c>
      <c r="AA23" s="264" t="n">
        <f aca="false">AA19+AA17</f>
        <v>3272.33267063764</v>
      </c>
      <c r="AB23" s="264" t="n">
        <f aca="false">AB19+AB17</f>
        <v>3290.67947210766</v>
      </c>
      <c r="AC23" s="264" t="n">
        <f aca="false">AC19+AC17</f>
        <v>3308.72213962844</v>
      </c>
      <c r="AD23" s="264" t="n">
        <f aca="false">AD19+AD17</f>
        <v>3326.45154918149</v>
      </c>
      <c r="AE23" s="264" t="n">
        <f aca="false">AE19+AE17</f>
        <v>3343.85830302779</v>
      </c>
      <c r="AF23" s="264" t="n">
        <f aca="false">AF19+AF17</f>
        <v>3360.93272149613</v>
      </c>
      <c r="AG23" s="264" t="n">
        <f aca="false">AG19+AG17</f>
        <v>852.690518714476</v>
      </c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customFormat="false" ht="12.75" hidden="false" customHeight="false" outlineLevel="0" collapsed="false">
      <c r="A24" s="32" t="s">
        <v>326</v>
      </c>
      <c r="B24" s="271" t="n">
        <v>0</v>
      </c>
      <c r="C24" s="271" t="n">
        <v>0</v>
      </c>
      <c r="D24" s="271" t="n">
        <v>0</v>
      </c>
      <c r="E24" s="271" t="n">
        <v>0</v>
      </c>
      <c r="F24" s="271" t="n">
        <v>0</v>
      </c>
      <c r="G24" s="271" t="n">
        <v>0</v>
      </c>
      <c r="H24" s="271" t="n">
        <v>0</v>
      </c>
      <c r="I24" s="271" t="n">
        <v>0</v>
      </c>
      <c r="J24" s="271" t="n">
        <v>0</v>
      </c>
      <c r="K24" s="271" t="n">
        <v>0</v>
      </c>
      <c r="L24" s="271" t="n">
        <v>0</v>
      </c>
      <c r="M24" s="271" t="n">
        <v>0</v>
      </c>
      <c r="N24" s="271" t="n">
        <v>0</v>
      </c>
      <c r="O24" s="271" t="n">
        <v>0</v>
      </c>
      <c r="P24" s="271" t="n">
        <v>0</v>
      </c>
      <c r="Q24" s="271" t="n">
        <v>0</v>
      </c>
      <c r="R24" s="271" t="n">
        <v>0</v>
      </c>
      <c r="S24" s="271" t="n">
        <v>0</v>
      </c>
      <c r="T24" s="271" t="n">
        <v>0</v>
      </c>
      <c r="U24" s="271" t="n">
        <v>0</v>
      </c>
      <c r="V24" s="271" t="n">
        <v>0</v>
      </c>
      <c r="W24" s="271" t="n">
        <v>0</v>
      </c>
      <c r="X24" s="271" t="n">
        <v>0</v>
      </c>
      <c r="Y24" s="271" t="n">
        <v>0</v>
      </c>
      <c r="Z24" s="271" t="n">
        <v>0</v>
      </c>
      <c r="AA24" s="271" t="n">
        <v>0</v>
      </c>
      <c r="AB24" s="271" t="n">
        <v>0</v>
      </c>
      <c r="AC24" s="271" t="n">
        <v>0</v>
      </c>
      <c r="AD24" s="271" t="n">
        <v>0</v>
      </c>
      <c r="AE24" s="271" t="n">
        <v>0</v>
      </c>
      <c r="AF24" s="271" t="n">
        <v>0</v>
      </c>
      <c r="AG24" s="271" t="n">
        <v>0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customFormat="false" ht="12.75" hidden="false" customHeight="false" outlineLevel="0" collapsed="false">
      <c r="A25" s="32" t="s">
        <v>327</v>
      </c>
      <c r="B25" s="266" t="n">
        <f aca="false">SUM(B23:B24)</f>
        <v>-8721.80606996619</v>
      </c>
      <c r="C25" s="266" t="n">
        <f aca="false">SUM(C23:C24)</f>
        <v>-427.505471003768</v>
      </c>
      <c r="D25" s="266" t="n">
        <f aca="false">SUM(D23:D24)</f>
        <v>802.220182781897</v>
      </c>
      <c r="E25" s="266" t="n">
        <f aca="false">SUM(E23:E24)</f>
        <v>394.783327560021</v>
      </c>
      <c r="F25" s="266" t="n">
        <f aca="false">SUM(F23:F24)</f>
        <v>681.064894138253</v>
      </c>
      <c r="G25" s="266" t="n">
        <f aca="false">SUM(G23:G24)</f>
        <v>436.167823716318</v>
      </c>
      <c r="H25" s="266" t="n">
        <f aca="false">SUM(H23:H24)</f>
        <v>234.580082063733</v>
      </c>
      <c r="I25" s="266" t="n">
        <f aca="false">SUM(I23:I24)</f>
        <v>133.029993929565</v>
      </c>
      <c r="J25" s="266" t="n">
        <f aca="false">SUM(J23:J24)</f>
        <v>58.9570100335757</v>
      </c>
      <c r="K25" s="266" t="n">
        <f aca="false">SUM(K23:K24)</f>
        <v>102.021512992316</v>
      </c>
      <c r="L25" s="266" t="n">
        <f aca="false">SUM(L23:L24)</f>
        <v>23.874735616644</v>
      </c>
      <c r="M25" s="266" t="n">
        <f aca="false">SUM(M23:M24)</f>
        <v>70.1965201554333</v>
      </c>
      <c r="N25" s="266" t="n">
        <f aca="false">SUM(N23:N24)</f>
        <v>-12.2416969834461</v>
      </c>
      <c r="O25" s="266" t="n">
        <f aca="false">SUM(O23:O24)</f>
        <v>37.5670987551767</v>
      </c>
      <c r="P25" s="266" t="n">
        <f aca="false">SUM(P23:P24)</f>
        <v>32.1131838947072</v>
      </c>
      <c r="Q25" s="266" t="n">
        <f aca="false">SUM(Q23:Q24)</f>
        <v>24.0492263308088</v>
      </c>
      <c r="R25" s="266" t="n">
        <f aca="false">SUM(R23:R24)</f>
        <v>-444.544152224115</v>
      </c>
      <c r="S25" s="266" t="n">
        <f aca="false">SUM(S23:S24)</f>
        <v>563.427839342477</v>
      </c>
      <c r="T25" s="266" t="n">
        <f aca="false">SUM(T23:T24)</f>
        <v>3127.8375287077</v>
      </c>
      <c r="U25" s="266" t="n">
        <f aca="false">SUM(U23:U24)</f>
        <v>3152.10676953805</v>
      </c>
      <c r="V25" s="266" t="n">
        <f aca="false">SUM(V23:V24)</f>
        <v>3174.88990301723</v>
      </c>
      <c r="W25" s="266" t="n">
        <f aca="false">SUM(W23:W24)</f>
        <v>3196.07746542419</v>
      </c>
      <c r="X25" s="266" t="n">
        <f aca="false">SUM(X23:X24)</f>
        <v>3215.55476271119</v>
      </c>
      <c r="Y25" s="266" t="n">
        <f aca="false">SUM(Y23:Y24)</f>
        <v>3234.76184092345</v>
      </c>
      <c r="Z25" s="266" t="n">
        <f aca="false">SUM(Z23:Z24)</f>
        <v>3253.69059348874</v>
      </c>
      <c r="AA25" s="266" t="n">
        <f aca="false">SUM(AA23:AA24)</f>
        <v>3272.33267063764</v>
      </c>
      <c r="AB25" s="266" t="n">
        <f aca="false">SUM(AB23:AB24)</f>
        <v>3290.67947210766</v>
      </c>
      <c r="AC25" s="266" t="n">
        <f aca="false">SUM(AC23:AC24)</f>
        <v>3308.72213962844</v>
      </c>
      <c r="AD25" s="266" t="n">
        <f aca="false">SUM(AD23:AD24)</f>
        <v>3326.45154918149</v>
      </c>
      <c r="AE25" s="266" t="n">
        <f aca="false">SUM(AE23:AE24)</f>
        <v>3343.85830302779</v>
      </c>
      <c r="AF25" s="266" t="n">
        <f aca="false">SUM(AF23:AF24)</f>
        <v>3360.93272149613</v>
      </c>
      <c r="AG25" s="266" t="n">
        <f aca="false">SUM(AG23:AG24)</f>
        <v>852.690518714476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customFormat="false" ht="12.75" hidden="false" customHeight="false" outlineLevel="0" collapsed="false">
      <c r="A26" s="32" t="s">
        <v>328</v>
      </c>
      <c r="B26" s="315" t="e">
        <f aca="false">([1]!xirr,B25:AG25,CF!B8:AG8)</f>
        <v>#VALUE!</v>
      </c>
      <c r="C26" s="1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customFormat="false" ht="12.75" hidden="false" customHeight="false" outlineLevel="0" collapsed="false">
      <c r="A27" s="3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customFormat="false" ht="12.75" hidden="false" customHeight="false" outlineLevel="0" collapsed="false">
      <c r="A28" s="293" t="s">
        <v>329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</row>
    <row r="29" customFormat="false" ht="12.75" hidden="false" customHeight="false" outlineLevel="0" collapsed="false">
      <c r="A29" s="32" t="s">
        <v>325</v>
      </c>
      <c r="B29" s="264" t="n">
        <f aca="false">B23</f>
        <v>-8721.80606996619</v>
      </c>
      <c r="C29" s="264" t="n">
        <f aca="false">C23</f>
        <v>-427.505471003768</v>
      </c>
      <c r="D29" s="264" t="n">
        <f aca="false">D23</f>
        <v>802.220182781897</v>
      </c>
      <c r="E29" s="264" t="n">
        <f aca="false">E23</f>
        <v>394.783327560021</v>
      </c>
      <c r="F29" s="264" t="n">
        <f aca="false">F23</f>
        <v>681.064894138253</v>
      </c>
      <c r="G29" s="264" t="n">
        <f aca="false">G23</f>
        <v>436.167823716318</v>
      </c>
      <c r="H29" s="264" t="n">
        <f aca="false">H23</f>
        <v>234.580082063733</v>
      </c>
      <c r="I29" s="264" t="n">
        <f aca="false">I23</f>
        <v>133.029993929565</v>
      </c>
      <c r="J29" s="264" t="n">
        <f aca="false">J23</f>
        <v>58.9570100335757</v>
      </c>
      <c r="K29" s="264" t="n">
        <f aca="false">K23</f>
        <v>102.021512992316</v>
      </c>
      <c r="L29" s="264" t="n">
        <f aca="false">L23</f>
        <v>23.874735616644</v>
      </c>
      <c r="M29" s="264" t="n">
        <f aca="false">M23</f>
        <v>70.1965201554333</v>
      </c>
      <c r="N29" s="264" t="n">
        <f aca="false">N23</f>
        <v>-12.2416969834461</v>
      </c>
      <c r="O29" s="264" t="n">
        <f aca="false">O23</f>
        <v>37.5670987551767</v>
      </c>
      <c r="P29" s="264" t="n">
        <f aca="false">P23</f>
        <v>32.1131838947072</v>
      </c>
      <c r="Q29" s="264" t="n">
        <f aca="false">Q23</f>
        <v>24.0492263308088</v>
      </c>
      <c r="R29" s="264" t="n">
        <f aca="false">R23</f>
        <v>-444.544152224115</v>
      </c>
      <c r="S29" s="264" t="n">
        <f aca="false">S23</f>
        <v>563.427839342477</v>
      </c>
      <c r="T29" s="264" t="n">
        <f aca="false">T23</f>
        <v>3127.8375287077</v>
      </c>
      <c r="U29" s="264" t="n">
        <f aca="false">U23</f>
        <v>3152.10676953805</v>
      </c>
      <c r="V29" s="264" t="n">
        <f aca="false">V23</f>
        <v>3174.88990301723</v>
      </c>
      <c r="W29" s="264" t="n">
        <f aca="false">W23</f>
        <v>3196.07746542419</v>
      </c>
      <c r="X29" s="264" t="n">
        <f aca="false">X23</f>
        <v>3215.55476271119</v>
      </c>
      <c r="Y29" s="264" t="n">
        <f aca="false">Y23</f>
        <v>3234.76184092345</v>
      </c>
      <c r="Z29" s="264" t="n">
        <f aca="false">Z23</f>
        <v>3253.69059348874</v>
      </c>
      <c r="AA29" s="264" t="n">
        <f aca="false">AA23</f>
        <v>3272.33267063764</v>
      </c>
      <c r="AB29" s="264" t="n">
        <f aca="false">AB23</f>
        <v>3290.67947210766</v>
      </c>
      <c r="AC29" s="264" t="n">
        <f aca="false">AC23</f>
        <v>3308.72213962844</v>
      </c>
      <c r="AD29" s="264" t="n">
        <f aca="false">AD23</f>
        <v>3326.45154918149</v>
      </c>
      <c r="AE29" s="264" t="n">
        <f aca="false">AE23</f>
        <v>3343.85830302779</v>
      </c>
      <c r="AF29" s="264" t="n">
        <f aca="false">AF23</f>
        <v>3360.93272149613</v>
      </c>
      <c r="AG29" s="264" t="n">
        <f aca="false">AG23</f>
        <v>852.690518714476</v>
      </c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</row>
    <row r="30" customFormat="false" ht="12.75" hidden="false" customHeight="false" outlineLevel="0" collapsed="false">
      <c r="A30" s="32" t="s">
        <v>72</v>
      </c>
      <c r="B30" s="271" t="n">
        <v>0</v>
      </c>
      <c r="C30" s="271" t="n">
        <v>0</v>
      </c>
      <c r="D30" s="271" t="n">
        <v>0</v>
      </c>
      <c r="E30" s="271" t="n">
        <v>0</v>
      </c>
      <c r="F30" s="271" t="n">
        <v>0</v>
      </c>
      <c r="G30" s="271" t="n">
        <v>0</v>
      </c>
      <c r="H30" s="271" t="n">
        <v>0</v>
      </c>
      <c r="I30" s="271" t="n">
        <v>0</v>
      </c>
      <c r="J30" s="271" t="n">
        <v>0</v>
      </c>
      <c r="K30" s="271" t="n">
        <v>0</v>
      </c>
      <c r="L30" s="271" t="n">
        <v>0</v>
      </c>
      <c r="M30" s="271" t="n">
        <v>0</v>
      </c>
      <c r="N30" s="271" t="n">
        <v>0</v>
      </c>
      <c r="O30" s="271" t="n">
        <v>0</v>
      </c>
      <c r="P30" s="271" t="n">
        <v>0</v>
      </c>
      <c r="Q30" s="271" t="n">
        <v>0</v>
      </c>
      <c r="R30" s="271" t="n">
        <v>0</v>
      </c>
      <c r="S30" s="271" t="n">
        <v>0</v>
      </c>
      <c r="T30" s="271" t="n">
        <v>0</v>
      </c>
      <c r="U30" s="271" t="n">
        <v>0</v>
      </c>
      <c r="V30" s="271" t="n">
        <v>0</v>
      </c>
      <c r="W30" s="271" t="n">
        <v>0</v>
      </c>
      <c r="X30" s="316" t="n">
        <v>0</v>
      </c>
      <c r="Y30" s="271" t="n">
        <v>0</v>
      </c>
      <c r="Z30" s="316" t="n">
        <v>0</v>
      </c>
      <c r="AA30" s="271" t="n">
        <v>0</v>
      </c>
      <c r="AB30" s="316" t="n">
        <v>0</v>
      </c>
      <c r="AC30" s="271" t="n">
        <v>0</v>
      </c>
      <c r="AD30" s="316" t="n">
        <v>0</v>
      </c>
      <c r="AE30" s="271" t="n">
        <v>0</v>
      </c>
      <c r="AF30" s="316" t="n">
        <v>0</v>
      </c>
      <c r="AG30" s="316" t="n">
        <f aca="false">IF(Assumptions!$X$13=1,Assumptions!$H$22*IS!$AF$33*Assumptions!$G$47,IF(Assumptions!$X$13=2,Assumptions!$H$23*Assumptions!$C$58*Assumptions!$G$47,IF(Assumptions!$X$13=3,Assumptions!$N$12*Assumptions!$H$24*Assumptions!$G$47,0)))</f>
        <v>27799.2780934337</v>
      </c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</row>
    <row r="31" customFormat="false" ht="12.75" hidden="false" customHeight="false" outlineLevel="0" collapsed="false">
      <c r="A31" s="32" t="s">
        <v>330</v>
      </c>
      <c r="B31" s="271" t="n">
        <v>0</v>
      </c>
      <c r="C31" s="271" t="n">
        <v>0</v>
      </c>
      <c r="D31" s="271" t="n">
        <v>0</v>
      </c>
      <c r="E31" s="271" t="n">
        <v>0</v>
      </c>
      <c r="F31" s="271" t="n">
        <v>0</v>
      </c>
      <c r="G31" s="271" t="n">
        <v>0</v>
      </c>
      <c r="H31" s="271" t="n">
        <v>0</v>
      </c>
      <c r="I31" s="271" t="n">
        <v>0</v>
      </c>
      <c r="J31" s="271" t="n">
        <v>0</v>
      </c>
      <c r="K31" s="271" t="n">
        <v>0</v>
      </c>
      <c r="L31" s="271" t="n">
        <v>0</v>
      </c>
      <c r="M31" s="271" t="n">
        <v>0</v>
      </c>
      <c r="N31" s="271" t="n">
        <v>0</v>
      </c>
      <c r="O31" s="271" t="n">
        <v>0</v>
      </c>
      <c r="P31" s="271" t="n">
        <v>0</v>
      </c>
      <c r="Q31" s="271" t="n">
        <v>0</v>
      </c>
      <c r="R31" s="271" t="n">
        <v>0</v>
      </c>
      <c r="S31" s="271" t="n">
        <v>0</v>
      </c>
      <c r="T31" s="271" t="n">
        <v>0</v>
      </c>
      <c r="U31" s="271" t="n">
        <v>0</v>
      </c>
      <c r="V31" s="271" t="n">
        <v>0</v>
      </c>
      <c r="W31" s="271" t="n">
        <v>0</v>
      </c>
      <c r="X31" s="317" t="n">
        <v>0</v>
      </c>
      <c r="Y31" s="271" t="n">
        <v>0</v>
      </c>
      <c r="Z31" s="317" t="n">
        <v>0</v>
      </c>
      <c r="AA31" s="271" t="n">
        <v>0</v>
      </c>
      <c r="AB31" s="317" t="n">
        <v>0</v>
      </c>
      <c r="AC31" s="271" t="n">
        <v>0</v>
      </c>
      <c r="AD31" s="317" t="n">
        <v>0</v>
      </c>
      <c r="AE31" s="271" t="n">
        <v>0</v>
      </c>
      <c r="AF31" s="317" t="n">
        <v>0</v>
      </c>
      <c r="AG31" s="271" t="n">
        <v>0</v>
      </c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</row>
    <row r="32" customFormat="false" ht="12.75" hidden="false" customHeight="false" outlineLevel="0" collapsed="false">
      <c r="A32" s="32" t="s">
        <v>327</v>
      </c>
      <c r="B32" s="264" t="n">
        <f aca="false">SUM(B29:B31)</f>
        <v>-8721.80606996619</v>
      </c>
      <c r="C32" s="264" t="n">
        <f aca="false">SUM(C29:C31)</f>
        <v>-427.505471003768</v>
      </c>
      <c r="D32" s="264" t="n">
        <f aca="false">SUM(D29:D31)</f>
        <v>802.220182781897</v>
      </c>
      <c r="E32" s="264" t="n">
        <f aca="false">SUM(E29:E31)</f>
        <v>394.783327560021</v>
      </c>
      <c r="F32" s="264" t="n">
        <f aca="false">SUM(F29:F31)</f>
        <v>681.064894138253</v>
      </c>
      <c r="G32" s="264" t="n">
        <f aca="false">SUM(G29:G31)</f>
        <v>436.167823716318</v>
      </c>
      <c r="H32" s="264" t="n">
        <f aca="false">SUM(H29:H31)</f>
        <v>234.580082063733</v>
      </c>
      <c r="I32" s="264" t="n">
        <f aca="false">SUM(I29:I31)</f>
        <v>133.029993929565</v>
      </c>
      <c r="J32" s="264" t="n">
        <f aca="false">SUM(J29:J31)</f>
        <v>58.9570100335757</v>
      </c>
      <c r="K32" s="264" t="n">
        <f aca="false">SUM(K29:K31)</f>
        <v>102.021512992316</v>
      </c>
      <c r="L32" s="264" t="n">
        <f aca="false">SUM(L29:L31)</f>
        <v>23.874735616644</v>
      </c>
      <c r="M32" s="264" t="n">
        <f aca="false">SUM(M29:M31)</f>
        <v>70.1965201554333</v>
      </c>
      <c r="N32" s="264" t="n">
        <f aca="false">SUM(N29:N31)</f>
        <v>-12.2416969834461</v>
      </c>
      <c r="O32" s="264" t="n">
        <f aca="false">SUM(O29:O31)</f>
        <v>37.5670987551767</v>
      </c>
      <c r="P32" s="264" t="n">
        <f aca="false">SUM(P29:P31)</f>
        <v>32.1131838947072</v>
      </c>
      <c r="Q32" s="264" t="n">
        <f aca="false">SUM(Q29:Q31)</f>
        <v>24.0492263308088</v>
      </c>
      <c r="R32" s="264" t="n">
        <f aca="false">SUM(R29:R31)</f>
        <v>-444.544152224115</v>
      </c>
      <c r="S32" s="264" t="n">
        <f aca="false">SUM(S29:S31)</f>
        <v>563.427839342477</v>
      </c>
      <c r="T32" s="264" t="n">
        <f aca="false">SUM(T29:T31)</f>
        <v>3127.8375287077</v>
      </c>
      <c r="U32" s="264" t="n">
        <f aca="false">SUM(U29:U31)</f>
        <v>3152.10676953805</v>
      </c>
      <c r="V32" s="264" t="n">
        <f aca="false">SUM(V29:V31)</f>
        <v>3174.88990301723</v>
      </c>
      <c r="W32" s="264" t="n">
        <f aca="false">SUM(W29:W31)</f>
        <v>3196.07746542419</v>
      </c>
      <c r="X32" s="264" t="n">
        <f aca="false">SUM(X29:X31)</f>
        <v>3215.55476271119</v>
      </c>
      <c r="Y32" s="264" t="n">
        <f aca="false">SUM(Y29:Y31)</f>
        <v>3234.76184092345</v>
      </c>
      <c r="Z32" s="264" t="n">
        <f aca="false">SUM(Z29:Z31)</f>
        <v>3253.69059348874</v>
      </c>
      <c r="AA32" s="264" t="n">
        <f aca="false">SUM(AA29:AA31)</f>
        <v>3272.33267063764</v>
      </c>
      <c r="AB32" s="264" t="n">
        <f aca="false">SUM(AB29:AB31)</f>
        <v>3290.67947210766</v>
      </c>
      <c r="AC32" s="264" t="n">
        <f aca="false">SUM(AC29:AC31)</f>
        <v>3308.72213962844</v>
      </c>
      <c r="AD32" s="264" t="n">
        <f aca="false">SUM(AD29:AD31)</f>
        <v>3326.45154918149</v>
      </c>
      <c r="AE32" s="264" t="n">
        <f aca="false">SUM(AE29:AE31)</f>
        <v>3343.85830302779</v>
      </c>
      <c r="AF32" s="264" t="n">
        <f aca="false">SUM(AF29:AF31)</f>
        <v>3360.93272149613</v>
      </c>
      <c r="AG32" s="264" t="n">
        <f aca="false">SUM(AG29:AG31)</f>
        <v>28651.9686121482</v>
      </c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</row>
    <row r="33" customFormat="false" ht="12.75" hidden="false" customHeight="false" outlineLevel="0" collapsed="false">
      <c r="A33" s="32" t="s">
        <v>328</v>
      </c>
      <c r="B33" s="315" t="e">
        <f aca="false">([1]!xirr,B32:AG32,CF!B8:AG8)</f>
        <v>#VALUE!</v>
      </c>
      <c r="C33" s="1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"/>
      <c r="Y33" s="155"/>
      <c r="Z33" s="1"/>
      <c r="AA33" s="155"/>
      <c r="AB33" s="1"/>
      <c r="AC33" s="155"/>
      <c r="AD33" s="1"/>
      <c r="AE33" s="155"/>
      <c r="AF33" s="1"/>
      <c r="AG33" s="155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customFormat="false" ht="12.75" hidden="false" customHeight="false" outlineLevel="0" collapsed="false">
      <c r="A34" s="3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customFormat="false" ht="12.75" hidden="false" customHeight="false" outlineLevel="0" collapsed="false">
      <c r="A35" s="3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customFormat="false" ht="12.75" hidden="false" customHeight="false" outlineLevel="0" collapsed="false">
      <c r="A36" s="3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40"/>
      <c r="Z36" s="140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customFormat="false" ht="12.75" hidden="false" customHeight="false" outlineLevel="0" collapsed="false">
      <c r="A37" s="3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40"/>
      <c r="Z37" s="140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customFormat="false" ht="12.75" hidden="false" customHeight="false" outlineLevel="0" collapsed="false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40"/>
      <c r="Z38" s="140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customFormat="false" ht="12.75" hidden="false" customHeight="false" outlineLevel="0" collapsed="false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40"/>
      <c r="Z39" s="140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customFormat="false" ht="12.75" hidden="false" customHeight="false" outlineLevel="0" collapsed="false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40"/>
      <c r="Z40" s="140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customFormat="false" ht="12.75" hidden="false" customHeight="false" outlineLevel="0" collapsed="false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40"/>
      <c r="Z41" s="14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40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318"/>
    </row>
    <row r="2" customFormat="false" ht="18.75" hidden="false" customHeight="false" outlineLevel="0" collapsed="false">
      <c r="A2" s="318"/>
    </row>
    <row r="4" customFormat="false" ht="15.75" hidden="false" customHeight="false" outlineLevel="0" collapsed="false">
      <c r="A4" s="319" t="s">
        <v>331</v>
      </c>
      <c r="B4" s="319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2.75" hidden="false" customHeight="false" outlineLevel="0" collapsed="false">
      <c r="A5" s="111" t="s">
        <v>332</v>
      </c>
      <c r="B5" s="320" t="n">
        <f aca="false">Assumptions!G36</f>
        <v>0.0683</v>
      </c>
      <c r="G5" s="321"/>
      <c r="H5" s="3"/>
      <c r="I5" s="0"/>
      <c r="J5" s="0"/>
      <c r="K5" s="0"/>
      <c r="L5" s="0"/>
      <c r="M5" s="0"/>
      <c r="N5" s="0"/>
      <c r="O5" s="0"/>
      <c r="P5" s="0"/>
      <c r="Q5" s="0"/>
      <c r="R5" s="0"/>
      <c r="S5" s="3"/>
      <c r="T5" s="3"/>
      <c r="U5" s="3"/>
      <c r="V5" s="3"/>
      <c r="W5" s="3"/>
    </row>
    <row r="6" customFormat="false" ht="12.75" hidden="false" customHeight="false" outlineLevel="0" collapsed="false">
      <c r="A6" s="111" t="s">
        <v>333</v>
      </c>
      <c r="B6" s="320" t="n">
        <f aca="false">Assumptions!G37</f>
        <v>0.01</v>
      </c>
      <c r="G6" s="3"/>
      <c r="H6" s="3"/>
      <c r="I6" s="0"/>
      <c r="J6" s="0"/>
      <c r="K6" s="0"/>
      <c r="L6" s="0"/>
      <c r="M6" s="0"/>
      <c r="N6" s="0"/>
      <c r="O6" s="0"/>
      <c r="P6" s="0"/>
      <c r="Q6" s="0"/>
      <c r="R6" s="0"/>
      <c r="S6" s="3"/>
      <c r="T6" s="3"/>
      <c r="U6" s="3"/>
      <c r="V6" s="3"/>
      <c r="W6" s="3"/>
    </row>
    <row r="7" customFormat="false" ht="12.75" hidden="false" customHeight="false" outlineLevel="0" collapsed="false">
      <c r="A7" s="114" t="s">
        <v>334</v>
      </c>
      <c r="B7" s="322" t="n">
        <f aca="false">B6+B5</f>
        <v>0.0783</v>
      </c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2.75" hidden="false" customHeight="false" outlineLevel="0" collapsed="false">
      <c r="A8" s="323" t="s">
        <v>335</v>
      </c>
      <c r="B8" s="324" t="n">
        <f aca="false">Assumptions!G32</f>
        <v>17</v>
      </c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2.75" hidden="false" customHeight="false" outlineLevel="0" collapsed="false">
      <c r="A9" s="325" t="s">
        <v>336</v>
      </c>
      <c r="B9" s="326" t="n">
        <f aca="false">B77</f>
        <v>10.5650093547675</v>
      </c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2.75" hidden="false" customHeight="false" outlineLevel="0" collapsed="false">
      <c r="A10" s="327" t="s">
        <v>337</v>
      </c>
      <c r="B10" s="328" t="n">
        <f aca="false">B31</f>
        <v>61666.6025948104</v>
      </c>
      <c r="G10" s="3"/>
      <c r="H10" s="3"/>
      <c r="I10" s="0"/>
      <c r="J10" s="0"/>
      <c r="K10" s="0"/>
      <c r="L10" s="0"/>
      <c r="M10" s="0"/>
      <c r="N10" s="0"/>
      <c r="O10" s="0"/>
      <c r="P10" s="0"/>
      <c r="Q10" s="0"/>
      <c r="R10" s="0"/>
      <c r="S10" s="3"/>
      <c r="T10" s="3"/>
    </row>
    <row r="11" customFormat="false" ht="12.75" hidden="false" customHeight="false" outlineLevel="0" collapsed="false">
      <c r="A11" s="329"/>
      <c r="C11" s="330"/>
      <c r="D11" s="331"/>
      <c r="E11" s="331"/>
      <c r="F11" s="332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2.75" hidden="false" customHeight="false" outlineLevel="0" collapsed="false">
      <c r="A12" s="329"/>
      <c r="C12" s="330"/>
      <c r="D12" s="331"/>
      <c r="E12" s="331"/>
      <c r="F12" s="332"/>
      <c r="I12" s="330"/>
      <c r="J12" s="330"/>
      <c r="K12" s="330"/>
      <c r="L12" s="332"/>
      <c r="O12" s="330"/>
      <c r="P12" s="330"/>
      <c r="Q12" s="330"/>
      <c r="R12" s="332"/>
    </row>
    <row r="13" customFormat="false" ht="12.75" hidden="false" customHeight="false" outlineLevel="0" collapsed="false">
      <c r="A13" s="329"/>
      <c r="C13" s="330"/>
      <c r="D13" s="331"/>
      <c r="E13" s="331"/>
      <c r="I13" s="330"/>
      <c r="J13" s="330"/>
      <c r="K13" s="330"/>
      <c r="L13" s="332"/>
      <c r="O13" s="330"/>
      <c r="P13" s="330"/>
      <c r="Q13" s="330"/>
    </row>
    <row r="14" customFormat="false" ht="18.75" hidden="false" customHeight="false" outlineLevel="0" collapsed="false">
      <c r="A14" s="333" t="str">
        <f aca="false">Assumptions!A3</f>
        <v>PROJECT NAME:</v>
      </c>
      <c r="C14" s="330"/>
      <c r="D14" s="331"/>
      <c r="E14" s="331"/>
      <c r="F14" s="332"/>
      <c r="G14" s="3"/>
      <c r="H14" s="3"/>
      <c r="I14" s="261"/>
      <c r="J14" s="261"/>
      <c r="K14" s="261"/>
      <c r="L14" s="332"/>
      <c r="M14" s="3"/>
      <c r="N14" s="3"/>
      <c r="O14" s="261"/>
      <c r="P14" s="261"/>
      <c r="Q14" s="261"/>
      <c r="R14" s="33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329"/>
      <c r="C15" s="330"/>
      <c r="D15" s="331"/>
      <c r="E15" s="331"/>
      <c r="F15" s="332"/>
      <c r="G15" s="3"/>
      <c r="H15" s="3"/>
      <c r="I15" s="261"/>
      <c r="J15" s="261"/>
      <c r="K15" s="261"/>
      <c r="L15" s="332"/>
      <c r="M15" s="3"/>
      <c r="N15" s="3"/>
      <c r="O15" s="261"/>
      <c r="P15" s="261"/>
      <c r="Q15" s="261"/>
      <c r="R15" s="332"/>
      <c r="S15" s="3"/>
      <c r="T15" s="3"/>
      <c r="U15" s="3"/>
      <c r="V15" s="3"/>
      <c r="W15" s="3"/>
      <c r="X15" s="3"/>
    </row>
    <row r="16" customFormat="false" ht="18.75" hidden="false" customHeight="false" outlineLevel="0" collapsed="false">
      <c r="A16" s="258" t="s">
        <v>338</v>
      </c>
      <c r="C16" s="330"/>
      <c r="D16" s="331"/>
      <c r="E16" s="331"/>
      <c r="F16" s="332"/>
      <c r="I16" s="330"/>
      <c r="J16" s="330"/>
      <c r="K16" s="330"/>
      <c r="L16" s="332"/>
      <c r="O16" s="330"/>
      <c r="P16" s="330"/>
      <c r="Q16" s="330"/>
      <c r="R16" s="332"/>
    </row>
    <row r="17" customFormat="false" ht="12.75" hidden="false" customHeight="false" outlineLevel="0" collapsed="false">
      <c r="A17" s="26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3.5" hidden="false" customHeight="false" outlineLevel="0" collapsed="false">
      <c r="A18" s="335"/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313"/>
      <c r="CM18" s="313"/>
      <c r="CN18" s="313"/>
      <c r="CO18" s="313"/>
      <c r="CP18" s="313"/>
      <c r="CQ18" s="313"/>
      <c r="CR18" s="313"/>
      <c r="CS18" s="313"/>
      <c r="CT18" s="313"/>
      <c r="CU18" s="313"/>
      <c r="CV18" s="313"/>
      <c r="CW18" s="313"/>
      <c r="CX18" s="313"/>
      <c r="CY18" s="313"/>
      <c r="CZ18" s="313"/>
      <c r="DA18" s="313"/>
      <c r="DB18" s="313"/>
      <c r="DC18" s="313"/>
      <c r="DD18" s="313"/>
      <c r="DE18" s="313"/>
      <c r="DF18" s="313"/>
      <c r="DG18" s="313"/>
      <c r="DH18" s="313"/>
      <c r="DI18" s="313"/>
      <c r="DJ18" s="313"/>
      <c r="DK18" s="313"/>
      <c r="DL18" s="313"/>
      <c r="DM18" s="313"/>
      <c r="DN18" s="313"/>
      <c r="DO18" s="313"/>
      <c r="DP18" s="313"/>
      <c r="DQ18" s="313"/>
      <c r="DR18" s="313"/>
      <c r="DS18" s="313"/>
      <c r="DT18" s="313"/>
      <c r="DU18" s="313"/>
      <c r="DV18" s="313"/>
      <c r="DW18" s="313"/>
      <c r="DX18" s="313"/>
      <c r="DY18" s="313"/>
      <c r="DZ18" s="313"/>
      <c r="EA18" s="313"/>
      <c r="EB18" s="313"/>
      <c r="EC18" s="313"/>
      <c r="ED18" s="313"/>
      <c r="EE18" s="313"/>
      <c r="EF18" s="313"/>
      <c r="EG18" s="313"/>
      <c r="EH18" s="313"/>
      <c r="EI18" s="313"/>
      <c r="EJ18" s="313"/>
      <c r="EK18" s="313"/>
      <c r="EL18" s="313"/>
      <c r="EM18" s="313"/>
      <c r="EN18" s="313"/>
      <c r="EO18" s="313"/>
      <c r="EP18" s="313"/>
      <c r="EQ18" s="313"/>
      <c r="ER18" s="313"/>
      <c r="ES18" s="313"/>
      <c r="ET18" s="313"/>
      <c r="EU18" s="313"/>
      <c r="EV18" s="313"/>
      <c r="EW18" s="313"/>
      <c r="EX18" s="313"/>
      <c r="EY18" s="313"/>
      <c r="EZ18" s="313"/>
      <c r="FA18" s="313"/>
      <c r="FB18" s="313"/>
      <c r="FC18" s="313"/>
      <c r="FD18" s="313"/>
      <c r="FE18" s="313"/>
      <c r="FF18" s="313"/>
      <c r="FG18" s="313"/>
      <c r="FH18" s="313"/>
      <c r="FI18" s="313"/>
      <c r="FJ18" s="313"/>
      <c r="FK18" s="313"/>
      <c r="FL18" s="313"/>
      <c r="FM18" s="313"/>
      <c r="FN18" s="313"/>
      <c r="FO18" s="313"/>
      <c r="FP18" s="313"/>
      <c r="FQ18" s="313"/>
      <c r="FR18" s="313"/>
      <c r="FS18" s="313"/>
      <c r="FT18" s="313"/>
      <c r="FU18" s="313"/>
      <c r="FV18" s="313"/>
      <c r="FW18" s="313"/>
      <c r="FX18" s="313"/>
      <c r="FY18" s="313"/>
      <c r="FZ18" s="313"/>
      <c r="GA18" s="313"/>
      <c r="GB18" s="313"/>
      <c r="GC18" s="313"/>
      <c r="GD18" s="313"/>
      <c r="GE18" s="313"/>
      <c r="GF18" s="313"/>
      <c r="GG18" s="313"/>
      <c r="GH18" s="313"/>
      <c r="GI18" s="313"/>
      <c r="GJ18" s="313"/>
      <c r="GK18" s="313"/>
      <c r="GL18" s="313"/>
      <c r="GM18" s="313"/>
      <c r="GN18" s="313"/>
      <c r="GO18" s="313"/>
      <c r="GP18" s="313"/>
      <c r="GQ18" s="313"/>
      <c r="GR18" s="313"/>
      <c r="GS18" s="313"/>
      <c r="GT18" s="313"/>
      <c r="GU18" s="313"/>
      <c r="GV18" s="313"/>
      <c r="GW18" s="313"/>
      <c r="GX18" s="313"/>
      <c r="GY18" s="313"/>
      <c r="GZ18" s="313"/>
      <c r="HA18" s="313"/>
      <c r="HB18" s="313"/>
      <c r="HC18" s="313"/>
      <c r="HD18" s="313"/>
      <c r="HE18" s="313"/>
      <c r="HF18" s="313"/>
      <c r="HG18" s="313"/>
      <c r="HH18" s="313"/>
      <c r="HI18" s="313"/>
      <c r="HJ18" s="313"/>
      <c r="HK18" s="313"/>
      <c r="HL18" s="313"/>
      <c r="HM18" s="313"/>
      <c r="HN18" s="313"/>
      <c r="HO18" s="313"/>
      <c r="HP18" s="313"/>
      <c r="HQ18" s="313"/>
      <c r="HR18" s="313"/>
      <c r="HS18" s="313"/>
      <c r="HT18" s="313"/>
      <c r="HU18" s="313"/>
      <c r="HV18" s="313"/>
      <c r="HW18" s="313"/>
      <c r="HX18" s="313"/>
      <c r="HY18" s="313"/>
      <c r="HZ18" s="313"/>
      <c r="IA18" s="313"/>
      <c r="IB18" s="313"/>
      <c r="IC18" s="313"/>
      <c r="ID18" s="313"/>
      <c r="IE18" s="313"/>
      <c r="IF18" s="313"/>
      <c r="IG18" s="313"/>
      <c r="IH18" s="313"/>
      <c r="II18" s="313"/>
      <c r="IJ18" s="313"/>
      <c r="IK18" s="313"/>
      <c r="IL18" s="313"/>
      <c r="IM18" s="313"/>
      <c r="IN18" s="313"/>
      <c r="IO18" s="313"/>
      <c r="IP18" s="313"/>
      <c r="IQ18" s="313"/>
      <c r="IR18" s="313"/>
      <c r="IS18" s="313"/>
      <c r="IT18" s="313"/>
      <c r="IU18" s="313"/>
      <c r="IV18" s="313"/>
      <c r="IW18" s="313"/>
    </row>
    <row r="19" customFormat="false" ht="13.5" hidden="false" customHeight="false" outlineLevel="0" collapsed="false">
      <c r="A19" s="259" t="s">
        <v>259</v>
      </c>
      <c r="B19" s="337" t="n">
        <f aca="false">IS!C7</f>
        <v>2001</v>
      </c>
      <c r="C19" s="337" t="n">
        <f aca="false">B19+1</f>
        <v>2002</v>
      </c>
      <c r="D19" s="337" t="n">
        <f aca="false">C19+1</f>
        <v>2003</v>
      </c>
      <c r="E19" s="337" t="n">
        <f aca="false">D19+1</f>
        <v>2004</v>
      </c>
      <c r="F19" s="337" t="n">
        <f aca="false">E19+1</f>
        <v>2005</v>
      </c>
      <c r="G19" s="337" t="n">
        <f aca="false">F19+1</f>
        <v>2006</v>
      </c>
      <c r="H19" s="337" t="n">
        <f aca="false">G19+1</f>
        <v>2007</v>
      </c>
      <c r="I19" s="337" t="n">
        <f aca="false">H19+1</f>
        <v>2008</v>
      </c>
      <c r="J19" s="337" t="n">
        <f aca="false">I19+1</f>
        <v>2009</v>
      </c>
      <c r="K19" s="337" t="n">
        <f aca="false">J19+1</f>
        <v>2010</v>
      </c>
      <c r="L19" s="337" t="n">
        <f aca="false">K19+1</f>
        <v>2011</v>
      </c>
      <c r="M19" s="337" t="n">
        <f aca="false">L19+1</f>
        <v>2012</v>
      </c>
      <c r="N19" s="337" t="n">
        <f aca="false">M19+1</f>
        <v>2013</v>
      </c>
      <c r="O19" s="337" t="n">
        <f aca="false">N19+1</f>
        <v>2014</v>
      </c>
      <c r="P19" s="337" t="n">
        <f aca="false">O19+1</f>
        <v>2015</v>
      </c>
      <c r="Q19" s="337" t="n">
        <f aca="false">P19+1</f>
        <v>2016</v>
      </c>
      <c r="R19" s="337" t="n">
        <f aca="false">Q19+1</f>
        <v>2017</v>
      </c>
      <c r="S19" s="337" t="n">
        <f aca="false">R19+1</f>
        <v>2018</v>
      </c>
      <c r="T19" s="337" t="n">
        <f aca="false">S19+1</f>
        <v>2019</v>
      </c>
      <c r="U19" s="337" t="n">
        <f aca="false">T19+1</f>
        <v>2020</v>
      </c>
      <c r="V19" s="337" t="n">
        <f aca="false">U19+1</f>
        <v>2021</v>
      </c>
      <c r="W19" s="337" t="n">
        <f aca="false">V19+1</f>
        <v>2022</v>
      </c>
      <c r="X19" s="337" t="n">
        <f aca="false">W19+1</f>
        <v>2023</v>
      </c>
      <c r="Y19" s="337" t="n">
        <f aca="false">X19+1</f>
        <v>2024</v>
      </c>
      <c r="Z19" s="337" t="n">
        <f aca="false">Y19+1</f>
        <v>2025</v>
      </c>
      <c r="AA19" s="337" t="n">
        <f aca="false">Z19+1</f>
        <v>2026</v>
      </c>
      <c r="AB19" s="337" t="n">
        <f aca="false">AA19+1</f>
        <v>2027</v>
      </c>
      <c r="AC19" s="337" t="n">
        <f aca="false">AB19+1</f>
        <v>2028</v>
      </c>
      <c r="AD19" s="337" t="n">
        <f aca="false">AC19+1</f>
        <v>2029</v>
      </c>
      <c r="AE19" s="337" t="n">
        <f aca="false">AD19+1</f>
        <v>2030</v>
      </c>
      <c r="AF19" s="337" t="n">
        <f aca="false">AE19+1</f>
        <v>2031</v>
      </c>
      <c r="AG19" s="279"/>
      <c r="AH19" s="279"/>
    </row>
    <row r="20" customFormat="false" ht="12.75" hidden="false" customHeight="false" outlineLevel="0" collapsed="false">
      <c r="A20" s="338"/>
      <c r="B20" s="339" t="n">
        <f aca="false">CF!C8</f>
        <v>37255.5</v>
      </c>
      <c r="C20" s="339" t="n">
        <f aca="false">CF!D8</f>
        <v>37620.75</v>
      </c>
      <c r="D20" s="339" t="n">
        <f aca="false">CF!E8</f>
        <v>37986</v>
      </c>
      <c r="E20" s="339" t="n">
        <f aca="false">CF!F8</f>
        <v>38351.25</v>
      </c>
      <c r="F20" s="339" t="n">
        <f aca="false">CF!G8</f>
        <v>38716.5</v>
      </c>
      <c r="G20" s="339" t="n">
        <f aca="false">CF!H8</f>
        <v>39081.75</v>
      </c>
      <c r="H20" s="339" t="n">
        <f aca="false">CF!I8</f>
        <v>39447</v>
      </c>
      <c r="I20" s="339" t="n">
        <f aca="false">CF!J8</f>
        <v>39812.25</v>
      </c>
      <c r="J20" s="339" t="n">
        <f aca="false">CF!K8</f>
        <v>40177.5</v>
      </c>
      <c r="K20" s="339" t="n">
        <f aca="false">CF!L8</f>
        <v>40542.75</v>
      </c>
      <c r="L20" s="339" t="n">
        <f aca="false">CF!M8</f>
        <v>40908</v>
      </c>
      <c r="M20" s="339" t="n">
        <f aca="false">CF!N8</f>
        <v>41273.25</v>
      </c>
      <c r="N20" s="339" t="n">
        <f aca="false">CF!O8</f>
        <v>41638.5</v>
      </c>
      <c r="O20" s="339" t="n">
        <f aca="false">CF!P8</f>
        <v>42003.75</v>
      </c>
      <c r="P20" s="339" t="n">
        <f aca="false">CF!Q8</f>
        <v>42369</v>
      </c>
      <c r="Q20" s="339" t="n">
        <f aca="false">CF!R8</f>
        <v>42734.25</v>
      </c>
      <c r="R20" s="339" t="n">
        <f aca="false">CF!S8</f>
        <v>43099.5</v>
      </c>
      <c r="S20" s="339" t="n">
        <f aca="false">CF!T8</f>
        <v>43464.75</v>
      </c>
      <c r="T20" s="339" t="n">
        <f aca="false">CF!U8</f>
        <v>43830</v>
      </c>
      <c r="U20" s="339" t="n">
        <f aca="false">CF!V8</f>
        <v>44195.25</v>
      </c>
      <c r="V20" s="339" t="n">
        <f aca="false">CF!W8</f>
        <v>44560.5</v>
      </c>
      <c r="W20" s="339" t="n">
        <f aca="false">CF!X8</f>
        <v>44925.75</v>
      </c>
      <c r="X20" s="339" t="n">
        <f aca="false">CF!Y8</f>
        <v>45291</v>
      </c>
      <c r="Y20" s="339" t="n">
        <f aca="false">CF!Z8</f>
        <v>45656.25</v>
      </c>
      <c r="Z20" s="339" t="n">
        <f aca="false">CF!AA8</f>
        <v>46021.5</v>
      </c>
      <c r="AA20" s="339" t="n">
        <f aca="false">CF!AB8</f>
        <v>46386.75</v>
      </c>
      <c r="AB20" s="339" t="n">
        <f aca="false">CF!AC8</f>
        <v>46752</v>
      </c>
      <c r="AC20" s="339" t="n">
        <f aca="false">CF!AD8</f>
        <v>47117.25</v>
      </c>
      <c r="AD20" s="339" t="n">
        <f aca="false">CF!AE8</f>
        <v>47482.5</v>
      </c>
      <c r="AE20" s="339" t="n">
        <f aca="false">CF!AF8</f>
        <v>47847.75</v>
      </c>
      <c r="AF20" s="339" t="n">
        <f aca="false">CF!AG8</f>
        <v>48213</v>
      </c>
      <c r="AH20" s="279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340"/>
      <c r="BS20" s="340"/>
      <c r="BT20" s="340"/>
      <c r="BU20" s="340"/>
      <c r="BV20" s="340"/>
      <c r="BW20" s="340"/>
      <c r="BX20" s="340"/>
      <c r="BY20" s="340"/>
      <c r="BZ20" s="340"/>
      <c r="CA20" s="340"/>
      <c r="CB20" s="340"/>
      <c r="CC20" s="340"/>
      <c r="CD20" s="340"/>
      <c r="CE20" s="340"/>
      <c r="CF20" s="340"/>
      <c r="CG20" s="340"/>
      <c r="CH20" s="340"/>
      <c r="CI20" s="340"/>
      <c r="CJ20" s="340"/>
      <c r="CK20" s="340"/>
      <c r="CL20" s="340"/>
      <c r="CM20" s="340"/>
      <c r="CN20" s="340"/>
      <c r="CO20" s="340"/>
      <c r="CP20" s="340"/>
      <c r="CQ20" s="340"/>
      <c r="CR20" s="340"/>
      <c r="CS20" s="340"/>
      <c r="CT20" s="340"/>
      <c r="CU20" s="340"/>
      <c r="CV20" s="340"/>
      <c r="CW20" s="340"/>
      <c r="CX20" s="340"/>
      <c r="CY20" s="340"/>
      <c r="CZ20" s="340"/>
      <c r="DA20" s="340"/>
      <c r="DB20" s="340"/>
      <c r="DC20" s="340"/>
      <c r="DD20" s="340"/>
      <c r="DE20" s="340"/>
      <c r="DF20" s="340"/>
      <c r="DG20" s="340"/>
      <c r="DH20" s="340"/>
      <c r="DI20" s="340"/>
      <c r="DJ20" s="340"/>
      <c r="DK20" s="340"/>
      <c r="DL20" s="340"/>
      <c r="DM20" s="340"/>
      <c r="DN20" s="340"/>
      <c r="DO20" s="340"/>
      <c r="DP20" s="340"/>
      <c r="DQ20" s="340"/>
      <c r="DR20" s="340"/>
      <c r="DS20" s="340"/>
      <c r="DT20" s="340"/>
      <c r="DU20" s="340"/>
      <c r="DV20" s="340"/>
      <c r="DW20" s="340"/>
      <c r="DX20" s="340"/>
      <c r="DY20" s="340"/>
      <c r="DZ20" s="340"/>
      <c r="EA20" s="340"/>
      <c r="EB20" s="340"/>
      <c r="EC20" s="340"/>
      <c r="ED20" s="340"/>
      <c r="EE20" s="340"/>
      <c r="EF20" s="340"/>
      <c r="EG20" s="340"/>
      <c r="EH20" s="340"/>
      <c r="EI20" s="340"/>
      <c r="EJ20" s="340"/>
      <c r="EK20" s="340"/>
      <c r="EL20" s="340"/>
      <c r="EM20" s="340"/>
      <c r="EN20" s="340"/>
      <c r="EO20" s="340"/>
      <c r="EP20" s="340"/>
      <c r="EQ20" s="340"/>
      <c r="ER20" s="340"/>
      <c r="ES20" s="340"/>
      <c r="ET20" s="340"/>
      <c r="EU20" s="340"/>
      <c r="EV20" s="340"/>
      <c r="EW20" s="340"/>
      <c r="EX20" s="340"/>
      <c r="EY20" s="340"/>
      <c r="EZ20" s="340"/>
      <c r="FA20" s="340"/>
      <c r="FB20" s="340"/>
      <c r="FC20" s="340"/>
      <c r="FD20" s="340"/>
      <c r="FE20" s="340"/>
      <c r="FF20" s="340"/>
      <c r="FG20" s="340"/>
      <c r="FH20" s="340"/>
      <c r="FI20" s="340"/>
      <c r="FJ20" s="340"/>
      <c r="FK20" s="340"/>
      <c r="FL20" s="340"/>
      <c r="FM20" s="340"/>
      <c r="FN20" s="340"/>
      <c r="FO20" s="340"/>
      <c r="FP20" s="340"/>
      <c r="FQ20" s="340"/>
      <c r="FR20" s="340"/>
      <c r="FS20" s="340"/>
      <c r="FT20" s="340"/>
      <c r="FU20" s="340"/>
      <c r="FV20" s="340"/>
      <c r="FW20" s="340"/>
      <c r="FX20" s="340"/>
      <c r="FY20" s="340"/>
      <c r="FZ20" s="340"/>
      <c r="GA20" s="340"/>
      <c r="GB20" s="340"/>
      <c r="GC20" s="340"/>
      <c r="GD20" s="340"/>
      <c r="GE20" s="340"/>
      <c r="GF20" s="340"/>
      <c r="GG20" s="340"/>
      <c r="GH20" s="340"/>
      <c r="GI20" s="340"/>
      <c r="GJ20" s="340"/>
      <c r="GK20" s="340"/>
      <c r="GL20" s="340"/>
      <c r="GM20" s="340"/>
      <c r="GN20" s="340"/>
      <c r="GO20" s="340"/>
      <c r="GP20" s="340"/>
      <c r="GQ20" s="340"/>
      <c r="GR20" s="340"/>
      <c r="GS20" s="340"/>
      <c r="GT20" s="340"/>
      <c r="GU20" s="340"/>
      <c r="GV20" s="340"/>
      <c r="GW20" s="340"/>
      <c r="GX20" s="340"/>
      <c r="GY20" s="340"/>
      <c r="GZ20" s="340"/>
      <c r="HA20" s="340"/>
      <c r="HB20" s="340"/>
      <c r="HC20" s="340"/>
      <c r="HD20" s="340"/>
      <c r="HE20" s="340"/>
      <c r="HF20" s="340"/>
      <c r="HG20" s="340"/>
      <c r="HH20" s="340"/>
      <c r="HI20" s="340"/>
      <c r="HJ20" s="340"/>
      <c r="HK20" s="340"/>
      <c r="HL20" s="340"/>
      <c r="HM20" s="340"/>
      <c r="HN20" s="340"/>
      <c r="HO20" s="340"/>
      <c r="HP20" s="340"/>
      <c r="HQ20" s="340"/>
      <c r="HR20" s="340"/>
      <c r="HS20" s="340"/>
      <c r="HT20" s="340"/>
      <c r="HU20" s="340"/>
      <c r="HV20" s="340"/>
      <c r="HW20" s="340"/>
      <c r="HX20" s="340"/>
      <c r="HY20" s="340"/>
      <c r="HZ20" s="340"/>
      <c r="IA20" s="340"/>
      <c r="IB20" s="340"/>
      <c r="IC20" s="340"/>
      <c r="ID20" s="340"/>
      <c r="IE20" s="340"/>
      <c r="IF20" s="340"/>
      <c r="IG20" s="340"/>
      <c r="IH20" s="340"/>
      <c r="II20" s="340"/>
      <c r="IJ20" s="340"/>
      <c r="IK20" s="340"/>
      <c r="IL20" s="340"/>
      <c r="IM20" s="340"/>
      <c r="IN20" s="340"/>
      <c r="IO20" s="340"/>
      <c r="IP20" s="340"/>
      <c r="IQ20" s="340"/>
      <c r="IR20" s="340"/>
      <c r="IS20" s="340"/>
      <c r="IT20" s="340"/>
      <c r="IU20" s="340"/>
      <c r="IV20" s="340"/>
      <c r="IW20" s="340"/>
    </row>
    <row r="21" customFormat="false" ht="12.75" hidden="false" customHeight="false" outlineLevel="0" collapsed="false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customFormat="false" ht="12.75" hidden="false" customHeight="false" outlineLevel="0" collapsed="false"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customFormat="false" ht="12.75" hidden="false" customHeight="false" outlineLevel="0" collapsed="false">
      <c r="A23" s="341" t="s">
        <v>272</v>
      </c>
      <c r="B23" s="342" t="n">
        <f aca="false">IS!C33</f>
        <v>4619.74741179224</v>
      </c>
      <c r="C23" s="342" t="n">
        <f aca="false">IS!D33</f>
        <v>6920.49091779347</v>
      </c>
      <c r="D23" s="342" t="n">
        <f aca="false">IS!E33</f>
        <v>6910.86571789858</v>
      </c>
      <c r="E23" s="342" t="n">
        <f aca="false">IS!F33</f>
        <v>7957.68878161209</v>
      </c>
      <c r="F23" s="342" t="n">
        <f aca="false">IS!G33</f>
        <v>8440.29692850034</v>
      </c>
      <c r="G23" s="342" t="n">
        <f aca="false">IS!H33</f>
        <v>8544.65438602862</v>
      </c>
      <c r="H23" s="342" t="n">
        <f aca="false">IS!I33</f>
        <v>8646.51952997352</v>
      </c>
      <c r="I23" s="342" t="n">
        <f aca="false">IS!J33</f>
        <v>8746.25166607103</v>
      </c>
      <c r="J23" s="342" t="n">
        <f aca="false">IS!K33</f>
        <v>9021.10958823023</v>
      </c>
      <c r="K23" s="342" t="n">
        <f aca="false">IS!L33</f>
        <v>9121.24531378892</v>
      </c>
      <c r="L23" s="342" t="n">
        <f aca="false">IS!M33</f>
        <v>9407.01225977334</v>
      </c>
      <c r="M23" s="342" t="n">
        <f aca="false">IS!N33</f>
        <v>9507.25190959698</v>
      </c>
      <c r="N23" s="342" t="n">
        <f aca="false">IS!O33</f>
        <v>9804.25826784934</v>
      </c>
      <c r="O23" s="342" t="n">
        <f aca="false">IS!P33</f>
        <v>9904.26418068416</v>
      </c>
      <c r="P23" s="342" t="n">
        <f aca="false">IS!Q33</f>
        <v>10000.9276708</v>
      </c>
      <c r="Q23" s="343" t="n">
        <f aca="false">IS!R33</f>
        <v>10093.9632992963</v>
      </c>
      <c r="R23" s="342" t="n">
        <f aca="false">IS!S33</f>
        <v>10236.7869933638</v>
      </c>
      <c r="S23" s="342" t="n">
        <f aca="false">IS!T33</f>
        <v>10348.5112612331</v>
      </c>
      <c r="T23" s="342" t="n">
        <f aca="false">IS!U33</f>
        <v>10428.8065162549</v>
      </c>
      <c r="U23" s="342" t="n">
        <f aca="false">IS!V33</f>
        <v>10504.1849562191</v>
      </c>
      <c r="V23" s="342" t="n">
        <f aca="false">IS!W33</f>
        <v>10574.2844182769</v>
      </c>
      <c r="W23" s="342" t="n">
        <f aca="false">IS!X33</f>
        <v>10638.7254349419</v>
      </c>
      <c r="X23" s="342" t="n">
        <f aca="false">IS!Y33</f>
        <v>10702.2724265457</v>
      </c>
      <c r="Y23" s="342" t="n">
        <f aca="false">IS!Z33</f>
        <v>10764.8985723366</v>
      </c>
      <c r="Z23" s="342" t="n">
        <f aca="false">IS!AA33</f>
        <v>10826.5762469401</v>
      </c>
      <c r="AA23" s="342" t="n">
        <f aca="false">IS!AB33</f>
        <v>10887.2769962206</v>
      </c>
      <c r="AB23" s="342" t="n">
        <f aca="false">IS!AC33</f>
        <v>10946.9715124183</v>
      </c>
      <c r="AC23" s="342" t="n">
        <f aca="false">IS!AD33</f>
        <v>11005.6296085409</v>
      </c>
      <c r="AD23" s="342" t="n">
        <f aca="false">IS!AE33</f>
        <v>11063.2201919861</v>
      </c>
      <c r="AE23" s="342" t="n">
        <f aca="false">IS!AF33</f>
        <v>11119.7112373735</v>
      </c>
      <c r="AF23" s="343" t="n">
        <f aca="false">IS!AG33</f>
        <v>2821.14315538288</v>
      </c>
    </row>
    <row r="24" customFormat="false" ht="12.75" hidden="false" customHeight="false" outlineLevel="0" collapsed="false">
      <c r="A24" s="344" t="s">
        <v>54</v>
      </c>
      <c r="B24" s="345" t="n">
        <v>1.3</v>
      </c>
      <c r="C24" s="345" t="n">
        <v>1.3</v>
      </c>
      <c r="D24" s="345" t="n">
        <v>1.3</v>
      </c>
      <c r="E24" s="345" t="n">
        <v>1.3</v>
      </c>
      <c r="F24" s="345" t="n">
        <v>1.3</v>
      </c>
      <c r="G24" s="345" t="n">
        <v>1.3</v>
      </c>
      <c r="H24" s="345" t="n">
        <v>1.3</v>
      </c>
      <c r="I24" s="345" t="n">
        <v>1.3</v>
      </c>
      <c r="J24" s="345" t="n">
        <v>1.3</v>
      </c>
      <c r="K24" s="345" t="n">
        <v>1.3</v>
      </c>
      <c r="L24" s="345" t="n">
        <v>1.3</v>
      </c>
      <c r="M24" s="345" t="n">
        <v>1.3</v>
      </c>
      <c r="N24" s="345" t="n">
        <v>1.3</v>
      </c>
      <c r="O24" s="345" t="n">
        <v>1.3</v>
      </c>
      <c r="P24" s="345" t="n">
        <v>1.3</v>
      </c>
      <c r="Q24" s="346" t="n">
        <v>1.3</v>
      </c>
      <c r="R24" s="345" t="n">
        <v>1.3</v>
      </c>
      <c r="S24" s="345" t="n">
        <v>1.3</v>
      </c>
      <c r="T24" s="345" t="n">
        <v>1.3</v>
      </c>
      <c r="U24" s="345" t="n">
        <v>1.3</v>
      </c>
      <c r="V24" s="345" t="n">
        <v>1.3</v>
      </c>
      <c r="W24" s="345" t="n">
        <v>1.3</v>
      </c>
      <c r="X24" s="345" t="n">
        <v>1.3</v>
      </c>
      <c r="Y24" s="345" t="n">
        <v>1.3</v>
      </c>
      <c r="Z24" s="345" t="n">
        <v>1.3</v>
      </c>
      <c r="AA24" s="345" t="n">
        <v>1.3</v>
      </c>
      <c r="AB24" s="345" t="n">
        <v>1.3</v>
      </c>
      <c r="AC24" s="345" t="n">
        <v>1.3</v>
      </c>
      <c r="AD24" s="345" t="n">
        <v>1.3</v>
      </c>
      <c r="AE24" s="345" t="n">
        <v>1.3</v>
      </c>
      <c r="AF24" s="346" t="n">
        <v>1.3</v>
      </c>
    </row>
    <row r="25" customFormat="false" ht="12.75" hidden="false" customHeight="false" outlineLevel="0" collapsed="false">
      <c r="A25" s="347" t="s">
        <v>339</v>
      </c>
      <c r="B25" s="305" t="n">
        <f aca="false">B23/B24</f>
        <v>3553.6518552248</v>
      </c>
      <c r="C25" s="305" t="n">
        <f aca="false">C23/C24</f>
        <v>5323.45455214882</v>
      </c>
      <c r="D25" s="305" t="n">
        <f aca="false">D23/D24</f>
        <v>5316.05055222967</v>
      </c>
      <c r="E25" s="305" t="n">
        <f aca="false">E23/E24</f>
        <v>6121.29906277853</v>
      </c>
      <c r="F25" s="305" t="n">
        <f aca="false">F23/F24</f>
        <v>6492.53609884642</v>
      </c>
      <c r="G25" s="305" t="n">
        <f aca="false">G23/G24</f>
        <v>6572.81106617586</v>
      </c>
      <c r="H25" s="305" t="n">
        <f aca="false">H23/H24</f>
        <v>6651.1688692104</v>
      </c>
      <c r="I25" s="305" t="n">
        <f aca="false">I23/I24</f>
        <v>6727.88589697772</v>
      </c>
      <c r="J25" s="305" t="n">
        <f aca="false">J23/J24</f>
        <v>6939.3150678694</v>
      </c>
      <c r="K25" s="305" t="n">
        <f aca="false">K23/K24</f>
        <v>7016.3425490684</v>
      </c>
      <c r="L25" s="305" t="n">
        <f aca="false">L23/L24</f>
        <v>7236.16327674872</v>
      </c>
      <c r="M25" s="305" t="n">
        <f aca="false">M23/M24</f>
        <v>7313.27069968998</v>
      </c>
      <c r="N25" s="305" t="n">
        <f aca="false">N23/N24</f>
        <v>7541.73712911487</v>
      </c>
      <c r="O25" s="305" t="n">
        <f aca="false">O23/O24</f>
        <v>7618.66475437243</v>
      </c>
      <c r="P25" s="305" t="n">
        <f aca="false">P23/P24</f>
        <v>7693.02128523077</v>
      </c>
      <c r="Q25" s="348" t="n">
        <f aca="false">Q23/Q24</f>
        <v>7764.58715330484</v>
      </c>
      <c r="R25" s="305" t="n">
        <f aca="false">R23/R24</f>
        <v>7874.45153335677</v>
      </c>
      <c r="S25" s="305" t="n">
        <f aca="false">S23/S24</f>
        <v>7960.39327787161</v>
      </c>
      <c r="T25" s="305" t="n">
        <f aca="false">T23/T24</f>
        <v>8022.15885865762</v>
      </c>
      <c r="U25" s="305" t="n">
        <f aca="false">U23/U24</f>
        <v>8080.14227401472</v>
      </c>
      <c r="V25" s="305" t="n">
        <f aca="false">V23/V24</f>
        <v>8134.06493713606</v>
      </c>
      <c r="W25" s="305" t="n">
        <f aca="false">W23/W24</f>
        <v>8183.6349499553</v>
      </c>
      <c r="X25" s="305" t="n">
        <f aca="false">X23/X24</f>
        <v>8232.51725118904</v>
      </c>
      <c r="Y25" s="305" t="n">
        <f aca="false">Y23/Y24</f>
        <v>8280.69120948971</v>
      </c>
      <c r="Z25" s="305" t="n">
        <f aca="false">Z23/Z24</f>
        <v>8328.1355745693</v>
      </c>
      <c r="AA25" s="305" t="n">
        <f aca="false">AA23/AA24</f>
        <v>8374.8284586312</v>
      </c>
      <c r="AB25" s="305" t="n">
        <f aca="false">AB23/AB24</f>
        <v>8420.74731724486</v>
      </c>
      <c r="AC25" s="305" t="n">
        <f aca="false">AC23/AC24</f>
        <v>8465.86892964686</v>
      </c>
      <c r="AD25" s="305" t="n">
        <f aca="false">AD23/AD24</f>
        <v>8510.16937845083</v>
      </c>
      <c r="AE25" s="305" t="n">
        <f aca="false">AE23/AE24</f>
        <v>8553.62402874882</v>
      </c>
      <c r="AF25" s="348" t="n">
        <f aca="false">AF23/AF24</f>
        <v>2170.11011952529</v>
      </c>
    </row>
    <row r="26" customFormat="false" ht="12.75" hidden="false" customHeight="false" outlineLevel="0" collapsed="false">
      <c r="A26" s="86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</row>
    <row r="27" customFormat="false" ht="12.75" hidden="false" customHeight="false" outlineLevel="0" collapsed="false">
      <c r="A27" s="86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</row>
    <row r="28" customFormat="false" ht="12.75" hidden="false" customHeight="false" outlineLevel="0" collapsed="false">
      <c r="A28" s="349"/>
      <c r="B28" s="174"/>
    </row>
    <row r="29" customFormat="false" ht="12.75" hidden="false" customHeight="false" outlineLevel="0" collapsed="false">
      <c r="A29" s="349"/>
      <c r="B29" s="174"/>
    </row>
    <row r="30" customFormat="false" ht="12.75" hidden="false" customHeight="false" outlineLevel="0" collapsed="false">
      <c r="A30" s="349"/>
      <c r="B30" s="174"/>
    </row>
    <row r="31" customFormat="false" ht="12.75" hidden="false" customHeight="false" outlineLevel="0" collapsed="false">
      <c r="A31" s="279" t="s">
        <v>340</v>
      </c>
      <c r="B31" s="350" t="n">
        <v>61666.6025948104</v>
      </c>
      <c r="C31" s="349"/>
      <c r="D31" s="183"/>
      <c r="S31" s="183"/>
    </row>
    <row r="32" customFormat="false" ht="12.75" hidden="false" customHeight="false" outlineLevel="0" collapsed="false">
      <c r="A32" s="351" t="n">
        <f aca="false">HLOOKUP(Assumptions!G33,A44:AF49,6)</f>
        <v>7858.50611508807</v>
      </c>
      <c r="B32" s="352"/>
      <c r="C32" s="349"/>
      <c r="D32" s="183"/>
    </row>
    <row r="33" customFormat="false" ht="12.75" hidden="false" customHeight="false" outlineLevel="0" collapsed="false">
      <c r="A33" s="279"/>
      <c r="B33" s="352"/>
      <c r="C33" s="349"/>
    </row>
    <row r="34" customFormat="false" ht="12.75" hidden="false" customHeight="false" outlineLevel="0" collapsed="false">
      <c r="A34" s="279"/>
      <c r="B34" s="353" t="s">
        <v>341</v>
      </c>
      <c r="C34" s="349"/>
    </row>
    <row r="35" customFormat="false" ht="12.75" hidden="false" customHeight="false" outlineLevel="0" collapsed="false">
      <c r="A35" s="0"/>
      <c r="B35" s="354" t="n">
        <v>36923</v>
      </c>
      <c r="C35" s="355" t="n">
        <v>37288</v>
      </c>
      <c r="D35" s="355" t="n">
        <v>37653</v>
      </c>
      <c r="E35" s="355" t="n">
        <v>38018</v>
      </c>
      <c r="F35" s="355" t="n">
        <v>38384</v>
      </c>
      <c r="G35" s="355" t="n">
        <v>38749</v>
      </c>
      <c r="H35" s="355" t="n">
        <v>39114</v>
      </c>
      <c r="I35" s="355" t="n">
        <v>39479</v>
      </c>
      <c r="J35" s="355" t="n">
        <v>39845</v>
      </c>
      <c r="K35" s="355" t="n">
        <v>40210</v>
      </c>
      <c r="L35" s="355" t="n">
        <v>40575</v>
      </c>
      <c r="M35" s="355" t="n">
        <v>40940</v>
      </c>
      <c r="N35" s="355" t="n">
        <v>41306</v>
      </c>
      <c r="O35" s="355" t="n">
        <v>41671</v>
      </c>
      <c r="P35" s="355" t="n">
        <v>42036</v>
      </c>
      <c r="Q35" s="355" t="n">
        <v>42401</v>
      </c>
      <c r="R35" s="355" t="n">
        <v>42767</v>
      </c>
      <c r="S35" s="355" t="n">
        <v>43132</v>
      </c>
      <c r="T35" s="355" t="n">
        <v>43497</v>
      </c>
      <c r="U35" s="355" t="n">
        <v>43862</v>
      </c>
      <c r="V35" s="355" t="n">
        <v>44228</v>
      </c>
      <c r="W35" s="355" t="n">
        <v>44593</v>
      </c>
      <c r="X35" s="355" t="n">
        <v>44958</v>
      </c>
      <c r="Y35" s="355" t="n">
        <v>45323</v>
      </c>
      <c r="Z35" s="355" t="n">
        <v>45689</v>
      </c>
      <c r="AA35" s="355" t="n">
        <v>46054</v>
      </c>
      <c r="AB35" s="355" t="n">
        <v>46419</v>
      </c>
      <c r="AC35" s="355" t="n">
        <v>46784</v>
      </c>
      <c r="AD35" s="355" t="n">
        <v>47150</v>
      </c>
      <c r="AE35" s="355" t="n">
        <v>47515</v>
      </c>
      <c r="AF35" s="355" t="n">
        <v>47880</v>
      </c>
    </row>
    <row r="36" customFormat="false" ht="12.75" hidden="false" customHeight="false" outlineLevel="0" collapsed="false">
      <c r="A36" s="356" t="s">
        <v>342</v>
      </c>
      <c r="B36" s="357" t="n">
        <f aca="false">B31</f>
        <v>61666.6025948104</v>
      </c>
      <c r="C36" s="356" t="n">
        <f aca="false">B58</f>
        <v>61327.8409065491</v>
      </c>
      <c r="D36" s="356" t="n">
        <f aca="false">C58</f>
        <v>60794.5809669745</v>
      </c>
      <c r="E36" s="356" t="n">
        <f aca="false">D58</f>
        <v>60226.2052559944</v>
      </c>
      <c r="F36" s="356" t="n">
        <f aca="false">E58</f>
        <v>58788.9553686021</v>
      </c>
      <c r="G36" s="356" t="n">
        <f aca="false">F58</f>
        <v>56856.8976826535</v>
      </c>
      <c r="H36" s="356" t="n">
        <f aca="false">G58</f>
        <v>54688.0905765733</v>
      </c>
      <c r="I36" s="356" t="n">
        <f aca="false">H58</f>
        <v>52265.5473238492</v>
      </c>
      <c r="J36" s="356" t="n">
        <f aca="false">I58</f>
        <v>49570.6858315164</v>
      </c>
      <c r="K36" s="356" t="n">
        <f aca="false">J58</f>
        <v>46443.6507110497</v>
      </c>
      <c r="L36" s="356" t="n">
        <f aca="false">K58</f>
        <v>42987.5286749237</v>
      </c>
      <c r="M36" s="356" t="n">
        <f aca="false">L58</f>
        <v>39029.9678311881</v>
      </c>
      <c r="N36" s="356" t="n">
        <f aca="false">M58</f>
        <v>34676.8440500289</v>
      </c>
      <c r="O36" s="356" t="n">
        <f aca="false">N58</f>
        <v>29741.2310607987</v>
      </c>
      <c r="P36" s="356" t="n">
        <f aca="false">O58</f>
        <v>24331.8560519522</v>
      </c>
      <c r="Q36" s="356" t="n">
        <f aca="false">P58</f>
        <v>18413.4328529801</v>
      </c>
      <c r="R36" s="356" t="n">
        <f aca="false">Q58</f>
        <v>11948.1877780729</v>
      </c>
      <c r="S36" s="356" t="n">
        <f aca="false">R58</f>
        <v>4852.50067001623</v>
      </c>
      <c r="T36" s="356" t="n">
        <f aca="false">S58</f>
        <v>0</v>
      </c>
      <c r="U36" s="356" t="n">
        <f aca="false">T58</f>
        <v>0</v>
      </c>
      <c r="V36" s="356" t="n">
        <f aca="false">U58</f>
        <v>0</v>
      </c>
      <c r="W36" s="356" t="n">
        <f aca="false">V58</f>
        <v>0</v>
      </c>
      <c r="X36" s="356" t="n">
        <f aca="false">W58</f>
        <v>0</v>
      </c>
      <c r="Y36" s="356" t="n">
        <f aca="false">X58</f>
        <v>0</v>
      </c>
      <c r="Z36" s="356" t="n">
        <f aca="false">Y58</f>
        <v>0</v>
      </c>
      <c r="AA36" s="356" t="n">
        <f aca="false">Z58</f>
        <v>0</v>
      </c>
      <c r="AB36" s="356" t="n">
        <f aca="false">AA58</f>
        <v>0</v>
      </c>
      <c r="AC36" s="356" t="n">
        <f aca="false">AB58</f>
        <v>0</v>
      </c>
      <c r="AD36" s="356" t="n">
        <f aca="false">AC58</f>
        <v>0</v>
      </c>
      <c r="AE36" s="356" t="n">
        <f aca="false">AD58</f>
        <v>0</v>
      </c>
      <c r="AF36" s="356" t="n">
        <f aca="false">AE58</f>
        <v>0</v>
      </c>
    </row>
    <row r="37" customFormat="false" ht="12.75" hidden="false" customHeight="false" outlineLevel="0" collapsed="false">
      <c r="A37" s="356" t="s">
        <v>343</v>
      </c>
      <c r="B37" s="357" t="n">
        <v>0</v>
      </c>
      <c r="C37" s="358" t="n">
        <v>0</v>
      </c>
      <c r="D37" s="358" t="n">
        <v>0</v>
      </c>
      <c r="E37" s="358" t="n">
        <v>0</v>
      </c>
      <c r="F37" s="358" t="n">
        <v>0</v>
      </c>
      <c r="G37" s="358" t="n">
        <v>0</v>
      </c>
      <c r="H37" s="358" t="n">
        <v>0</v>
      </c>
      <c r="I37" s="358" t="n">
        <v>0</v>
      </c>
      <c r="J37" s="358" t="n">
        <v>0</v>
      </c>
      <c r="K37" s="358" t="n">
        <v>0</v>
      </c>
      <c r="L37" s="358" t="n">
        <v>0</v>
      </c>
      <c r="M37" s="358" t="n">
        <v>0</v>
      </c>
      <c r="N37" s="358" t="n">
        <v>0</v>
      </c>
      <c r="O37" s="358" t="n">
        <v>0</v>
      </c>
      <c r="P37" s="358" t="n">
        <v>0</v>
      </c>
      <c r="Q37" s="358" t="n">
        <v>0</v>
      </c>
      <c r="R37" s="358" t="n">
        <v>0</v>
      </c>
      <c r="S37" s="358" t="n">
        <v>0</v>
      </c>
      <c r="T37" s="358" t="n">
        <v>0</v>
      </c>
      <c r="U37" s="358" t="n">
        <v>0</v>
      </c>
      <c r="V37" s="358" t="n">
        <v>0</v>
      </c>
      <c r="W37" s="358" t="n">
        <v>0</v>
      </c>
      <c r="X37" s="358" t="n">
        <v>0</v>
      </c>
      <c r="Y37" s="358" t="n">
        <v>0</v>
      </c>
      <c r="Z37" s="358" t="n">
        <v>0</v>
      </c>
      <c r="AA37" s="358" t="n">
        <v>0</v>
      </c>
      <c r="AB37" s="358" t="n">
        <v>0</v>
      </c>
      <c r="AC37" s="358" t="n">
        <v>0</v>
      </c>
      <c r="AD37" s="358" t="n">
        <v>0</v>
      </c>
      <c r="AE37" s="358" t="n">
        <v>0</v>
      </c>
      <c r="AF37" s="358" t="n">
        <v>0</v>
      </c>
    </row>
    <row r="38" customFormat="false" ht="12.75" hidden="false" customHeight="false" outlineLevel="0" collapsed="false">
      <c r="A38" s="356" t="s">
        <v>344</v>
      </c>
      <c r="B38" s="357" t="n">
        <v>0</v>
      </c>
      <c r="C38" s="356" t="n">
        <f aca="false">C36-C40</f>
        <v>46.40177904968</v>
      </c>
      <c r="D38" s="356" t="n">
        <f aca="false">D36-D40</f>
        <v>49.0778215362807</v>
      </c>
      <c r="E38" s="356" t="n">
        <f aca="false">E36-E40</f>
        <v>123.145215932906</v>
      </c>
      <c r="F38" s="356" t="n">
        <f aca="false">F36-F40</f>
        <v>169.40881385799</v>
      </c>
      <c r="G38" s="356" t="n">
        <f aca="false">G36-G40</f>
        <v>188.719423060327</v>
      </c>
      <c r="H38" s="356" t="n">
        <f aca="false">H36-H40</f>
        <v>209.180552800375</v>
      </c>
      <c r="I38" s="356" t="n">
        <f aca="false">I36-I40</f>
        <v>230.898818148256</v>
      </c>
      <c r="J38" s="356" t="n">
        <f aca="false">J36-J40</f>
        <v>274.188143813335</v>
      </c>
      <c r="K38" s="356" t="n">
        <f aca="false">K36-K40</f>
        <v>300.735531000079</v>
      </c>
      <c r="L38" s="356" t="n">
        <f aca="false">L36-L40</f>
        <v>341.725483787668</v>
      </c>
      <c r="M38" s="356" t="n">
        <f aca="false">M36-M40</f>
        <v>372.980629684469</v>
      </c>
      <c r="N38" s="356" t="n">
        <f aca="false">N36-N40</f>
        <v>432.769864092872</v>
      </c>
      <c r="O38" s="356" t="n">
        <f aca="false">O36-O40</f>
        <v>470.69844428511</v>
      </c>
      <c r="P38" s="356" t="n">
        <f aca="false">P36-P40</f>
        <v>511.041045428348</v>
      </c>
      <c r="Q38" s="356" t="n">
        <f aca="false">Q36-Q40</f>
        <v>553.94960040884</v>
      </c>
      <c r="R38" s="356" t="n">
        <f aca="false">R36-R40</f>
        <v>622.174540981321</v>
      </c>
      <c r="S38" s="356" t="n">
        <f aca="false">S36-S40</f>
        <v>674.508912938545</v>
      </c>
      <c r="T38" s="356" t="n">
        <f aca="false">T36-T40</f>
        <v>0</v>
      </c>
      <c r="U38" s="356" t="n">
        <f aca="false">U36-U40</f>
        <v>0</v>
      </c>
      <c r="V38" s="356" t="n">
        <f aca="false">V36-V40</f>
        <v>0</v>
      </c>
      <c r="W38" s="356" t="n">
        <f aca="false">W36-W40</f>
        <v>0</v>
      </c>
      <c r="X38" s="356" t="n">
        <f aca="false">X36-X40</f>
        <v>0</v>
      </c>
      <c r="Y38" s="356" t="n">
        <f aca="false">Y36-Y40</f>
        <v>0</v>
      </c>
      <c r="Z38" s="356" t="n">
        <f aca="false">Z36-Z40</f>
        <v>0</v>
      </c>
      <c r="AA38" s="356" t="n">
        <f aca="false">AA36-AA40</f>
        <v>0</v>
      </c>
      <c r="AB38" s="356" t="n">
        <f aca="false">AB36-AB40</f>
        <v>0</v>
      </c>
      <c r="AC38" s="356" t="n">
        <f aca="false">AC36-AC40</f>
        <v>0</v>
      </c>
      <c r="AD38" s="356" t="n">
        <f aca="false">AD36-AD40</f>
        <v>0</v>
      </c>
      <c r="AE38" s="356" t="n">
        <f aca="false">AE36-AE40</f>
        <v>0</v>
      </c>
      <c r="AF38" s="356" t="n">
        <f aca="false">AF36-AF40</f>
        <v>0</v>
      </c>
    </row>
    <row r="39" customFormat="false" ht="12.75" hidden="false" customHeight="false" outlineLevel="0" collapsed="false">
      <c r="A39" s="356" t="s">
        <v>345</v>
      </c>
      <c r="B39" s="359" t="n">
        <v>0</v>
      </c>
      <c r="C39" s="360" t="n">
        <f aca="false">C36*(C35-B53)/(C53-B53)*$B$7</f>
        <v>427.280008615855</v>
      </c>
      <c r="D39" s="360" t="n">
        <f aca="false">D36*(D35-C53)/(D53-C53)*$B$7</f>
        <v>420.306518804325</v>
      </c>
      <c r="E39" s="360" t="n">
        <f aca="false">E36*(E35-D53)/(E53-D53)*$B$7</f>
        <v>413.14929470067</v>
      </c>
      <c r="F39" s="360" t="n">
        <f aca="false">F36*(F35-E53)/(F53-E53)*$B$7</f>
        <v>412.741924642274</v>
      </c>
      <c r="G39" s="360" t="n">
        <f aca="false">G36*(G35-F53)/(G53-F53)*$B$7</f>
        <v>396.130295353683</v>
      </c>
      <c r="H39" s="360" t="n">
        <f aca="false">H36*(H35-G53)/(H53-G53)*$B$7</f>
        <v>378.088977745923</v>
      </c>
      <c r="I39" s="360" t="n">
        <f aca="false">I36*(I35-H53)/(I53-H53)*$B$7</f>
        <v>358.539508212557</v>
      </c>
      <c r="J39" s="360" t="n">
        <f aca="false">J36*(J35-I53)/(J53-I53)*$B$7</f>
        <v>348.022858165375</v>
      </c>
      <c r="K39" s="360" t="n">
        <f aca="false">K36*(K35-J53)/(K53-J53)*$B$7</f>
        <v>323.579685549469</v>
      </c>
      <c r="L39" s="360" t="n">
        <f aca="false">L36*(L35-K53)/(L53-K53)*$B$7</f>
        <v>297.19653038111</v>
      </c>
      <c r="M39" s="360" t="n">
        <f aca="false">M36*(M35-L53)/(M53-L53)*$B$7</f>
        <v>267.743976448528</v>
      </c>
      <c r="N39" s="360" t="n">
        <f aca="false">N36*(N35-M53)/(N53-M53)*$B$7</f>
        <v>243.457079037893</v>
      </c>
      <c r="O39" s="360" t="n">
        <f aca="false">O36*(O35-N53)/(O53-N53)*$B$7</f>
        <v>207.21149279115</v>
      </c>
      <c r="P39" s="360" t="n">
        <f aca="false">P36*(P35-O53)/(P53-O53)*$B$7</f>
        <v>168.219560865129</v>
      </c>
      <c r="Q39" s="360" t="n">
        <f aca="false">Q36*(Q35-P53)/(Q53-P53)*$B$7</f>
        <v>126.315393172969</v>
      </c>
      <c r="R39" s="360" t="n">
        <f aca="false">R36*(R35-Q53)/(R53-Q53)*$B$7</f>
        <v>83.8851105380059</v>
      </c>
      <c r="S39" s="360" t="n">
        <f aca="false">S36*(S35-R53)/(S53-R53)*$B$7</f>
        <v>33.8080796167661</v>
      </c>
      <c r="T39" s="360" t="n">
        <f aca="false">T36*(T35-S53)/(T53-S53)*$B$7</f>
        <v>0</v>
      </c>
      <c r="U39" s="360" t="n">
        <f aca="false">U36*(U35-T53)/(U53-T53)*$B$7</f>
        <v>0</v>
      </c>
      <c r="V39" s="360" t="n">
        <f aca="false">V36*(V35-U53)/(V53-U53)*$B$7</f>
        <v>0</v>
      </c>
      <c r="W39" s="360" t="n">
        <f aca="false">W36*(W35-V53)/(W53-V53)*$B$7</f>
        <v>0</v>
      </c>
      <c r="X39" s="360" t="n">
        <f aca="false">X36*(X35-W53)/(X53-W53)*$B$7</f>
        <v>0</v>
      </c>
      <c r="Y39" s="360" t="n">
        <f aca="false">Y36*(Y35-X53)/(Y53-X53)*$B$7</f>
        <v>0</v>
      </c>
      <c r="Z39" s="360" t="n">
        <f aca="false">Z36*(Z35-Y53)/(Z53-Y53)*$B$7</f>
        <v>0</v>
      </c>
      <c r="AA39" s="360" t="n">
        <f aca="false">AA36*(AA35-Z53)/(AA53-Z53)*$B$7</f>
        <v>0</v>
      </c>
      <c r="AB39" s="360" t="n">
        <f aca="false">AB36*(AB35-AA53)/(AB53-AA53)*$B$7</f>
        <v>0</v>
      </c>
      <c r="AC39" s="360" t="n">
        <f aca="false">AC36*(AC35-AB53)/(AC53-AB53)*$B$7</f>
        <v>0</v>
      </c>
      <c r="AD39" s="360" t="n">
        <f aca="false">AD36*(AD35-AC53)/(AD53-AC53)*$B$7</f>
        <v>0</v>
      </c>
      <c r="AE39" s="360" t="n">
        <f aca="false">AE36*(AE35-AD53)/(AE53-AD53)*$B$7</f>
        <v>0</v>
      </c>
      <c r="AF39" s="360" t="n">
        <f aca="false">AF36*(AF35-AE53)/(AF53-AE53)*$B$7</f>
        <v>0</v>
      </c>
    </row>
    <row r="40" customFormat="false" ht="12.75" hidden="false" customHeight="false" outlineLevel="0" collapsed="false">
      <c r="A40" s="356" t="s">
        <v>346</v>
      </c>
      <c r="B40" s="359" t="n">
        <f aca="false">B36</f>
        <v>61666.6025948104</v>
      </c>
      <c r="C40" s="360" t="n">
        <f aca="false">MAX(C36+C37+C39-(C35-B53)/(C53-B53)*C25,0)</f>
        <v>61281.4391274995</v>
      </c>
      <c r="D40" s="360" t="n">
        <f aca="false">MAX(D36+D37+D39-(D35-C53)/(D53-C53)*D25,0)</f>
        <v>60745.5031454382</v>
      </c>
      <c r="E40" s="360" t="n">
        <f aca="false">MAX(E36+E37+E39-(E35-D53)/(E53-D53)*E25,0)</f>
        <v>60103.0600400615</v>
      </c>
      <c r="F40" s="360" t="n">
        <f aca="false">MAX(F36+F37+F39-(F35-E53)/(F53-E53)*F25,0)</f>
        <v>58619.5465547441</v>
      </c>
      <c r="G40" s="360" t="n">
        <f aca="false">MAX(G36+G37+G39-(G35-F53)/(G53-F53)*G25,0)</f>
        <v>56668.1782595932</v>
      </c>
      <c r="H40" s="360" t="n">
        <f aca="false">MAX(H36+H37+H39-(H35-G53)/(H53-G53)*H25,0)</f>
        <v>54478.910023773</v>
      </c>
      <c r="I40" s="360" t="n">
        <f aca="false">MAX(I36+I37+I39-(I35-H53)/(I53-H53)*I25,0)</f>
        <v>52034.6485057009</v>
      </c>
      <c r="J40" s="360" t="n">
        <f aca="false">MAX(J36+J37+J39-(J35-I53)/(J53-I53)*J25,0)</f>
        <v>49296.497687703</v>
      </c>
      <c r="K40" s="360" t="n">
        <f aca="false">MAX(K36+K37+K39-(K35-J53)/(K53-J53)*K25,0)</f>
        <v>46142.9151800496</v>
      </c>
      <c r="L40" s="360" t="n">
        <f aca="false">MAX(L36+L37+L39-(L35-K53)/(L53-K53)*L25,0)</f>
        <v>42645.803191136</v>
      </c>
      <c r="M40" s="360" t="n">
        <f aca="false">MAX(M36+M37+M39-(M35-L53)/(M53-L53)*M25,0)</f>
        <v>38656.9872015036</v>
      </c>
      <c r="N40" s="360" t="n">
        <f aca="false">MAX(N36+N37+N39-(N35-M53)/(N53-M53)*N25,0)</f>
        <v>34244.074185936</v>
      </c>
      <c r="O40" s="360" t="n">
        <f aca="false">MAX(O36+O37+O39-(O35-N53)/(O53-N53)*O25,0)</f>
        <v>29270.5326165136</v>
      </c>
      <c r="P40" s="360" t="n">
        <f aca="false">MAX(P36+P37+P39-(P35-O53)/(P53-O53)*P25,0)</f>
        <v>23820.8150065238</v>
      </c>
      <c r="Q40" s="360" t="n">
        <f aca="false">MAX(Q36+Q37+Q39-(Q35-P53)/(Q53-P53)*Q25,0)</f>
        <v>17859.4832525712</v>
      </c>
      <c r="R40" s="360" t="n">
        <f aca="false">MAX(R36+R37+R39-(R35-Q53)/(R53-Q53)*R25,0)</f>
        <v>11326.0132370915</v>
      </c>
      <c r="S40" s="360" t="n">
        <f aca="false">MAX(S36+S37+S39-(S35-R53)/(S53-R53)*S25,0)</f>
        <v>4177.99175707769</v>
      </c>
      <c r="T40" s="360" t="n">
        <f aca="false">MAX(T36+T37+T39-(T35-S53)/(T53-S53)*T25,0)</f>
        <v>0</v>
      </c>
      <c r="U40" s="360" t="n">
        <f aca="false">MAX(U36+U37+U39-(U35-T53)/(U53-T53)*U25,0)</f>
        <v>0</v>
      </c>
      <c r="V40" s="360" t="n">
        <f aca="false">MAX(V36+V37+V39-(V35-U53)/(V53-U53)*V25,0)</f>
        <v>0</v>
      </c>
      <c r="W40" s="360" t="n">
        <f aca="false">MAX(W36+W37+W39-(W35-V53)/(W53-V53)*W25,0)</f>
        <v>0</v>
      </c>
      <c r="X40" s="360" t="n">
        <f aca="false">MAX(X36+X37+X39-(X35-W53)/(X53-W53)*X25,0)</f>
        <v>0</v>
      </c>
      <c r="Y40" s="360" t="n">
        <f aca="false">MAX(Y36+Y37+Y39-(Y35-X53)/(Y53-X53)*Y25,0)</f>
        <v>0</v>
      </c>
      <c r="Z40" s="360" t="n">
        <f aca="false">MAX(Z36+Z37+Z39-(Z35-Y53)/(Z53-Y53)*Z25,0)</f>
        <v>0</v>
      </c>
      <c r="AA40" s="360" t="n">
        <f aca="false">MAX(AA36+AA37+AA39-(AA35-Z53)/(AA53-Z53)*AA25,0)</f>
        <v>0</v>
      </c>
      <c r="AB40" s="360" t="n">
        <f aca="false">MAX(AB36+AB37+AB39-(AB35-AA53)/(AB53-AA53)*AB25,0)</f>
        <v>0</v>
      </c>
      <c r="AC40" s="360" t="n">
        <f aca="false">MAX(AC36+AC37+AC39-(AC35-AB53)/(AC53-AB53)*AC25,0)</f>
        <v>0</v>
      </c>
      <c r="AD40" s="360" t="n">
        <f aca="false">MAX(AD36+AD37+AD39-(AD35-AC53)/(AD53-AC53)*AD25,0)</f>
        <v>0</v>
      </c>
      <c r="AE40" s="360" t="n">
        <f aca="false">MAX(AE36+AE37+AE39-(AE35-AD53)/(AE53-AD53)*AE25,0)</f>
        <v>0</v>
      </c>
      <c r="AF40" s="360" t="n">
        <f aca="false">MAX(AF36+AF37+AF39-(AF35-AE53)/(AF53-AE53)*AF25,0)</f>
        <v>0</v>
      </c>
    </row>
    <row r="41" customFormat="false" ht="12.75" hidden="false" customHeight="false" outlineLevel="0" collapsed="false">
      <c r="A41" s="356" t="s">
        <v>347</v>
      </c>
      <c r="B41" s="361" t="n">
        <v>0</v>
      </c>
      <c r="C41" s="360" t="n">
        <f aca="false">(C35-B53)/(C53-B53)*C23+(B53-B44)/(B53-Assumptions!H16)*Debt!B23</f>
        <v>3490.08502165113</v>
      </c>
      <c r="D41" s="360" t="n">
        <f aca="false">(D35-C53)/(D53-C53)*D23+(C53-C44)/(C53-B53)*C23</f>
        <v>3485.44809357259</v>
      </c>
      <c r="E41" s="360" t="n">
        <f aca="false">(E35-D53)/(E53-D53)*E23+(D53-D44)/(D53-C53)*D23</f>
        <v>3573.1625739416</v>
      </c>
      <c r="F41" s="360" t="n">
        <f aca="false">(F35-E53)/(F53-E53)*F23+(E53-E44)/(E53-D53)*E23</f>
        <v>4052.07433984179</v>
      </c>
      <c r="G41" s="360" t="n">
        <f aca="false">(G35-F53)/(G53-F53)*G23+(F53-F44)/(F53-E53)*F23</f>
        <v>4261.20808272069</v>
      </c>
      <c r="H41" s="360" t="n">
        <f aca="false">(H35-G53)/(H53-G53)*H23+(G53-G44)/(G53-F53)*G23</f>
        <v>4313.4881804832</v>
      </c>
      <c r="I41" s="360" t="n">
        <f aca="false">(I35-H53)/(I53-H53)*I23+(H53-H44)/(H53-G53)*H23</f>
        <v>4364.5476300349</v>
      </c>
      <c r="J41" s="360" t="n">
        <f aca="false">(J35-I53)/(J53-I53)*J23+(I53-I44)/(I53-H53)*I23</f>
        <v>4430.69651884403</v>
      </c>
      <c r="K41" s="360" t="n">
        <f aca="false">(K35-J53)/(K53-J53)*K23+(J53-J44)/(J53-I53)*J23</f>
        <v>4553.42525753599</v>
      </c>
      <c r="L41" s="360" t="n">
        <f aca="false">(L35-K53)/(L53-K53)*L23+(K53-K44)/(K53-J53)*K23</f>
        <v>4620.19198287518</v>
      </c>
      <c r="M41" s="360" t="n">
        <f aca="false">(M35-L53)/(M53-L53)*M23+(L53-L44)/(L53-K53)*L23</f>
        <v>4747.70136781013</v>
      </c>
      <c r="N41" s="360" t="n">
        <f aca="false">(N35-M53)/(N53-M53)*N23+(M53-M44)/(M53-L53)*M23</f>
        <v>4816.04739109818</v>
      </c>
      <c r="O41" s="360" t="n">
        <f aca="false">(O35-N53)/(O53-N53)*O23+(N53-N44)/(N53-M53)*N23</f>
        <v>4947.93624490461</v>
      </c>
      <c r="P41" s="360" t="n">
        <f aca="false">(P35-O53)/(P53-O53)*P23+(O53-O44)/(O53-N53)*O23</f>
        <v>4997.95210623442</v>
      </c>
      <c r="Q41" s="360" t="n">
        <f aca="false">(Q35-P53)/(Q53-P53)*Q23+(P53-P44)/(P53-O53)*P23</f>
        <v>5046.2637413801</v>
      </c>
      <c r="R41" s="360" t="n">
        <f aca="false">(R35-Q53)/(R53-Q53)*R23+(Q53-Q44)/(Q53-P53)*Q23</f>
        <v>5097.78705831958</v>
      </c>
      <c r="S41" s="360" t="n">
        <f aca="false">(S35-R53)/(S53-R53)*S23+(R53-R44)/(R53-Q53)*R23</f>
        <v>5159.86488360397</v>
      </c>
      <c r="T41" s="360" t="n">
        <f aca="false">(T35-S53)/(T53-S53)*T23+(S53-S44)/(S53-R53)*S23</f>
        <v>5220.30278998315</v>
      </c>
      <c r="U41" s="360" t="n">
        <f aca="false">(U35-T53)/(U53-T53)*U23+(T53-T44)/(T53-S53)*T23</f>
        <v>5260.26696528339</v>
      </c>
      <c r="V41" s="360" t="n">
        <f aca="false">(V35-U53)/(V53-U53)*V23+(U53-U44)/(U53-T53)*U23</f>
        <v>5297.92139446054</v>
      </c>
      <c r="W41" s="360" t="n">
        <f aca="false">(W35-V53)/(W53-V53)*W23+(V53-V44)/(V53-U53)*V23</f>
        <v>5332.6835482671</v>
      </c>
      <c r="X41" s="360" t="n">
        <f aca="false">(X35-W53)/(X53-W53)*X23+(W53-W44)/(W53-V53)*W23</f>
        <v>5365.02360166607</v>
      </c>
      <c r="Y41" s="360" t="n">
        <f aca="false">(Y35-X53)/(Y53-X53)*Y23+(X53-X44)/(X53-W53)*X23</f>
        <v>5396.91215099172</v>
      </c>
      <c r="Z41" s="360" t="n">
        <f aca="false">(Z35-Y53)/(Z53-Y53)*Z23+(Y53-Y44)/(Y53-X53)*Y23</f>
        <v>5428.50453430035</v>
      </c>
      <c r="AA41" s="360" t="n">
        <f aca="false">(AA35-Z53)/(AA53-Z53)*AA23+(Z53-Z44)/(Z53-Y53)*Z23</f>
        <v>5459.44641694344</v>
      </c>
      <c r="AB41" s="360" t="n">
        <f aca="false">(AB35-AA53)/(AB53-AA53)*AB23+(AA53-AA44)/(AA53-Z53)*AA23</f>
        <v>5489.89490883494</v>
      </c>
      <c r="AC41" s="360" t="n">
        <f aca="false">(AC35-AB53)/(AC53-AB53)*AC23+(AB53-AB44)/(AB53-AA53)*AB23</f>
        <v>5519.83522891415</v>
      </c>
      <c r="AD41" s="360" t="n">
        <f aca="false">(AD35-AC53)/(AD53-AC53)*AD23+(AC53-AC44)/(AC53-AB53)*AC23</f>
        <v>5549.40982773267</v>
      </c>
      <c r="AE41" s="360" t="n">
        <f aca="false">(AE35-AD53)/(AE53-AD53)*AE23+(AD53-AD44)/(AD53-AC53)*AD23</f>
        <v>5578.28466612054</v>
      </c>
      <c r="AF41" s="360" t="n">
        <f aca="false">(AF35-AE53)/(AF53-AE53)*AF23+(AE53-AE44)/(AE53-AD53)*AE23</f>
        <v>4868.98849290218</v>
      </c>
    </row>
    <row r="42" customFormat="false" ht="12.75" hidden="false" customHeight="false" outlineLevel="0" collapsed="false">
      <c r="A42" s="362" t="s">
        <v>54</v>
      </c>
      <c r="B42" s="363"/>
      <c r="C42" s="364" t="n">
        <f aca="false">IF(C40&gt;0.1,C41/(C39+C38+B57+B56)," ")</f>
        <v>1.3</v>
      </c>
      <c r="D42" s="364" t="n">
        <f aca="false">IF(D40&gt;0.1,D41/(D39+D38+C57+C56)," ")</f>
        <v>1.3</v>
      </c>
      <c r="E42" s="364" t="n">
        <f aca="false">IF(E40&gt;0.1,E41/(E39+E38+D57+D56)," ")</f>
        <v>1.3</v>
      </c>
      <c r="F42" s="364" t="n">
        <f aca="false">IF(F40&gt;0.1,F41/(F39+F38+E57+E56)," ")</f>
        <v>1.3</v>
      </c>
      <c r="G42" s="364" t="n">
        <f aca="false">IF(G40&gt;0.1,G41/(G39+G38+F57+F56)," ")</f>
        <v>1.3</v>
      </c>
      <c r="H42" s="364" t="n">
        <f aca="false">IF(H40&gt;0.1,H41/(H39+H38+G57+G56)," ")</f>
        <v>1.3</v>
      </c>
      <c r="I42" s="364" t="n">
        <f aca="false">IF(I40&gt;0.1,I41/(I39+I38+H57+H56)," ")</f>
        <v>1.3</v>
      </c>
      <c r="J42" s="364" t="n">
        <f aca="false">IF(J40&gt;0.1,J41/(J39+J38+I57+I56)," ")</f>
        <v>1.3</v>
      </c>
      <c r="K42" s="364" t="n">
        <f aca="false">IF(K40&gt;0.1,K41/(K39+K38+J57+J56)," ")</f>
        <v>1.3</v>
      </c>
      <c r="L42" s="364" t="n">
        <f aca="false">IF(L40&gt;0.1,L41/(L39+L38+K57+K56)," ")</f>
        <v>1.3</v>
      </c>
      <c r="M42" s="364" t="n">
        <f aca="false">IF(M40&gt;0.1,M41/(M39+M38+L57+L56)," ")</f>
        <v>1.3</v>
      </c>
      <c r="N42" s="364" t="n">
        <f aca="false">IF(N40&gt;0.1,N41/(N39+N38+M57+M56)," ")</f>
        <v>1.3</v>
      </c>
      <c r="O42" s="364" t="n">
        <f aca="false">IF(O40&gt;0.1,O41/(O39+O38+N57+N56)," ")</f>
        <v>1.3</v>
      </c>
      <c r="P42" s="364" t="n">
        <f aca="false">IF(P40&gt;0.1,P41/(P39+P38+O57+O56)," ")</f>
        <v>1.3</v>
      </c>
      <c r="Q42" s="364" t="n">
        <f aca="false">IF(Q40&gt;0.1,Q41/(Q39+Q38+P57+P56)," ")</f>
        <v>1.3</v>
      </c>
      <c r="R42" s="364" t="n">
        <f aca="false">IF(R40&gt;0.1,R41/(R39+R38+Q57+Q56)," ")</f>
        <v>1.3</v>
      </c>
      <c r="S42" s="364" t="n">
        <f aca="false">IF(S40&gt;0.1,S41/(S39+S38+R57+R56)," ")</f>
        <v>1.3</v>
      </c>
      <c r="T42" s="364" t="str">
        <f aca="false">IF(T40&gt;0.1,T41/(T39+T38+S57+S56)," ")</f>
        <v> </v>
      </c>
      <c r="U42" s="364" t="str">
        <f aca="false">IF(U40&gt;0.1,U41/(U39+U38+T57+T56)," ")</f>
        <v> </v>
      </c>
      <c r="V42" s="364" t="str">
        <f aca="false">IF(V40&gt;0.1,V41/(V39+V38+U57+U56)," ")</f>
        <v> </v>
      </c>
      <c r="W42" s="364" t="str">
        <f aca="false">IF(W40&gt;0.1,W41/(W39+W38+V57+V56)," ")</f>
        <v> </v>
      </c>
      <c r="X42" s="364" t="str">
        <f aca="false">IF(X40&gt;0.1,X41/(X39+X38+W57+W56)," ")</f>
        <v> </v>
      </c>
      <c r="Y42" s="364" t="str">
        <f aca="false">IF(Y40&gt;0.1,Y41/(Y39+Y38+X57+X56)," ")</f>
        <v> </v>
      </c>
      <c r="Z42" s="364" t="str">
        <f aca="false">IF(Z40&gt;0.1,Z41/(Z39+Z38+Y57+Y56)," ")</f>
        <v> </v>
      </c>
      <c r="AA42" s="364" t="str">
        <f aca="false">IF(AA40&gt;0.1,AA41/(AA39+AA38+Z57+Z56)," ")</f>
        <v> </v>
      </c>
      <c r="AB42" s="364" t="str">
        <f aca="false">IF(AB40&gt;0.1,AB41/(AB39+AB38+AA57+AA56)," ")</f>
        <v> </v>
      </c>
      <c r="AC42" s="364" t="str">
        <f aca="false">IF(AC40&gt;0.1,AC41/(AC39+AC38+AB57+AB56)," ")</f>
        <v> </v>
      </c>
      <c r="AD42" s="364" t="str">
        <f aca="false">IF(AD40&gt;0.1,AD41/(AD39+AD38+AC57+AC56)," ")</f>
        <v> </v>
      </c>
      <c r="AE42" s="364" t="str">
        <f aca="false">IF(AE40&gt;0.1,AE41/(AE39+AE38+AD57+AD56)," ")</f>
        <v> </v>
      </c>
      <c r="AF42" s="364" t="str">
        <f aca="false">IF(AF40&gt;0.1,AF41/(AF39+AF38+AE57+AE56)," ")</f>
        <v> </v>
      </c>
    </row>
    <row r="43" customFormat="false" ht="12.75" hidden="false" customHeight="false" outlineLevel="0" collapsed="false">
      <c r="A43" s="279"/>
      <c r="B43" s="352"/>
      <c r="C43" s="349"/>
    </row>
    <row r="44" customFormat="false" ht="12.75" hidden="false" customHeight="false" outlineLevel="0" collapsed="false">
      <c r="A44" s="365" t="s">
        <v>348</v>
      </c>
      <c r="B44" s="355" t="n">
        <v>37104</v>
      </c>
      <c r="C44" s="355" t="n">
        <v>37469</v>
      </c>
      <c r="D44" s="355" t="n">
        <v>37834</v>
      </c>
      <c r="E44" s="355" t="n">
        <v>38200</v>
      </c>
      <c r="F44" s="355" t="n">
        <v>38565</v>
      </c>
      <c r="G44" s="355" t="n">
        <v>38930</v>
      </c>
      <c r="H44" s="355" t="n">
        <v>39295</v>
      </c>
      <c r="I44" s="355" t="n">
        <v>39661</v>
      </c>
      <c r="J44" s="355" t="n">
        <v>40026</v>
      </c>
      <c r="K44" s="355" t="n">
        <v>40391</v>
      </c>
      <c r="L44" s="355" t="n">
        <v>40756</v>
      </c>
      <c r="M44" s="355" t="n">
        <v>41122</v>
      </c>
      <c r="N44" s="355" t="n">
        <v>41487</v>
      </c>
      <c r="O44" s="355" t="n">
        <v>41852</v>
      </c>
      <c r="P44" s="355" t="n">
        <v>42217</v>
      </c>
      <c r="Q44" s="355" t="n">
        <v>42583</v>
      </c>
      <c r="R44" s="355" t="n">
        <f aca="false">Assumptions!G33</f>
        <v>42948.25</v>
      </c>
      <c r="S44" s="355" t="n">
        <v>43313</v>
      </c>
      <c r="T44" s="355" t="n">
        <v>43678</v>
      </c>
      <c r="U44" s="355" t="n">
        <v>44044</v>
      </c>
      <c r="V44" s="355" t="n">
        <v>44409</v>
      </c>
      <c r="W44" s="355" t="n">
        <v>44774</v>
      </c>
      <c r="X44" s="355" t="n">
        <v>45139</v>
      </c>
      <c r="Y44" s="355" t="n">
        <v>45505</v>
      </c>
      <c r="Z44" s="355" t="n">
        <v>45870</v>
      </c>
      <c r="AA44" s="355" t="n">
        <v>46235</v>
      </c>
      <c r="AB44" s="355" t="n">
        <v>46600</v>
      </c>
      <c r="AC44" s="355" t="n">
        <v>46966</v>
      </c>
      <c r="AD44" s="355" t="n">
        <v>47331</v>
      </c>
      <c r="AE44" s="355" t="n">
        <v>47696</v>
      </c>
      <c r="AF44" s="355" t="n">
        <v>48061</v>
      </c>
    </row>
    <row r="45" customFormat="false" ht="12.75" hidden="false" customHeight="false" outlineLevel="0" collapsed="false">
      <c r="A45" s="356" t="s">
        <v>342</v>
      </c>
      <c r="B45" s="358" t="n">
        <f aca="false">B40</f>
        <v>61666.6025948104</v>
      </c>
      <c r="C45" s="356" t="n">
        <f aca="false">C40</f>
        <v>61281.4391274995</v>
      </c>
      <c r="D45" s="356" t="n">
        <f aca="false">D40</f>
        <v>60745.5031454382</v>
      </c>
      <c r="E45" s="356" t="n">
        <f aca="false">E40</f>
        <v>60103.0600400615</v>
      </c>
      <c r="F45" s="356" t="n">
        <f aca="false">F40</f>
        <v>58619.5465547441</v>
      </c>
      <c r="G45" s="356" t="n">
        <f aca="false">G40</f>
        <v>56668.1782595932</v>
      </c>
      <c r="H45" s="356" t="n">
        <f aca="false">H40</f>
        <v>54478.910023773</v>
      </c>
      <c r="I45" s="356" t="n">
        <f aca="false">I40</f>
        <v>52034.6485057009</v>
      </c>
      <c r="J45" s="356" t="n">
        <f aca="false">J40</f>
        <v>49296.497687703</v>
      </c>
      <c r="K45" s="356" t="n">
        <f aca="false">K40</f>
        <v>46142.9151800496</v>
      </c>
      <c r="L45" s="356" t="n">
        <f aca="false">L40</f>
        <v>42645.803191136</v>
      </c>
      <c r="M45" s="356" t="n">
        <f aca="false">M40</f>
        <v>38656.9872015036</v>
      </c>
      <c r="N45" s="356" t="n">
        <f aca="false">N40</f>
        <v>34244.074185936</v>
      </c>
      <c r="O45" s="356" t="n">
        <f aca="false">O40</f>
        <v>29270.5326165136</v>
      </c>
      <c r="P45" s="356" t="n">
        <f aca="false">P40</f>
        <v>23820.8150065238</v>
      </c>
      <c r="Q45" s="356" t="n">
        <f aca="false">Q40</f>
        <v>17859.4832525712</v>
      </c>
      <c r="R45" s="356" t="n">
        <f aca="false">R40</f>
        <v>11326.0132370915</v>
      </c>
      <c r="S45" s="356" t="n">
        <f aca="false">S40</f>
        <v>4177.99175707769</v>
      </c>
      <c r="T45" s="356" t="n">
        <f aca="false">T40</f>
        <v>0</v>
      </c>
      <c r="U45" s="356" t="n">
        <f aca="false">U40</f>
        <v>0</v>
      </c>
      <c r="V45" s="356" t="n">
        <f aca="false">V40</f>
        <v>0</v>
      </c>
      <c r="W45" s="356" t="n">
        <f aca="false">W40</f>
        <v>0</v>
      </c>
      <c r="X45" s="356" t="n">
        <f aca="false">X40</f>
        <v>0</v>
      </c>
      <c r="Y45" s="356" t="n">
        <f aca="false">Y40</f>
        <v>0</v>
      </c>
      <c r="Z45" s="356" t="n">
        <f aca="false">Z40</f>
        <v>0</v>
      </c>
      <c r="AA45" s="356" t="n">
        <f aca="false">AA40</f>
        <v>0</v>
      </c>
      <c r="AB45" s="356" t="n">
        <f aca="false">AB40</f>
        <v>0</v>
      </c>
      <c r="AC45" s="356" t="n">
        <f aca="false">AC40</f>
        <v>0</v>
      </c>
      <c r="AD45" s="356" t="n">
        <f aca="false">AD40</f>
        <v>0</v>
      </c>
      <c r="AE45" s="356" t="n">
        <f aca="false">AE40</f>
        <v>0</v>
      </c>
      <c r="AF45" s="356" t="n">
        <f aca="false">AF40</f>
        <v>0</v>
      </c>
    </row>
    <row r="46" customFormat="false" ht="12.75" hidden="false" customHeight="false" outlineLevel="0" collapsed="false">
      <c r="A46" s="356" t="s">
        <v>343</v>
      </c>
      <c r="B46" s="358" t="n">
        <v>0</v>
      </c>
      <c r="C46" s="358" t="n">
        <v>0</v>
      </c>
      <c r="D46" s="358" t="n">
        <v>0</v>
      </c>
      <c r="E46" s="358" t="n">
        <v>0</v>
      </c>
      <c r="F46" s="358" t="n">
        <v>0</v>
      </c>
      <c r="G46" s="358" t="n">
        <v>0</v>
      </c>
      <c r="H46" s="358" t="n">
        <v>0</v>
      </c>
      <c r="I46" s="358" t="n">
        <v>0</v>
      </c>
      <c r="J46" s="358" t="n">
        <v>0</v>
      </c>
      <c r="K46" s="358" t="n">
        <v>0</v>
      </c>
      <c r="L46" s="358" t="n">
        <v>0</v>
      </c>
      <c r="M46" s="358" t="n">
        <v>0</v>
      </c>
      <c r="N46" s="358" t="n">
        <v>0</v>
      </c>
      <c r="O46" s="358" t="n">
        <v>0</v>
      </c>
      <c r="P46" s="358" t="n">
        <v>0</v>
      </c>
      <c r="Q46" s="358" t="n">
        <v>0</v>
      </c>
      <c r="R46" s="358" t="n">
        <v>0</v>
      </c>
      <c r="S46" s="358" t="n">
        <v>0</v>
      </c>
      <c r="T46" s="358" t="n">
        <v>0</v>
      </c>
      <c r="U46" s="358" t="n">
        <v>0</v>
      </c>
      <c r="V46" s="358" t="n">
        <v>0</v>
      </c>
      <c r="W46" s="358" t="n">
        <v>0</v>
      </c>
      <c r="X46" s="358" t="n">
        <v>0</v>
      </c>
      <c r="Y46" s="358" t="n">
        <v>0</v>
      </c>
      <c r="Z46" s="358" t="n">
        <v>0</v>
      </c>
      <c r="AA46" s="358" t="n">
        <v>0</v>
      </c>
      <c r="AB46" s="358" t="n">
        <v>0</v>
      </c>
      <c r="AC46" s="358" t="n">
        <v>0</v>
      </c>
      <c r="AD46" s="358" t="n">
        <v>0</v>
      </c>
      <c r="AE46" s="358" t="n">
        <v>0</v>
      </c>
      <c r="AF46" s="358" t="n">
        <v>0</v>
      </c>
    </row>
    <row r="47" customFormat="false" ht="12.75" hidden="false" customHeight="false" outlineLevel="0" collapsed="false">
      <c r="A47" s="356" t="s">
        <v>344</v>
      </c>
      <c r="B47" s="356" t="n">
        <f aca="false">B45-B49</f>
        <v>126.440568293081</v>
      </c>
      <c r="C47" s="356" t="n">
        <f aca="false">C45-C49</f>
        <v>260.22268088234</v>
      </c>
      <c r="D47" s="356" t="n">
        <f aca="false">D45-D49</f>
        <v>277.348817865786</v>
      </c>
      <c r="E47" s="356" t="n">
        <f aca="false">E45-E49</f>
        <v>705.193051386159</v>
      </c>
      <c r="F47" s="356" t="n">
        <f aca="false">F45-F49</f>
        <v>942.848006169479</v>
      </c>
      <c r="G47" s="356" t="n">
        <f aca="false">G45-G49</f>
        <v>1058.34464128514</v>
      </c>
      <c r="H47" s="356" t="n">
        <f aca="false">H45-H49</f>
        <v>1182.12213223043</v>
      </c>
      <c r="I47" s="356" t="n">
        <f aca="false">I45-I49</f>
        <v>1322.24578030007</v>
      </c>
      <c r="J47" s="356" t="n">
        <f aca="false">J45-J49</f>
        <v>1525.99937879515</v>
      </c>
      <c r="K47" s="356" t="n">
        <f aca="false">K45-K49</f>
        <v>1686.53460527081</v>
      </c>
      <c r="L47" s="356" t="n">
        <f aca="false">L45-L49</f>
        <v>1931.16067495081</v>
      </c>
      <c r="M47" s="356" t="n">
        <f aca="false">M45-M49</f>
        <v>2135.87954970521</v>
      </c>
      <c r="N47" s="356" t="n">
        <f aca="false">N45-N49</f>
        <v>2408.588987774</v>
      </c>
      <c r="O47" s="356" t="n">
        <f aca="false">O45-O49</f>
        <v>2639.69213180121</v>
      </c>
      <c r="P47" s="356" t="n">
        <f aca="false">P45-P49</f>
        <v>2887.99758004055</v>
      </c>
      <c r="Q47" s="356" t="n">
        <f aca="false">Q45-Q49</f>
        <v>3172.2012590346</v>
      </c>
      <c r="R47" s="356" t="n">
        <f aca="false">R45-R49</f>
        <v>3467.50712200346</v>
      </c>
      <c r="S47" s="356" t="n">
        <f aca="false">S45-S49</f>
        <v>3782.66784590262</v>
      </c>
      <c r="T47" s="356" t="n">
        <f aca="false">T45-T49</f>
        <v>0</v>
      </c>
      <c r="U47" s="356" t="n">
        <f aca="false">U45-U49</f>
        <v>0</v>
      </c>
      <c r="V47" s="356" t="n">
        <f aca="false">V45-V49</f>
        <v>0</v>
      </c>
      <c r="W47" s="356" t="n">
        <f aca="false">W45-W49</f>
        <v>0</v>
      </c>
      <c r="X47" s="356" t="n">
        <f aca="false">X45-X49</f>
        <v>0</v>
      </c>
      <c r="Y47" s="356" t="n">
        <f aca="false">Y45-Y49</f>
        <v>0</v>
      </c>
      <c r="Z47" s="356" t="n">
        <f aca="false">Z45-Z49</f>
        <v>0</v>
      </c>
      <c r="AA47" s="356" t="n">
        <f aca="false">AA45-AA49</f>
        <v>0</v>
      </c>
      <c r="AB47" s="356" t="n">
        <f aca="false">AB45-AB49</f>
        <v>0</v>
      </c>
      <c r="AC47" s="356" t="n">
        <f aca="false">AC45-AC49</f>
        <v>0</v>
      </c>
      <c r="AD47" s="356" t="n">
        <f aca="false">AD45-AD49</f>
        <v>0</v>
      </c>
      <c r="AE47" s="356" t="n">
        <f aca="false">AE45-AE49</f>
        <v>0</v>
      </c>
      <c r="AF47" s="356" t="n">
        <f aca="false">AF45-AF49</f>
        <v>0</v>
      </c>
    </row>
    <row r="48" customFormat="false" ht="12.75" hidden="false" customHeight="false" outlineLevel="0" collapsed="false">
      <c r="A48" s="356" t="s">
        <v>345</v>
      </c>
      <c r="B48" s="360" t="n">
        <f aca="false">B45*(B44-Assumptions!H16)/365.25*$B$7</f>
        <v>1216.21228871178</v>
      </c>
      <c r="C48" s="360" t="n">
        <f aca="false">C45*(C44-C35)/(C53-B53)*$B$7</f>
        <v>2377.82050580879</v>
      </c>
      <c r="D48" s="360" t="n">
        <f aca="false">D45*(D44-D35)/(D53-C53)*$B$7</f>
        <v>2357.02530931716</v>
      </c>
      <c r="E48" s="360" t="n">
        <f aca="false">E45*(E44-E35)/(E53-D53)*$B$7</f>
        <v>2344.9819778423</v>
      </c>
      <c r="F48" s="360" t="n">
        <f aca="false">F45*(F44-F35)/(F53-E53)*$B$7</f>
        <v>2274.53470126708</v>
      </c>
      <c r="G48" s="360" t="n">
        <f aca="false">G45*(G44-G35)/(G53-F53)*$B$7</f>
        <v>2198.81840588209</v>
      </c>
      <c r="H48" s="360" t="n">
        <f aca="false">H45*(H44-H35)/(H53-G53)*$B$7</f>
        <v>2113.87120199841</v>
      </c>
      <c r="I48" s="360" t="n">
        <f aca="false">I45*(I44-I35)/(I53-H53)*$B$7</f>
        <v>2030.18470087705</v>
      </c>
      <c r="J48" s="360" t="n">
        <f aca="false">J45*(J44-J35)/(J53-I53)*$B$7</f>
        <v>1912.78509015588</v>
      </c>
      <c r="K48" s="360" t="n">
        <f aca="false">K45*(K44-K35)/(K53-J53)*$B$7</f>
        <v>1790.42090843591</v>
      </c>
      <c r="L48" s="360" t="n">
        <f aca="false">L45*(L44-L35)/(L53-K53)*$B$7</f>
        <v>1654.72721852358</v>
      </c>
      <c r="M48" s="360" t="n">
        <f aca="false">M45*(M44-M35)/(M53-L53)*$B$7</f>
        <v>1508.24164767624</v>
      </c>
      <c r="N48" s="360" t="n">
        <f aca="false">N45*(N44-N35)/(N53-M53)*$B$7</f>
        <v>1328.7263315136</v>
      </c>
      <c r="O48" s="360" t="n">
        <f aca="false">O45*(O44-O35)/(O53-N53)*$B$7</f>
        <v>1135.74474853118</v>
      </c>
      <c r="P48" s="360" t="n">
        <f aca="false">P45*(P44-P35)/(P53-O53)*$B$7</f>
        <v>924.286752955394</v>
      </c>
      <c r="Q48" s="360" t="n">
        <f aca="false">Q45*(Q44-Q35)/(Q53-P53)*$B$7</f>
        <v>696.805891961922</v>
      </c>
      <c r="R48" s="360" t="n">
        <f aca="false">R45*(R44-R35)/(R53-Q53)*$B$7</f>
        <v>440.074918847771</v>
      </c>
      <c r="S48" s="360" t="n">
        <f aca="false">S45*(S44-S35)/(S53-R53)*$B$7</f>
        <v>162.112943405427</v>
      </c>
      <c r="T48" s="360" t="n">
        <f aca="false">T45*(T44-T35)/(T53-S53)*$B$7</f>
        <v>0</v>
      </c>
      <c r="U48" s="360" t="n">
        <f aca="false">U45*(U44-U35)/(U53-T53)*$B$7</f>
        <v>0</v>
      </c>
      <c r="V48" s="360" t="n">
        <f aca="false">V45*(V44-V35)/(V53-U53)*$B$7</f>
        <v>0</v>
      </c>
      <c r="W48" s="360" t="n">
        <f aca="false">W45*(W44-W35)/(W53-V53)*$B$7</f>
        <v>0</v>
      </c>
      <c r="X48" s="360" t="n">
        <f aca="false">X45*(X44-X35)/(X53-W53)*$B$7</f>
        <v>0</v>
      </c>
      <c r="Y48" s="360" t="n">
        <f aca="false">Y45*(Y44-Y35)/(Y53-X53)*$B$7</f>
        <v>0</v>
      </c>
      <c r="Z48" s="360" t="n">
        <f aca="false">Z45*(Z44-Z35)/(Z53-Y53)*$B$7</f>
        <v>0</v>
      </c>
      <c r="AA48" s="360" t="n">
        <f aca="false">AA45*(AA44-AA35)/(AA53-Z53)*$B$7</f>
        <v>0</v>
      </c>
      <c r="AB48" s="360" t="n">
        <f aca="false">AB45*(AB44-AB35)/(AB53-AA53)*$B$7</f>
        <v>0</v>
      </c>
      <c r="AC48" s="360" t="n">
        <f aca="false">AC45*(AC44-AC35)/(AC53-AB53)*$B$7</f>
        <v>0</v>
      </c>
      <c r="AD48" s="360" t="n">
        <f aca="false">AD45*(AD44-AD35)/(AD53-AC53)*$B$7</f>
        <v>0</v>
      </c>
      <c r="AE48" s="360" t="n">
        <f aca="false">AE45*(AE44-AE35)/(AE53-AD53)*$B$7</f>
        <v>0</v>
      </c>
      <c r="AF48" s="360" t="n">
        <f aca="false">AF45*(AF44-AF35)/(AF53-AE53)*$B$7</f>
        <v>0</v>
      </c>
    </row>
    <row r="49" customFormat="false" ht="12.75" hidden="false" customHeight="false" outlineLevel="0" collapsed="false">
      <c r="A49" s="356" t="s">
        <v>346</v>
      </c>
      <c r="B49" s="360" t="n">
        <f aca="false">MAX(B45+B46+B48-(B44-Assumptions!H16)/(B53-Assumptions!H16)*B25,0)</f>
        <v>61540.1620265173</v>
      </c>
      <c r="C49" s="360" t="n">
        <f aca="false">MAX(C45+C46+C48-(C44-C35)/(C53-B53)*C25,0)</f>
        <v>61021.2164466171</v>
      </c>
      <c r="D49" s="360" t="n">
        <f aca="false">MAX(D45+D46+D48-(D44-D35)/(D53-C53)*D25,0)</f>
        <v>60468.1543275724</v>
      </c>
      <c r="E49" s="360" t="n">
        <f aca="false">MAX(E45+E46+E48-(E44-E35)/(E53-D53)*E25,0)</f>
        <v>59397.8669886753</v>
      </c>
      <c r="F49" s="360" t="n">
        <f aca="false">MAX(F45+F46+F48-(F44-F35)/(F53-E53)*F25,0)</f>
        <v>57676.6985485747</v>
      </c>
      <c r="G49" s="360" t="n">
        <f aca="false">MAX(G45+G46+G48-(G44-G35)/(G53-F53)*G25,0)</f>
        <v>55609.8336183081</v>
      </c>
      <c r="H49" s="360" t="n">
        <f aca="false">MAX(H45+H46+H48-(H44-H35)/(H53-G53)*H25,0)</f>
        <v>53296.7878915425</v>
      </c>
      <c r="I49" s="360" t="n">
        <f aca="false">MAX(I45+I46+I48-(I44-I35)/(I53-H53)*I25,0)</f>
        <v>50712.4027254008</v>
      </c>
      <c r="J49" s="360" t="n">
        <f aca="false">MAX(J45+J46+J48-(J44-J35)/(J53-I53)*J25,0)</f>
        <v>47770.4983089079</v>
      </c>
      <c r="K49" s="360" t="n">
        <f aca="false">MAX(K45+K46+K48-(K44-K35)/(K53-J53)*K25,0)</f>
        <v>44456.3805747788</v>
      </c>
      <c r="L49" s="360" t="n">
        <f aca="false">MAX(L45+L46+L48-(L44-L35)/(L53-K53)*L25,0)</f>
        <v>40714.6425161852</v>
      </c>
      <c r="M49" s="360" t="n">
        <f aca="false">MAX(M45+M46+M48-(M44-M35)/(M53-L53)*M25,0)</f>
        <v>36521.1076517984</v>
      </c>
      <c r="N49" s="360" t="n">
        <f aca="false">MAX(N45+N46+N48-(N44-N35)/(N53-M53)*N25,0)</f>
        <v>31835.485198162</v>
      </c>
      <c r="O49" s="360" t="n">
        <f aca="false">MAX(O45+O46+O48-(O44-O35)/(O53-N53)*O25,0)</f>
        <v>26630.8404847124</v>
      </c>
      <c r="P49" s="360" t="n">
        <f aca="false">MAX(P45+P46+P48-(P44-P35)/(P53-O53)*P25,0)</f>
        <v>20932.8174264833</v>
      </c>
      <c r="Q49" s="360" t="n">
        <f aca="false">MAX(Q45+Q46+Q48-(Q44-Q35)/(Q53-P53)*Q25,0)</f>
        <v>14687.2819935366</v>
      </c>
      <c r="R49" s="360" t="n">
        <f aca="false">MAX(R45+R46+R48-(R44-R35)/(R53-Q53)*R25,0)</f>
        <v>7858.50611508807</v>
      </c>
      <c r="S49" s="360" t="n">
        <f aca="false">MAX(S45+S46+S48-(S44-S35)/(S53-R53)*S25,0)</f>
        <v>395.32391117507</v>
      </c>
      <c r="T49" s="360" t="n">
        <f aca="false">MAX(T45+T46+T48-(T44-T35)/(T53-S53)*T25,0)</f>
        <v>0</v>
      </c>
      <c r="U49" s="360" t="n">
        <f aca="false">MAX(U45+U46+U48-(U44-U35)/(U53-T53)*U25,0)</f>
        <v>0</v>
      </c>
      <c r="V49" s="360" t="n">
        <f aca="false">MAX(V45+V46+V48-(V44-V35)/(V53-U53)*V25,0)</f>
        <v>0</v>
      </c>
      <c r="W49" s="360" t="n">
        <f aca="false">MAX(W45+W46+W48-(W44-W35)/(W53-V53)*W25,0)</f>
        <v>0</v>
      </c>
      <c r="X49" s="360" t="n">
        <f aca="false">MAX(X45+X46+X48-(X44-X35)/(X53-W53)*X25,0)</f>
        <v>0</v>
      </c>
      <c r="Y49" s="360" t="n">
        <f aca="false">MAX(Y45+Y46+Y48-(Y44-Y35)/(Y53-X53)*Y25,0)</f>
        <v>0</v>
      </c>
      <c r="Z49" s="360" t="n">
        <f aca="false">MAX(Z45+Z46+Z48-(Z44-Z35)/(Z53-Y53)*Z25,0)</f>
        <v>0</v>
      </c>
      <c r="AA49" s="360" t="n">
        <f aca="false">MAX(AA45+AA46+AA48-(AA44-AA35)/(AA53-Z53)*AA25,0)</f>
        <v>0</v>
      </c>
      <c r="AB49" s="360" t="n">
        <f aca="false">MAX(AB45+AB46+AB48-(AB44-AB35)/(AB53-AA53)*AB25,0)</f>
        <v>0</v>
      </c>
      <c r="AC49" s="360" t="n">
        <f aca="false">MAX(AC45+AC46+AC48-(AC44-AC35)/(AC53-AB53)*AC25,0)</f>
        <v>0</v>
      </c>
      <c r="AD49" s="360" t="n">
        <f aca="false">MAX(AD45+AD46+AD48-(AD44-AD35)/(AD53-AC53)*AD25,0)</f>
        <v>0</v>
      </c>
      <c r="AE49" s="360" t="n">
        <f aca="false">MAX(AE45+AE46+AE48-(AE44-AE35)/(AE53-AD53)*AE25,0)</f>
        <v>0</v>
      </c>
      <c r="AF49" s="360" t="n">
        <f aca="false">MAX(AF45+AF46+AF48-(AF44-AF35)/(AF53-AE53)*AF25,0)</f>
        <v>0</v>
      </c>
    </row>
    <row r="50" customFormat="false" ht="12.75" hidden="false" customHeight="false" outlineLevel="0" collapsed="false">
      <c r="A50" s="356" t="s">
        <v>347</v>
      </c>
      <c r="B50" s="360" t="n">
        <f aca="false">(B44-Assumptions!H16)/(Debt!B53-Assumptions!H16)*B23</f>
        <v>1745.44871410631</v>
      </c>
      <c r="C50" s="360" t="n">
        <f aca="false">(C44-C35)/(C53-B53)*C23</f>
        <v>3429.45614269848</v>
      </c>
      <c r="D50" s="360" t="n">
        <f aca="false">(D44-D35)/(D53-C53)*D23</f>
        <v>3424.68636533783</v>
      </c>
      <c r="E50" s="360" t="n">
        <f aca="false">(E44-E35)/(E53-D53)*E23</f>
        <v>3965.22753799699</v>
      </c>
      <c r="F50" s="360" t="n">
        <f aca="false">(F44-F35)/(F53-E53)*F23</f>
        <v>4182.59751966752</v>
      </c>
      <c r="G50" s="360" t="n">
        <f aca="false">(G44-G35)/(G53-F53)*G23</f>
        <v>4234.3119613174</v>
      </c>
      <c r="H50" s="360" t="n">
        <f aca="false">(H44-H35)/(H53-G53)*H23</f>
        <v>4284.79133449749</v>
      </c>
      <c r="I50" s="360" t="n">
        <f aca="false">(I44-I35)/(I53-H53)*I23</f>
        <v>4358.15962553026</v>
      </c>
      <c r="J50" s="360" t="n">
        <f aca="false">(J44-J35)/(J53-I53)*J23</f>
        <v>4470.41980963633</v>
      </c>
      <c r="K50" s="360" t="n">
        <f aca="false">(K44-K35)/(K53-J53)*K23</f>
        <v>4520.04216781874</v>
      </c>
      <c r="L50" s="360" t="n">
        <f aca="false">(L44-L35)/(L53-K53)*L23</f>
        <v>4661.6542615167</v>
      </c>
      <c r="M50" s="360" t="n">
        <f aca="false">(M44-M35)/(M53-L53)*M23</f>
        <v>4737.35755659589</v>
      </c>
      <c r="N50" s="360" t="n">
        <f aca="false">(N44-N35)/(N53-M53)*N23</f>
        <v>4858.50991507387</v>
      </c>
      <c r="O50" s="360" t="n">
        <f aca="false">(O44-O35)/(O53-N53)*O23</f>
        <v>4908.06794443212</v>
      </c>
      <c r="P50" s="360" t="n">
        <f aca="false">(P44-P35)/(P53-O53)*P23</f>
        <v>4955.96963289473</v>
      </c>
      <c r="Q50" s="360" t="n">
        <f aca="false">(Q44-Q35)/(Q53-P53)*Q23</f>
        <v>5029.70929629548</v>
      </c>
      <c r="R50" s="360" t="n">
        <f aca="false">(R44-R35)/(R53-Q53)*R23</f>
        <v>5079.85665310661</v>
      </c>
      <c r="S50" s="360" t="n">
        <f aca="false">(S44-S35)/(S53-R53)*S23</f>
        <v>5128.21502610045</v>
      </c>
      <c r="T50" s="360" t="n">
        <f aca="false">(T44-T35)/(T53-S53)*T23</f>
        <v>5168.00541941722</v>
      </c>
      <c r="U50" s="360" t="n">
        <f aca="false">(U44-U35)/(U53-T53)*U23</f>
        <v>5234.11817120296</v>
      </c>
      <c r="V50" s="360" t="n">
        <f aca="false">(V44-V35)/(V53-U53)*V23</f>
        <v>5240.09713814679</v>
      </c>
      <c r="W50" s="360" t="n">
        <f aca="false">(W44-W35)/(W53-V53)*W23</f>
        <v>5272.03094791097</v>
      </c>
      <c r="X50" s="360" t="n">
        <f aca="false">(X44-X35)/(X53-W53)*X23</f>
        <v>5303.5217226688</v>
      </c>
      <c r="Y50" s="360" t="n">
        <f aca="false">(Y44-Y35)/(Y53-X53)*Y23</f>
        <v>5364.02885739977</v>
      </c>
      <c r="Z50" s="360" t="n">
        <f aca="false">(Z44-Z35)/(Z53-Y53)*Z23</f>
        <v>5365.12060423315</v>
      </c>
      <c r="AA50" s="360" t="n">
        <f aca="false">(AA44-AA35)/(AA53-Z53)*AA23</f>
        <v>5395.20092078281</v>
      </c>
      <c r="AB50" s="360" t="n">
        <f aca="false">(AB44-AB35)/(AB53-AA53)*AB23</f>
        <v>5424.78259752968</v>
      </c>
      <c r="AC50" s="360" t="n">
        <f aca="false">(AC44-AC35)/(AC53-AB53)*AC23</f>
        <v>5483.98244696632</v>
      </c>
      <c r="AD50" s="360" t="n">
        <f aca="false">(AD44-AD35)/(AD53-AC53)*AD23</f>
        <v>5482.38974606292</v>
      </c>
      <c r="AE50" s="360" t="n">
        <f aca="false">(AE44-AE35)/(AE53-AD53)*AE23</f>
        <v>5510.38393967036</v>
      </c>
      <c r="AF50" s="360" t="n">
        <f aca="false">(AF44-AF35)/(AF53-AE53)*AF23</f>
        <v>1398.0202905525</v>
      </c>
    </row>
    <row r="51" customFormat="false" ht="12.75" hidden="false" customHeight="false" outlineLevel="0" collapsed="false">
      <c r="A51" s="362" t="s">
        <v>54</v>
      </c>
      <c r="B51" s="364" t="n">
        <f aca="false">IF(B49&gt;0.1,B50/(B48+B47)," ")</f>
        <v>1.3</v>
      </c>
      <c r="C51" s="364" t="n">
        <f aca="false">IF(C49&gt;0.1,C50/(C48+C47)," ")</f>
        <v>1.3</v>
      </c>
      <c r="D51" s="364" t="n">
        <f aca="false">IF(D49&gt;0.1,D50/(D48+D47)," ")</f>
        <v>1.3</v>
      </c>
      <c r="E51" s="364" t="n">
        <f aca="false">IF(E49&gt;0.1,E50/(E48+E47)," ")</f>
        <v>1.3</v>
      </c>
      <c r="F51" s="364" t="n">
        <f aca="false">IF(F49&gt;0.1,F50/(F48+F47)," ")</f>
        <v>1.3</v>
      </c>
      <c r="G51" s="364" t="n">
        <f aca="false">IF(G49&gt;0.1,G50/(G48+G47)," ")</f>
        <v>1.3</v>
      </c>
      <c r="H51" s="364" t="n">
        <f aca="false">IF(H49&gt;0.1,H50/(H48+H47)," ")</f>
        <v>1.3</v>
      </c>
      <c r="I51" s="364" t="n">
        <f aca="false">IF(I49&gt;0.1,I50/(I48+I47)," ")</f>
        <v>1.3</v>
      </c>
      <c r="J51" s="364" t="n">
        <f aca="false">IF(J49&gt;0.1,J50/(J48+J47)," ")</f>
        <v>1.3</v>
      </c>
      <c r="K51" s="364" t="n">
        <f aca="false">IF(K49&gt;0.1,K50/(K48+K47)," ")</f>
        <v>1.3</v>
      </c>
      <c r="L51" s="364" t="n">
        <f aca="false">IF(L49&gt;0.1,L50/(L48+L47)," ")</f>
        <v>1.3</v>
      </c>
      <c r="M51" s="364" t="n">
        <f aca="false">IF(M49&gt;0.1,M50/(M48+M47)," ")</f>
        <v>1.3</v>
      </c>
      <c r="N51" s="364" t="n">
        <f aca="false">IF(N49&gt;0.1,N50/(N48+N47)," ")</f>
        <v>1.3</v>
      </c>
      <c r="O51" s="364" t="n">
        <f aca="false">IF(O49&gt;0.1,O50/(O48+O47)," ")</f>
        <v>1.3</v>
      </c>
      <c r="P51" s="364" t="n">
        <f aca="false">IF(P49&gt;0.1,P50/(P48+P47)," ")</f>
        <v>1.3</v>
      </c>
      <c r="Q51" s="364" t="n">
        <f aca="false">IF(Q49&gt;0.1,Q50/(Q48+Q47)," ")</f>
        <v>1.3</v>
      </c>
      <c r="R51" s="364" t="n">
        <f aca="false">IF(R49&gt;0.1,R50/(R48+R47)," ")</f>
        <v>1.3</v>
      </c>
      <c r="S51" s="364" t="n">
        <f aca="false">IF(S49&gt;0.1,S50/(S48+S47)," ")</f>
        <v>1.3</v>
      </c>
      <c r="T51" s="364" t="str">
        <f aca="false">IF(T49&gt;0.1,T50/(T48+T47)," ")</f>
        <v> </v>
      </c>
      <c r="U51" s="364" t="str">
        <f aca="false">IF(U49&gt;0.1,U50/(U48+U47)," ")</f>
        <v> </v>
      </c>
      <c r="V51" s="364" t="str">
        <f aca="false">IF(V49&gt;0.1,V50/(V48+V47)," ")</f>
        <v> </v>
      </c>
      <c r="W51" s="364" t="str">
        <f aca="false">IF(W49&gt;0.1,W50/(W48+W47)," ")</f>
        <v> </v>
      </c>
      <c r="X51" s="364" t="str">
        <f aca="false">IF(X49&gt;0.1,X50/(X48+X47)," ")</f>
        <v> </v>
      </c>
      <c r="Y51" s="364" t="str">
        <f aca="false">IF(Y49&gt;0.1,Y50/(Y48+Y47)," ")</f>
        <v> </v>
      </c>
      <c r="Z51" s="364" t="str">
        <f aca="false">IF(Z49&gt;0.1,Z50/(Z48+Z47)," ")</f>
        <v> </v>
      </c>
      <c r="AA51" s="364" t="str">
        <f aca="false">IF(AA49&gt;0.1,AA50/(AA48+AA47)," ")</f>
        <v> </v>
      </c>
      <c r="AB51" s="364" t="str">
        <f aca="false">IF(AB49&gt;0.1,AB50/(AB48+AB47)," ")</f>
        <v> </v>
      </c>
      <c r="AC51" s="364" t="str">
        <f aca="false">IF(AC49&gt;0.1,AC50/(AC48+AC47)," ")</f>
        <v> </v>
      </c>
      <c r="AD51" s="364" t="str">
        <f aca="false">IF(AD49&gt;0.1,AD50/(AD48+AD47)," ")</f>
        <v> </v>
      </c>
      <c r="AE51" s="364" t="str">
        <f aca="false">IF(AE49&gt;0.1,AE50/(AE48+AE47)," ")</f>
        <v> </v>
      </c>
      <c r="AF51" s="364" t="str">
        <f aca="false">IF(AF49&gt;0.1,AF50/(AF48+AF47)," ")</f>
        <v> </v>
      </c>
    </row>
    <row r="52" customFormat="false" ht="12.75" hidden="false" customHeight="false" outlineLevel="0" collapsed="false">
      <c r="A52" s="356"/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</row>
    <row r="53" customFormat="false" ht="12.75" hidden="false" customHeight="false" outlineLevel="0" collapsed="false">
      <c r="A53" s="0"/>
      <c r="B53" s="366" t="n">
        <f aca="false">B20</f>
        <v>37255.5</v>
      </c>
      <c r="C53" s="366" t="n">
        <f aca="false">C20</f>
        <v>37620.75</v>
      </c>
      <c r="D53" s="366" t="n">
        <f aca="false">D20</f>
        <v>37986</v>
      </c>
      <c r="E53" s="366" t="n">
        <f aca="false">E20</f>
        <v>38351.25</v>
      </c>
      <c r="F53" s="366" t="n">
        <f aca="false">F20</f>
        <v>38716.5</v>
      </c>
      <c r="G53" s="366" t="n">
        <f aca="false">G20</f>
        <v>39081.75</v>
      </c>
      <c r="H53" s="366" t="n">
        <f aca="false">H20</f>
        <v>39447</v>
      </c>
      <c r="I53" s="366" t="n">
        <f aca="false">I20</f>
        <v>39812.25</v>
      </c>
      <c r="J53" s="366" t="n">
        <f aca="false">J20</f>
        <v>40177.5</v>
      </c>
      <c r="K53" s="366" t="n">
        <f aca="false">K20</f>
        <v>40542.75</v>
      </c>
      <c r="L53" s="366" t="n">
        <f aca="false">L20</f>
        <v>40908</v>
      </c>
      <c r="M53" s="366" t="n">
        <f aca="false">M20</f>
        <v>41273.25</v>
      </c>
      <c r="N53" s="366" t="n">
        <f aca="false">N20</f>
        <v>41638.5</v>
      </c>
      <c r="O53" s="366" t="n">
        <f aca="false">O20</f>
        <v>42003.75</v>
      </c>
      <c r="P53" s="366" t="n">
        <f aca="false">P20</f>
        <v>42369</v>
      </c>
      <c r="Q53" s="366" t="n">
        <f aca="false">Q20</f>
        <v>42734.25</v>
      </c>
      <c r="R53" s="366" t="n">
        <f aca="false">R20</f>
        <v>43099.5</v>
      </c>
      <c r="S53" s="366" t="n">
        <f aca="false">S20</f>
        <v>43464.75</v>
      </c>
      <c r="T53" s="366" t="n">
        <f aca="false">T20</f>
        <v>43830</v>
      </c>
      <c r="U53" s="366" t="n">
        <f aca="false">U20</f>
        <v>44195.25</v>
      </c>
      <c r="V53" s="366" t="n">
        <f aca="false">V20</f>
        <v>44560.5</v>
      </c>
      <c r="W53" s="366" t="n">
        <f aca="false">W20</f>
        <v>44925.75</v>
      </c>
      <c r="X53" s="366" t="n">
        <f aca="false">X20</f>
        <v>45291</v>
      </c>
      <c r="Y53" s="366" t="n">
        <f aca="false">Y20</f>
        <v>45656.25</v>
      </c>
      <c r="Z53" s="366" t="n">
        <f aca="false">Z20</f>
        <v>46021.5</v>
      </c>
      <c r="AA53" s="366" t="n">
        <f aca="false">AA20</f>
        <v>46386.75</v>
      </c>
      <c r="AB53" s="366" t="n">
        <f aca="false">AB20</f>
        <v>46752</v>
      </c>
      <c r="AC53" s="366" t="n">
        <f aca="false">AC20</f>
        <v>47117.25</v>
      </c>
      <c r="AD53" s="366" t="n">
        <f aca="false">AD20</f>
        <v>47482.5</v>
      </c>
      <c r="AE53" s="366" t="n">
        <f aca="false">AE20</f>
        <v>47847.75</v>
      </c>
      <c r="AF53" s="366" t="n">
        <f aca="false">AF20</f>
        <v>48213</v>
      </c>
    </row>
    <row r="54" customFormat="false" ht="12.75" hidden="false" customHeight="false" outlineLevel="0" collapsed="false">
      <c r="A54" s="356" t="s">
        <v>342</v>
      </c>
      <c r="B54" s="356" t="n">
        <f aca="false">B49</f>
        <v>61540.1620265173</v>
      </c>
      <c r="C54" s="356" t="n">
        <f aca="false">C49</f>
        <v>61021.2164466171</v>
      </c>
      <c r="D54" s="356" t="n">
        <f aca="false">D49</f>
        <v>60468.1543275724</v>
      </c>
      <c r="E54" s="356" t="n">
        <f aca="false">E49</f>
        <v>59397.8669886753</v>
      </c>
      <c r="F54" s="356" t="n">
        <f aca="false">F49</f>
        <v>57676.6985485747</v>
      </c>
      <c r="G54" s="356" t="n">
        <f aca="false">G49</f>
        <v>55609.8336183081</v>
      </c>
      <c r="H54" s="356" t="n">
        <f aca="false">H49</f>
        <v>53296.7878915425</v>
      </c>
      <c r="I54" s="356" t="n">
        <f aca="false">I49</f>
        <v>50712.4027254008</v>
      </c>
      <c r="J54" s="356" t="n">
        <f aca="false">J49</f>
        <v>47770.4983089079</v>
      </c>
      <c r="K54" s="356" t="n">
        <f aca="false">K49</f>
        <v>44456.3805747788</v>
      </c>
      <c r="L54" s="356" t="n">
        <f aca="false">L49</f>
        <v>40714.6425161852</v>
      </c>
      <c r="M54" s="356" t="n">
        <f aca="false">M49</f>
        <v>36521.1076517984</v>
      </c>
      <c r="N54" s="356" t="n">
        <f aca="false">N49</f>
        <v>31835.485198162</v>
      </c>
      <c r="O54" s="356" t="n">
        <f aca="false">O49</f>
        <v>26630.8404847124</v>
      </c>
      <c r="P54" s="356" t="n">
        <f aca="false">P49</f>
        <v>20932.8174264833</v>
      </c>
      <c r="Q54" s="356" t="n">
        <f aca="false">Q49</f>
        <v>14687.2819935366</v>
      </c>
      <c r="R54" s="356" t="n">
        <f aca="false">R49</f>
        <v>7858.50611508807</v>
      </c>
      <c r="S54" s="356" t="n">
        <f aca="false">S49</f>
        <v>395.32391117507</v>
      </c>
      <c r="T54" s="356" t="n">
        <f aca="false">T49</f>
        <v>0</v>
      </c>
      <c r="U54" s="356" t="n">
        <f aca="false">U49</f>
        <v>0</v>
      </c>
      <c r="V54" s="356" t="n">
        <f aca="false">V49</f>
        <v>0</v>
      </c>
      <c r="W54" s="356" t="n">
        <f aca="false">W49</f>
        <v>0</v>
      </c>
      <c r="X54" s="356" t="n">
        <f aca="false">X49</f>
        <v>0</v>
      </c>
      <c r="Y54" s="356" t="n">
        <f aca="false">Y49</f>
        <v>0</v>
      </c>
      <c r="Z54" s="356" t="n">
        <f aca="false">Z49</f>
        <v>0</v>
      </c>
      <c r="AA54" s="356" t="n">
        <f aca="false">AA49</f>
        <v>0</v>
      </c>
      <c r="AB54" s="356" t="n">
        <f aca="false">AB49</f>
        <v>0</v>
      </c>
      <c r="AC54" s="356" t="n">
        <f aca="false">AC49</f>
        <v>0</v>
      </c>
      <c r="AD54" s="356" t="n">
        <f aca="false">AD49</f>
        <v>0</v>
      </c>
      <c r="AE54" s="356" t="n">
        <f aca="false">AE49</f>
        <v>0</v>
      </c>
      <c r="AF54" s="356" t="n">
        <f aca="false">AF49</f>
        <v>0</v>
      </c>
    </row>
    <row r="55" customFormat="false" ht="12.75" hidden="false" customHeight="false" outlineLevel="0" collapsed="false">
      <c r="A55" s="356" t="s">
        <v>343</v>
      </c>
      <c r="B55" s="358" t="n">
        <v>0</v>
      </c>
      <c r="C55" s="358" t="n">
        <v>0</v>
      </c>
      <c r="D55" s="358" t="n">
        <v>0</v>
      </c>
      <c r="E55" s="358" t="n">
        <v>0</v>
      </c>
      <c r="F55" s="358" t="n">
        <v>0</v>
      </c>
      <c r="G55" s="358" t="n">
        <v>0</v>
      </c>
      <c r="H55" s="358" t="n">
        <v>0</v>
      </c>
      <c r="I55" s="358" t="n">
        <v>0</v>
      </c>
      <c r="J55" s="358" t="n">
        <v>0</v>
      </c>
      <c r="K55" s="358" t="n">
        <v>0</v>
      </c>
      <c r="L55" s="358" t="n">
        <v>0</v>
      </c>
      <c r="M55" s="358" t="n">
        <v>0</v>
      </c>
      <c r="N55" s="358" t="n">
        <v>0</v>
      </c>
      <c r="O55" s="358" t="n">
        <v>0</v>
      </c>
      <c r="P55" s="358" t="n">
        <v>0</v>
      </c>
      <c r="Q55" s="358" t="n">
        <v>0</v>
      </c>
      <c r="R55" s="358" t="n">
        <v>0</v>
      </c>
      <c r="S55" s="358" t="n">
        <v>0</v>
      </c>
      <c r="T55" s="358" t="n">
        <v>0</v>
      </c>
      <c r="U55" s="358" t="n">
        <v>0</v>
      </c>
      <c r="V55" s="358" t="n">
        <v>0</v>
      </c>
      <c r="W55" s="358" t="n">
        <v>0</v>
      </c>
      <c r="X55" s="358" t="n">
        <v>0</v>
      </c>
      <c r="Y55" s="358" t="n">
        <v>0</v>
      </c>
      <c r="Z55" s="358" t="n">
        <v>0</v>
      </c>
      <c r="AA55" s="358" t="n">
        <v>0</v>
      </c>
      <c r="AB55" s="358" t="n">
        <v>0</v>
      </c>
      <c r="AC55" s="358" t="n">
        <v>0</v>
      </c>
      <c r="AD55" s="358" t="n">
        <v>0</v>
      </c>
      <c r="AE55" s="358" t="n">
        <v>0</v>
      </c>
      <c r="AF55" s="358" t="n">
        <v>0</v>
      </c>
    </row>
    <row r="56" customFormat="false" ht="12.75" hidden="false" customHeight="false" outlineLevel="0" collapsed="false">
      <c r="A56" s="356" t="s">
        <v>344</v>
      </c>
      <c r="B56" s="360" t="n">
        <f aca="false">B54-B58</f>
        <v>212.321119968175</v>
      </c>
      <c r="C56" s="360" t="n">
        <f aca="false">C54-C58</f>
        <v>226.635479642624</v>
      </c>
      <c r="D56" s="360" t="n">
        <f aca="false">D54-D58</f>
        <v>241.949071578027</v>
      </c>
      <c r="E56" s="360" t="n">
        <f aca="false">E54-E58</f>
        <v>608.911620073217</v>
      </c>
      <c r="F56" s="360" t="n">
        <f aca="false">F54-F58</f>
        <v>819.800865921126</v>
      </c>
      <c r="G56" s="360" t="n">
        <f aca="false">G54-G58</f>
        <v>921.743041734728</v>
      </c>
      <c r="H56" s="360" t="n">
        <f aca="false">H54-H58</f>
        <v>1031.24056769336</v>
      </c>
      <c r="I56" s="360" t="n">
        <f aca="false">I54-I58</f>
        <v>1141.71689388446</v>
      </c>
      <c r="J56" s="360" t="n">
        <f aca="false">J54-J58</f>
        <v>1326.84759785821</v>
      </c>
      <c r="K56" s="360" t="n">
        <f aca="false">K54-K58</f>
        <v>1468.85189985514</v>
      </c>
      <c r="L56" s="360" t="n">
        <f aca="false">L54-L58</f>
        <v>1684.67468499707</v>
      </c>
      <c r="M56" s="360" t="n">
        <f aca="false">M54-M58</f>
        <v>1844.26360176952</v>
      </c>
      <c r="N56" s="360" t="n">
        <f aca="false">N54-N58</f>
        <v>2094.25413736336</v>
      </c>
      <c r="O56" s="360" t="n">
        <f aca="false">O54-O58</f>
        <v>2298.98443276017</v>
      </c>
      <c r="P56" s="360" t="n">
        <f aca="false">P54-P58</f>
        <v>2519.3845735032</v>
      </c>
      <c r="Q56" s="360" t="n">
        <f aca="false">Q54-Q58</f>
        <v>2739.0942154638</v>
      </c>
      <c r="R56" s="360" t="n">
        <f aca="false">R54-R58</f>
        <v>3006.00544507183</v>
      </c>
      <c r="S56" s="360" t="n">
        <f aca="false">S54-S58</f>
        <v>395.32391117507</v>
      </c>
      <c r="T56" s="360" t="n">
        <f aca="false">T54-T58</f>
        <v>0</v>
      </c>
      <c r="U56" s="360" t="n">
        <f aca="false">U54-U58</f>
        <v>0</v>
      </c>
      <c r="V56" s="360" t="n">
        <f aca="false">V54-V58</f>
        <v>0</v>
      </c>
      <c r="W56" s="360" t="n">
        <f aca="false">W54-W58</f>
        <v>0</v>
      </c>
      <c r="X56" s="360" t="n">
        <f aca="false">X54-X58</f>
        <v>0</v>
      </c>
      <c r="Y56" s="360" t="n">
        <f aca="false">Y54-Y58</f>
        <v>0</v>
      </c>
      <c r="Z56" s="360" t="n">
        <f aca="false">Z54-Z58</f>
        <v>0</v>
      </c>
      <c r="AA56" s="360" t="n">
        <f aca="false">AA54-AA58</f>
        <v>0</v>
      </c>
      <c r="AB56" s="360" t="n">
        <f aca="false">AB54-AB58</f>
        <v>0</v>
      </c>
      <c r="AC56" s="360" t="n">
        <f aca="false">AC54-AC58</f>
        <v>0</v>
      </c>
      <c r="AD56" s="360" t="n">
        <f aca="false">AD54-AD58</f>
        <v>0</v>
      </c>
      <c r="AE56" s="360" t="n">
        <f aca="false">AE54-AE58</f>
        <v>0</v>
      </c>
      <c r="AF56" s="360" t="n">
        <f aca="false">AF54-AF58</f>
        <v>0</v>
      </c>
    </row>
    <row r="57" customFormat="false" ht="12.75" hidden="false" customHeight="false" outlineLevel="0" collapsed="false">
      <c r="A57" s="356" t="s">
        <v>345</v>
      </c>
      <c r="B57" s="360" t="n">
        <f aca="false">B54*(B53-B44)/365.25*$B$7</f>
        <v>1998.67787825177</v>
      </c>
      <c r="C57" s="360" t="n">
        <f aca="false">C54*(C53-C44)/(C53-B53)*$B$7</f>
        <v>1985.09409814953</v>
      </c>
      <c r="D57" s="360" t="n">
        <f aca="false">D54*(D53-D44)/(D53-C53)*$B$7</f>
        <v>1970.34301312809</v>
      </c>
      <c r="E57" s="360" t="n">
        <f aca="false">E54*(E53-E44)/(E53-D53)*$B$7</f>
        <v>1925.91790284328</v>
      </c>
      <c r="F57" s="360" t="n">
        <f aca="false">F54*(F53-F44)/(F53-E53)*$B$7</f>
        <v>1873.20178698847</v>
      </c>
      <c r="G57" s="360" t="n">
        <f aca="false">G54*(G53-G44)/(G53-F53)*$B$7</f>
        <v>1809.0552588599</v>
      </c>
      <c r="H57" s="360" t="n">
        <f aca="false">H54*(H53-H44)/(H53-G53)*$B$7</f>
        <v>1736.66543674191</v>
      </c>
      <c r="I57" s="360" t="n">
        <f aca="false">I54*(I53-I44)/(I53-H53)*$B$7</f>
        <v>1644.30019555532</v>
      </c>
      <c r="J57" s="360" t="n">
        <f aca="false">J54*(J53-J44)/(J53-I53)*$B$7</f>
        <v>1551.47199908146</v>
      </c>
      <c r="K57" s="360" t="n">
        <f aca="false">K54*(K53-K44)/(K53-J53)*$B$7</f>
        <v>1446.21991895698</v>
      </c>
      <c r="L57" s="360" t="n">
        <f aca="false">L54*(L53-L44)/(L53-K53)*$B$7</f>
        <v>1326.6786841085</v>
      </c>
      <c r="M57" s="360" t="n">
        <f aca="false">M54*(M53-M44)/(M53-L53)*$B$7</f>
        <v>1184.161294406</v>
      </c>
      <c r="N57" s="360" t="n">
        <f aca="false">N54*(N53-N44)/(N53-M53)*$B$7</f>
        <v>1033.94072933316</v>
      </c>
      <c r="O57" s="360" t="n">
        <f aca="false">O54*(O53-O44)/(O53-N53)*$B$7</f>
        <v>866.333504203598</v>
      </c>
      <c r="P57" s="360" t="n">
        <f aca="false">P54*(P53-P44)/(P53-O53)*$B$7</f>
        <v>682.091772438148</v>
      </c>
      <c r="Q57" s="360" t="n">
        <f aca="false">Q54*(Q53-Q44)/(Q53-P53)*$B$7</f>
        <v>476.220793262711</v>
      </c>
      <c r="R57" s="360" t="n">
        <f aca="false">R54*(R53-R44)/(R53-Q53)*$B$7</f>
        <v>254.80439591437</v>
      </c>
      <c r="S57" s="360" t="n">
        <f aca="false">S54*(S53-S44)/(S53-R53)*$B$7</f>
        <v>12.8603657650375</v>
      </c>
      <c r="T57" s="360" t="n">
        <f aca="false">T54*(T53-T44)/(T53-S53)*$B$7</f>
        <v>0</v>
      </c>
      <c r="U57" s="360" t="n">
        <f aca="false">U54*(U53-U44)/(U53-T53)*$B$7</f>
        <v>0</v>
      </c>
      <c r="V57" s="360" t="n">
        <f aca="false">V54*(V53-V44)/(V53-U53)*$B$7</f>
        <v>0</v>
      </c>
      <c r="W57" s="360" t="n">
        <f aca="false">W54*(W53-W44)/(W53-V53)*$B$7</f>
        <v>0</v>
      </c>
      <c r="X57" s="360" t="n">
        <f aca="false">X54*(X53-X44)/(X53-W53)*$B$7</f>
        <v>0</v>
      </c>
      <c r="Y57" s="360" t="n">
        <f aca="false">Y54*(Y53-Y44)/(Y53-X53)*$B$7</f>
        <v>0</v>
      </c>
      <c r="Z57" s="360" t="n">
        <f aca="false">Z54*(Z53-Z44)/(Z53-Y53)*$B$7</f>
        <v>0</v>
      </c>
      <c r="AA57" s="360" t="n">
        <f aca="false">AA54*(AA53-AA44)/(AA53-Z53)*$B$7</f>
        <v>0</v>
      </c>
      <c r="AB57" s="360" t="n">
        <f aca="false">AB54*(AB53-AB44)/(AB53-AA53)*$B$7</f>
        <v>0</v>
      </c>
      <c r="AC57" s="360" t="n">
        <f aca="false">AC54*(AC53-AC44)/(AC53-AB53)*$B$7</f>
        <v>0</v>
      </c>
      <c r="AD57" s="360" t="n">
        <f aca="false">AD54*(AD53-AD44)/(AD53-AC53)*$B$7</f>
        <v>0</v>
      </c>
      <c r="AE57" s="360" t="n">
        <f aca="false">AE54*(AE53-AE44)/(AE53-AD53)*$B$7</f>
        <v>0</v>
      </c>
      <c r="AF57" s="360" t="n">
        <f aca="false">AF54*(AF53-AF44)/(AF53-AE53)*$B$7</f>
        <v>0</v>
      </c>
    </row>
    <row r="58" customFormat="false" ht="12.75" hidden="false" customHeight="false" outlineLevel="0" collapsed="false">
      <c r="A58" s="356" t="s">
        <v>346</v>
      </c>
      <c r="B58" s="356" t="n">
        <f aca="false">MAX(B54+B55+B57-B25*(B53-B44)/(B53-Assumptions!H16),0)</f>
        <v>61327.8409065491</v>
      </c>
      <c r="C58" s="356" t="n">
        <f aca="false">MAX(C54+C55+C57-C25*(C53-C44)/(C53-B53),0)</f>
        <v>60794.5809669745</v>
      </c>
      <c r="D58" s="356" t="n">
        <f aca="false">MAX(D54+D55+D57-D25*(D53-D44)/(D53-C53),0)</f>
        <v>60226.2052559944</v>
      </c>
      <c r="E58" s="356" t="n">
        <f aca="false">MAX(E54+E55+E57-E25*(E53-E44)/(E53-D53),0)</f>
        <v>58788.9553686021</v>
      </c>
      <c r="F58" s="356" t="n">
        <f aca="false">MAX(F54+F55+F57-F25*(F53-F44)/(F53-E53),0)</f>
        <v>56856.8976826535</v>
      </c>
      <c r="G58" s="356" t="n">
        <f aca="false">MAX(G54+G55+G57-G25*(G53-G44)/(G53-F53),0)</f>
        <v>54688.0905765733</v>
      </c>
      <c r="H58" s="356" t="n">
        <f aca="false">MAX(H54+H55+H57-H25*(H53-H44)/(H53-G53),0)</f>
        <v>52265.5473238492</v>
      </c>
      <c r="I58" s="356" t="n">
        <f aca="false">MAX(I54+I55+I57-I25*(I53-I44)/(I53-H53),0)</f>
        <v>49570.6858315164</v>
      </c>
      <c r="J58" s="356" t="n">
        <f aca="false">MAX(J54+J55+J57-J25*(J53-J44)/(J53-I53),0)</f>
        <v>46443.6507110497</v>
      </c>
      <c r="K58" s="356" t="n">
        <f aca="false">MAX(K54+K55+K57-K25*(K53-K44)/(K53-J53),0)</f>
        <v>42987.5286749237</v>
      </c>
      <c r="L58" s="356" t="n">
        <f aca="false">MAX(L54+L55+L57-L25*(L53-L44)/(L53-K53),0)</f>
        <v>39029.9678311881</v>
      </c>
      <c r="M58" s="356" t="n">
        <f aca="false">MAX(M54+M55+M57-M25*(M53-M44)/(M53-L53),0)</f>
        <v>34676.8440500289</v>
      </c>
      <c r="N58" s="356" t="n">
        <f aca="false">MAX(N54+N55+N57-N25*(N53-N44)/(N53-M53),0)</f>
        <v>29741.2310607987</v>
      </c>
      <c r="O58" s="356" t="n">
        <f aca="false">MAX(O54+O55+O57-O25*(O53-O44)/(O53-N53),0)</f>
        <v>24331.8560519522</v>
      </c>
      <c r="P58" s="356" t="n">
        <f aca="false">MAX(P54+P55+P57-P25*(P53-P44)/(P53-O53),0)</f>
        <v>18413.4328529801</v>
      </c>
      <c r="Q58" s="356" t="n">
        <f aca="false">MAX(Q54+Q55+Q57-Q25*(Q53-Q44)/(Q53-P53),0)</f>
        <v>11948.1877780729</v>
      </c>
      <c r="R58" s="356" t="n">
        <f aca="false">MAX(R54+R55+R57-R25*(R53-R44)/(R53-Q53),0)</f>
        <v>4852.50067001623</v>
      </c>
      <c r="S58" s="360" t="n">
        <f aca="false">MAX(S54+S55+S57-S25*(S53-S44)/(S53-R53),0)</f>
        <v>0</v>
      </c>
      <c r="T58" s="356" t="n">
        <f aca="false">MAX(T54+T55+T57-T25*(T53-T44)/(T53-S53),0)</f>
        <v>0</v>
      </c>
      <c r="U58" s="356" t="n">
        <f aca="false">MAX(U54+U55+U57-U25*(U53-U44)/(U53-T53),0)</f>
        <v>0</v>
      </c>
      <c r="V58" s="356" t="n">
        <f aca="false">MAX(V54+V55+V57-V25*(V53-V44)/(V53-U53),0)</f>
        <v>0</v>
      </c>
      <c r="W58" s="356" t="n">
        <f aca="false">MAX(W54+W55+W57-W25*(W53-W44)/(W53-V53),0)</f>
        <v>0</v>
      </c>
      <c r="X58" s="356" t="n">
        <f aca="false">MAX(X54+X55+X57-X25*(X53-X44)/(X53-W53),0)</f>
        <v>0</v>
      </c>
      <c r="Y58" s="356" t="n">
        <f aca="false">MAX(Y54+Y55+Y57-Y25*(Y53-Y44)/(Y53-X53),0)</f>
        <v>0</v>
      </c>
      <c r="Z58" s="356" t="n">
        <f aca="false">MAX(Z54+Z55+Z57-Z25*(Z53-Z44)/(Z53-Y53),0)</f>
        <v>0</v>
      </c>
      <c r="AA58" s="356" t="n">
        <f aca="false">MAX(AA54+AA55+AA57-AA25*(AA53-AA44)/(AA53-Z53),0)</f>
        <v>0</v>
      </c>
      <c r="AB58" s="356" t="n">
        <f aca="false">MAX(AB54+AB55+AB57-AB25*(AB53-AB44)/(AB53-AA53),0)</f>
        <v>0</v>
      </c>
      <c r="AC58" s="356" t="n">
        <f aca="false">MAX(AC54+AC55+AC57-AC25*(AC53-AC44)/(AC53-AB53),0)</f>
        <v>0</v>
      </c>
      <c r="AD58" s="356" t="n">
        <f aca="false">MAX(AD54+AD55+AD57-AD25*(AD53-AD44)/(AD53-AC53),0)</f>
        <v>0</v>
      </c>
      <c r="AE58" s="356" t="n">
        <f aca="false">MAX(AE54+AE55+AE57-AE25*(AE53-AE44)/(AE53-AD53),0)</f>
        <v>0</v>
      </c>
      <c r="AF58" s="356" t="n">
        <f aca="false">MAX(AF54+AF55+AF57-AF25*(AF53-AF44)/(AF53-AE53),0)</f>
        <v>0</v>
      </c>
    </row>
    <row r="59" customFormat="false" ht="12.75" hidden="false" customHeight="false" outlineLevel="0" collapsed="false">
      <c r="A59" s="356"/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</row>
    <row r="60" customFormat="false" ht="12.75" hidden="false" customHeight="false" outlineLevel="0" collapsed="false">
      <c r="A60" s="356" t="s">
        <v>349</v>
      </c>
      <c r="B60" s="360" t="n">
        <f aca="false">B47+B56+B38</f>
        <v>338.761688261257</v>
      </c>
      <c r="C60" s="360" t="n">
        <f aca="false">C47+C56+C38</f>
        <v>533.259939574644</v>
      </c>
      <c r="D60" s="360" t="n">
        <f aca="false">D47+D56+D38</f>
        <v>568.375710980094</v>
      </c>
      <c r="E60" s="360" t="n">
        <f aca="false">E47+E56+E38</f>
        <v>1437.24988739228</v>
      </c>
      <c r="F60" s="360" t="n">
        <f aca="false">F47+F56+F38</f>
        <v>1932.0576859486</v>
      </c>
      <c r="G60" s="360" t="n">
        <f aca="false">G47+G56+G38</f>
        <v>2168.8071060802</v>
      </c>
      <c r="H60" s="360" t="n">
        <f aca="false">H47+H56+H38</f>
        <v>2422.54325272416</v>
      </c>
      <c r="I60" s="360" t="n">
        <f aca="false">I47+I56+I38</f>
        <v>2694.86149233279</v>
      </c>
      <c r="J60" s="360" t="n">
        <f aca="false">J47+J56+J38</f>
        <v>3127.03512046669</v>
      </c>
      <c r="K60" s="360" t="n">
        <f aca="false">K47+K56+K38</f>
        <v>3456.12203612604</v>
      </c>
      <c r="L60" s="360" t="n">
        <f aca="false">L47+L56+L38</f>
        <v>3957.56084373554</v>
      </c>
      <c r="M60" s="360" t="n">
        <f aca="false">M47+M56+M38</f>
        <v>4353.1237811592</v>
      </c>
      <c r="N60" s="360" t="n">
        <f aca="false">N47+N56+N38</f>
        <v>4935.61298923023</v>
      </c>
      <c r="O60" s="360" t="n">
        <f aca="false">O47+O56+O38</f>
        <v>5409.37500884649</v>
      </c>
      <c r="P60" s="360" t="n">
        <f aca="false">P47+P56+P38</f>
        <v>5918.4231989721</v>
      </c>
      <c r="Q60" s="360" t="n">
        <f aca="false">Q47+Q56+Q38</f>
        <v>6465.24507490724</v>
      </c>
      <c r="R60" s="360" t="n">
        <f aca="false">R47+R56+R38</f>
        <v>7095.68710805662</v>
      </c>
      <c r="S60" s="360" t="n">
        <f aca="false">S47+S56+S38</f>
        <v>4852.50067001623</v>
      </c>
      <c r="T60" s="360" t="n">
        <f aca="false">T47+T56+T38</f>
        <v>0</v>
      </c>
      <c r="U60" s="360" t="n">
        <f aca="false">U47+U56+U38</f>
        <v>0</v>
      </c>
      <c r="V60" s="360" t="n">
        <f aca="false">V47+V56+V38</f>
        <v>0</v>
      </c>
      <c r="W60" s="360" t="n">
        <f aca="false">W47+W56+W38</f>
        <v>0</v>
      </c>
      <c r="X60" s="360" t="n">
        <f aca="false">X47+X56+X38</f>
        <v>0</v>
      </c>
      <c r="Y60" s="360" t="n">
        <f aca="false">Y47+Y56+Y38</f>
        <v>0</v>
      </c>
      <c r="Z60" s="360" t="n">
        <f aca="false">Z47+Z56+Z38</f>
        <v>0</v>
      </c>
      <c r="AA60" s="360" t="n">
        <f aca="false">AA47+AA56+AA38</f>
        <v>0</v>
      </c>
      <c r="AB60" s="360" t="n">
        <f aca="false">AB47+AB56+AB38</f>
        <v>0</v>
      </c>
      <c r="AC60" s="360" t="n">
        <f aca="false">AC47+AC56+AC38</f>
        <v>0</v>
      </c>
      <c r="AD60" s="360" t="n">
        <f aca="false">AD47+AD56+AD38</f>
        <v>0</v>
      </c>
      <c r="AE60" s="360" t="n">
        <f aca="false">AE47+AE56+AE38</f>
        <v>0</v>
      </c>
      <c r="AF60" s="360" t="n">
        <f aca="false">AF47+AF56+AF38</f>
        <v>0</v>
      </c>
    </row>
    <row r="61" customFormat="false" ht="12.75" hidden="false" customHeight="false" outlineLevel="0" collapsed="false">
      <c r="A61" s="367" t="s">
        <v>275</v>
      </c>
      <c r="B61" s="368" t="n">
        <f aca="false">B48+B57+B39</f>
        <v>3214.89016696355</v>
      </c>
      <c r="C61" s="368" t="n">
        <f aca="false">C48+C57+C39</f>
        <v>4790.19461257417</v>
      </c>
      <c r="D61" s="368" t="n">
        <f aca="false">D48+D57+D39</f>
        <v>4747.67484124958</v>
      </c>
      <c r="E61" s="368" t="n">
        <f aca="false">E48+E57+E39</f>
        <v>4684.04917538625</v>
      </c>
      <c r="F61" s="368" t="n">
        <f aca="false">F48+F57+F39</f>
        <v>4560.47841289782</v>
      </c>
      <c r="G61" s="368" t="n">
        <f aca="false">G48+G57+G39</f>
        <v>4404.00396009567</v>
      </c>
      <c r="H61" s="368" t="n">
        <f aca="false">H48+H57+H39</f>
        <v>4228.62561648624</v>
      </c>
      <c r="I61" s="368" t="n">
        <f aca="false">I48+I57+I39</f>
        <v>4033.02440464493</v>
      </c>
      <c r="J61" s="368" t="n">
        <f aca="false">J48+J57+J39</f>
        <v>3812.27994740271</v>
      </c>
      <c r="K61" s="368" t="n">
        <f aca="false">K48+K57+K39</f>
        <v>3560.22051294236</v>
      </c>
      <c r="L61" s="368" t="n">
        <f aca="false">L48+L57+L39</f>
        <v>3278.60243301319</v>
      </c>
      <c r="M61" s="368" t="n">
        <f aca="false">M48+M57+M39</f>
        <v>2960.14691853077</v>
      </c>
      <c r="N61" s="368" t="n">
        <f aca="false">N48+N57+N39</f>
        <v>2606.12413988465</v>
      </c>
      <c r="O61" s="368" t="n">
        <f aca="false">O48+O57+O39</f>
        <v>2209.28974552593</v>
      </c>
      <c r="P61" s="368" t="n">
        <f aca="false">P48+P57+P39</f>
        <v>1774.59808625867</v>
      </c>
      <c r="Q61" s="368" t="n">
        <f aca="false">Q48+Q57+Q39</f>
        <v>1299.3420783976</v>
      </c>
      <c r="R61" s="368" t="n">
        <f aca="false">R48+R57+R39</f>
        <v>778.764425300147</v>
      </c>
      <c r="S61" s="368" t="n">
        <f aca="false">S48+S57+S39</f>
        <v>208.78138878723</v>
      </c>
      <c r="T61" s="368" t="n">
        <f aca="false">T48+T57+T39</f>
        <v>0</v>
      </c>
      <c r="U61" s="368" t="n">
        <f aca="false">U48+U57+U39</f>
        <v>0</v>
      </c>
      <c r="V61" s="368" t="n">
        <f aca="false">V48+V57+V39</f>
        <v>0</v>
      </c>
      <c r="W61" s="368" t="n">
        <f aca="false">W48+W57+W39</f>
        <v>0</v>
      </c>
      <c r="X61" s="368" t="n">
        <f aca="false">X48+X57+X39</f>
        <v>0</v>
      </c>
      <c r="Y61" s="368" t="n">
        <f aca="false">Y48+Y57+Y39</f>
        <v>0</v>
      </c>
      <c r="Z61" s="368" t="n">
        <f aca="false">Z48+Z57+Z39</f>
        <v>0</v>
      </c>
      <c r="AA61" s="368" t="n">
        <f aca="false">AA48+AA57+AA39</f>
        <v>0</v>
      </c>
      <c r="AB61" s="368" t="n">
        <f aca="false">AB48+AB57+AB39</f>
        <v>0</v>
      </c>
      <c r="AC61" s="368" t="n">
        <f aca="false">AC48+AC57+AC39</f>
        <v>0</v>
      </c>
      <c r="AD61" s="368" t="n">
        <f aca="false">AD48+AD57+AD39</f>
        <v>0</v>
      </c>
      <c r="AE61" s="368" t="n">
        <f aca="false">AE48+AE57+AE39</f>
        <v>0</v>
      </c>
      <c r="AF61" s="368" t="n">
        <f aca="false">AF48+AF57+AF39</f>
        <v>0</v>
      </c>
    </row>
    <row r="62" customFormat="false" ht="12.75" hidden="false" customHeight="false" outlineLevel="0" collapsed="false">
      <c r="A62" s="369" t="s">
        <v>350</v>
      </c>
      <c r="B62" s="369" t="n">
        <f aca="false">SUM(B60:B61)</f>
        <v>3553.65185522481</v>
      </c>
      <c r="C62" s="369" t="n">
        <f aca="false">SUM(C60:C61)</f>
        <v>5323.45455214882</v>
      </c>
      <c r="D62" s="369" t="n">
        <f aca="false">SUM(D60:D61)</f>
        <v>5316.05055222968</v>
      </c>
      <c r="E62" s="369" t="n">
        <f aca="false">SUM(E60:E61)</f>
        <v>6121.29906277853</v>
      </c>
      <c r="F62" s="369" t="n">
        <f aca="false">SUM(F60:F61)</f>
        <v>6492.53609884642</v>
      </c>
      <c r="G62" s="369" t="n">
        <f aca="false">SUM(G60:G61)</f>
        <v>6572.81106617586</v>
      </c>
      <c r="H62" s="369" t="n">
        <f aca="false">SUM(H60:H61)</f>
        <v>6651.1688692104</v>
      </c>
      <c r="I62" s="369" t="n">
        <f aca="false">SUM(I60:I61)</f>
        <v>6727.88589697772</v>
      </c>
      <c r="J62" s="369" t="n">
        <f aca="false">SUM(J60:J61)</f>
        <v>6939.3150678694</v>
      </c>
      <c r="K62" s="369" t="n">
        <f aca="false">SUM(K60:K61)</f>
        <v>7016.34254906839</v>
      </c>
      <c r="L62" s="369" t="n">
        <f aca="false">SUM(L60:L61)</f>
        <v>7236.16327674873</v>
      </c>
      <c r="M62" s="369" t="n">
        <f aca="false">SUM(M60:M61)</f>
        <v>7313.27069968997</v>
      </c>
      <c r="N62" s="369" t="n">
        <f aca="false">SUM(N60:N61)</f>
        <v>7541.73712911488</v>
      </c>
      <c r="O62" s="369" t="n">
        <f aca="false">SUM(O60:O61)</f>
        <v>7618.66475437243</v>
      </c>
      <c r="P62" s="369" t="n">
        <f aca="false">SUM(P60:P61)</f>
        <v>7693.02128523077</v>
      </c>
      <c r="Q62" s="369" t="n">
        <f aca="false">SUM(Q60:Q61)</f>
        <v>7764.58715330484</v>
      </c>
      <c r="R62" s="369" t="n">
        <f aca="false">SUM(R60:R61)</f>
        <v>7874.45153335677</v>
      </c>
      <c r="S62" s="369" t="n">
        <f aca="false">SUM(S60:S61)</f>
        <v>5061.28205880346</v>
      </c>
      <c r="T62" s="369" t="n">
        <f aca="false">SUM(T60:T61)</f>
        <v>0</v>
      </c>
      <c r="U62" s="369" t="n">
        <f aca="false">SUM(U60:U61)</f>
        <v>0</v>
      </c>
      <c r="V62" s="369" t="n">
        <f aca="false">SUM(V60:V61)</f>
        <v>0</v>
      </c>
      <c r="W62" s="369" t="n">
        <f aca="false">SUM(W60:W61)</f>
        <v>0</v>
      </c>
      <c r="X62" s="369" t="n">
        <f aca="false">SUM(X60:X61)</f>
        <v>0</v>
      </c>
      <c r="Y62" s="369" t="n">
        <f aca="false">SUM(Y60:Y61)</f>
        <v>0</v>
      </c>
      <c r="Z62" s="369" t="n">
        <f aca="false">SUM(Z60:Z61)</f>
        <v>0</v>
      </c>
      <c r="AA62" s="369" t="n">
        <f aca="false">SUM(AA60:AA61)</f>
        <v>0</v>
      </c>
      <c r="AB62" s="369" t="n">
        <f aca="false">SUM(AB60:AB61)</f>
        <v>0</v>
      </c>
      <c r="AC62" s="369" t="n">
        <f aca="false">SUM(AC60:AC61)</f>
        <v>0</v>
      </c>
      <c r="AD62" s="369" t="n">
        <f aca="false">SUM(AD60:AD61)</f>
        <v>0</v>
      </c>
      <c r="AE62" s="369" t="n">
        <f aca="false">SUM(AE60:AE61)</f>
        <v>0</v>
      </c>
      <c r="AF62" s="369" t="n">
        <f aca="false">SUM(AF60:AF61)</f>
        <v>0</v>
      </c>
      <c r="AG62" s="369"/>
      <c r="AH62" s="369"/>
      <c r="AI62" s="369"/>
      <c r="AJ62" s="369"/>
      <c r="AK62" s="369"/>
      <c r="AL62" s="369"/>
      <c r="AM62" s="369"/>
    </row>
    <row r="63" customFormat="false" ht="12.75" hidden="false" customHeight="false" outlineLevel="0" collapsed="false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</row>
    <row r="64" customFormat="false" ht="12.75" hidden="false" customHeight="false" outlineLevel="0" collapsed="false">
      <c r="A64" s="370" t="s">
        <v>54</v>
      </c>
      <c r="B64" s="371" t="n">
        <f aca="false">IF(B44=Assumptions!$G$33,IF(B62&gt;0.1,B23/B62," "),IF(B62&gt;0.1,B23/B62," "))</f>
        <v>1.3</v>
      </c>
      <c r="C64" s="371" t="n">
        <f aca="false">IF(C44=Assumptions!$G$33,IF(C62&gt;0.1,(C44-B53)/(C53-B53)*C23/C62," "),IF(C62&gt;0.1,C23/C62," "))</f>
        <v>1.3</v>
      </c>
      <c r="D64" s="371" t="n">
        <f aca="false">IF(D44=Assumptions!$G$33,IF(D62&gt;0.1,(D44-C53)/(D53-C53)*D23/D62," "),IF(D62&gt;0.1,D23/D62," "))</f>
        <v>1.3</v>
      </c>
      <c r="E64" s="371" t="n">
        <f aca="false">IF(E44=Assumptions!$G$33,IF(E62&gt;0.1,(E44-D53)/(E53-D53)*E23/E62," "),IF(E62&gt;0.1,E23/E62," "))</f>
        <v>1.3</v>
      </c>
      <c r="F64" s="371" t="n">
        <f aca="false">IF(F44=Assumptions!$G$33,IF(F62&gt;0.1,(F44-E53)/(F53-E53)*F23/F62," "),IF(F62&gt;0.1,F23/F62," "))</f>
        <v>1.3</v>
      </c>
      <c r="G64" s="371" t="n">
        <f aca="false">IF(G44=Assumptions!$G$33,IF(G62&gt;0.1,(G44-F53)/(G53-F53)*G23/G62," "),IF(G62&gt;0.1,G23/G62," "))</f>
        <v>1.3</v>
      </c>
      <c r="H64" s="371" t="n">
        <f aca="false">IF(H44=Assumptions!$G$33,IF(H62&gt;0.1,(H44-G53)/(H53-G53)*H23/H62," "),IF(H62&gt;0.1,H23/H62," "))</f>
        <v>1.3</v>
      </c>
      <c r="I64" s="371" t="n">
        <f aca="false">IF(I44=Assumptions!$G$33,IF(I62&gt;0.1,(I44-H53)/(I53-H53)*I23/I62," "),IF(I62&gt;0.1,I23/I62," "))</f>
        <v>1.3</v>
      </c>
      <c r="J64" s="371" t="n">
        <f aca="false">IF(J44=Assumptions!$G$33,IF(J62&gt;0.1,(J44-I53)/(J53-I53)*J23/J62," "),IF(J62&gt;0.1,J23/J62," "))</f>
        <v>1.3</v>
      </c>
      <c r="K64" s="371" t="n">
        <f aca="false">IF(K44=Assumptions!$G$33,IF(K62&gt;0.1,(K44-J53)/(K53-J53)*K23/K62," "),IF(K62&gt;0.1,K23/K62," "))</f>
        <v>1.3</v>
      </c>
      <c r="L64" s="371" t="n">
        <f aca="false">IF(L44=Assumptions!$G$33,IF(L62&gt;0.1,(L44-K53)/(L53-K53)*L23/L62," "),IF(L62&gt;0.1,L23/L62," "))</f>
        <v>1.3</v>
      </c>
      <c r="M64" s="371" t="n">
        <f aca="false">IF(M44=Assumptions!$G$33,IF(M62&gt;0.1,(M44-L53)/(M53-L53)*M23/M62," "),IF(M62&gt;0.1,M23/M62," "))</f>
        <v>1.3</v>
      </c>
      <c r="N64" s="371" t="n">
        <f aca="false">IF(N44=Assumptions!$G$33,IF(N62&gt;0.1,(N44-M53)/(N53-M53)*N23/N62," "),IF(N62&gt;0.1,N23/N62," "))</f>
        <v>1.3</v>
      </c>
      <c r="O64" s="371" t="n">
        <f aca="false">IF(O44=Assumptions!$G$33,IF(O62&gt;0.1,(O44-N53)/(O53-N53)*O23/O62," "),IF(O62&gt;0.1,O23/O62," "))</f>
        <v>1.3</v>
      </c>
      <c r="P64" s="371" t="n">
        <f aca="false">IF(P44=Assumptions!$G$33,IF(P62&gt;0.1,(P44-O53)/(P53-O53)*P23/P62," "),IF(P62&gt;0.1,P23/P62," "))</f>
        <v>1.3</v>
      </c>
      <c r="Q64" s="371" t="n">
        <f aca="false">IF(Q44=Assumptions!$G$33,IF(Q62&gt;0.1,(Q44-P53)/(Q53-P53)*Q23/Q62," "),IF(Q62&gt;0.1,Q23/Q62," "))</f>
        <v>1.3</v>
      </c>
      <c r="R64" s="371" t="n">
        <f aca="false">IF(R44=Assumptions!$G$33,IF(R62&gt;0.1,(R44-Q53)/(R53-Q53)*R23/R62," "),IF(R62&gt;0.1,R23/R62," "))</f>
        <v>0.761670088980151</v>
      </c>
      <c r="S64" s="371" t="n">
        <f aca="false">IF(S44=Assumptions!$G$33,IF(S62&gt;0.1,(S44-R53)/(S53-R53)*S23/S62," "),IF(S62&gt;0.1,S23/S62," "))</f>
        <v>2.04464227462549</v>
      </c>
      <c r="T64" s="371" t="str">
        <f aca="false">IF(T44=Assumptions!$G$33,IF(T62&gt;0.1,(T44-S53)/(T53-S53)*T23/T62," "),IF(T62&gt;0.1,T23/T62," "))</f>
        <v> </v>
      </c>
      <c r="U64" s="371" t="str">
        <f aca="false">IF(U44=Assumptions!$G$33,IF(U62&gt;0.1,(U44-T53)/(U53-T53)*U23/U62," "),IF(U62&gt;0.1,U23/U62," "))</f>
        <v> </v>
      </c>
      <c r="V64" s="371" t="str">
        <f aca="false">IF(V44=Assumptions!$G$33,IF(V62&gt;0.1,(V44-U53)/(V53-U53)*V23/V62," "),IF(V62&gt;0.1,V23/V62," "))</f>
        <v> </v>
      </c>
      <c r="W64" s="371" t="str">
        <f aca="false">IF(W44=Assumptions!$G$33,IF(W62&gt;0.1,(W44-V53)/(W53-V53)*W23/W62," "),IF(W62&gt;0.1,W23/W62," "))</f>
        <v> </v>
      </c>
      <c r="X64" s="371" t="str">
        <f aca="false">IF(X44=Assumptions!$G$33,IF(X62&gt;0.1,(X44-W53)/(X53-W53)*X23/X62," "),IF(X62&gt;0.1,X23/X62," "))</f>
        <v> </v>
      </c>
      <c r="Y64" s="371" t="str">
        <f aca="false">IF(Y44=Assumptions!$G$33,IF(Y62&gt;0.1,(Y44-X53)/(Y53-X53)*Y23/Y62," "),IF(Y62&gt;0.1,Y23/Y62," "))</f>
        <v> </v>
      </c>
      <c r="Z64" s="371" t="str">
        <f aca="false">IF(Z44=Assumptions!$G$33,IF(Z62&gt;0.1,(Z44-Y53)/(Z53-Y53)*Z23/Z62," "),IF(Z62&gt;0.1,Z23/Z62," "))</f>
        <v> </v>
      </c>
      <c r="AA64" s="371" t="str">
        <f aca="false">IF(AA44=Assumptions!$G$33,IF(AA62&gt;0.1,(AA44-Z53)/(AA53-Z53)*AA23/AA62," "),IF(AA62&gt;0.1,AA23/AA62," "))</f>
        <v> </v>
      </c>
      <c r="AB64" s="371" t="str">
        <f aca="false">IF(AB44=Assumptions!$G$33,IF(AB62&gt;0.1,(AB44-AA53)/(AB53-AA53)*AB23/AB62," "),IF(AB62&gt;0.1,AB23/AB62," "))</f>
        <v> </v>
      </c>
      <c r="AC64" s="371" t="str">
        <f aca="false">IF(AC44=Assumptions!$G$33,IF(AC62&gt;0.1,(AC44-AB53)/(AC53-AB53)*AC23/AC62," "),IF(AC62&gt;0.1,AC23/AC62," "))</f>
        <v> </v>
      </c>
      <c r="AD64" s="371" t="str">
        <f aca="false">IF(AD44=Assumptions!$G$33,IF(AD62&gt;0.1,(AD44-AC53)/(AD53-AC53)*AD23/AD62," "),IF(AD62&gt;0.1,AD23/AD62," "))</f>
        <v> </v>
      </c>
      <c r="AE64" s="371" t="str">
        <f aca="false">IF(AE44=Assumptions!$G$33,IF(AE62&gt;0.1,(AE44-AD53)/(AE53-AD53)*AE23/AE62," "),IF(AE62&gt;0.1,AE23/AE62," "))</f>
        <v> </v>
      </c>
      <c r="AF64" s="371" t="str">
        <f aca="false">IF(AF44=Assumptions!$G$33,IF(AF62&gt;0.1,(AF44-AE53)/(AF53-AE53)*AF23/AF62," "),IF(AF62&gt;0.1,AF23/AF62," "))</f>
        <v> </v>
      </c>
      <c r="AG64" s="340"/>
      <c r="AH64" s="340"/>
      <c r="AI64" s="340"/>
      <c r="AJ64" s="340"/>
      <c r="AK64" s="340"/>
      <c r="AL64" s="340"/>
      <c r="AM64" s="340"/>
    </row>
    <row r="65" customFormat="false" ht="12.75" hidden="false" customHeight="false" outlineLevel="0" collapsed="false">
      <c r="A65" s="372"/>
      <c r="B65" s="373"/>
      <c r="C65" s="374"/>
      <c r="D65" s="374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40"/>
      <c r="AH65" s="340"/>
      <c r="AI65" s="340"/>
      <c r="AJ65" s="340"/>
      <c r="AK65" s="340"/>
      <c r="AL65" s="340"/>
      <c r="AM65" s="340"/>
    </row>
    <row r="66" customFormat="false" ht="12.75" hidden="false" customHeight="false" outlineLevel="0" collapsed="false">
      <c r="A66" s="372"/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75"/>
      <c r="Z66" s="375"/>
      <c r="AA66" s="375"/>
      <c r="AB66" s="375"/>
      <c r="AC66" s="375"/>
      <c r="AD66" s="375"/>
      <c r="AE66" s="375"/>
      <c r="AF66" s="375"/>
      <c r="AG66" s="340"/>
      <c r="AH66" s="340"/>
      <c r="AI66" s="340"/>
      <c r="AJ66" s="340"/>
      <c r="AK66" s="340"/>
      <c r="AL66" s="340"/>
      <c r="AM66" s="340"/>
    </row>
    <row r="67" customFormat="false" ht="12.75" hidden="false" customHeight="false" outlineLevel="0" collapsed="false">
      <c r="B67" s="376" t="s">
        <v>351</v>
      </c>
      <c r="C67" s="107"/>
      <c r="D67" s="377" t="n">
        <f aca="false">AVERAGE(B64:AF64)</f>
        <v>1.31146179797809</v>
      </c>
      <c r="F67" s="340"/>
      <c r="K67" s="340"/>
      <c r="L67" s="340"/>
      <c r="M67" s="378"/>
      <c r="N67" s="340"/>
      <c r="O67" s="340"/>
      <c r="P67" s="349"/>
      <c r="Q67" s="349"/>
      <c r="R67" s="349"/>
      <c r="S67" s="340"/>
      <c r="T67" s="340"/>
      <c r="U67" s="340"/>
      <c r="V67" s="340"/>
      <c r="X67" s="340"/>
      <c r="Z67" s="340"/>
      <c r="AA67" s="1"/>
      <c r="AB67" s="340"/>
      <c r="AD67" s="340"/>
      <c r="AF67" s="340"/>
      <c r="AG67" s="340"/>
      <c r="AH67" s="340"/>
      <c r="AI67" s="340"/>
      <c r="AJ67" s="340"/>
      <c r="AK67" s="340"/>
      <c r="AL67" s="340"/>
      <c r="AM67" s="340"/>
    </row>
    <row r="68" customFormat="false" ht="12.75" hidden="false" customHeight="false" outlineLevel="0" collapsed="false">
      <c r="B68" s="379" t="s">
        <v>352</v>
      </c>
      <c r="C68" s="115"/>
      <c r="D68" s="380" t="n">
        <f aca="false">MIN(B64:AF64)</f>
        <v>0.761670088980151</v>
      </c>
      <c r="F68" s="372"/>
      <c r="K68" s="372"/>
      <c r="L68" s="372"/>
      <c r="M68" s="372"/>
      <c r="N68" s="372"/>
      <c r="O68" s="372"/>
      <c r="P68" s="349"/>
      <c r="Q68" s="349"/>
      <c r="R68" s="349"/>
      <c r="S68" s="340"/>
      <c r="T68" s="340"/>
      <c r="U68" s="340"/>
      <c r="V68" s="340"/>
      <c r="X68" s="340"/>
      <c r="Z68" s="340"/>
      <c r="AA68" s="1"/>
      <c r="AB68" s="340"/>
      <c r="AD68" s="340"/>
      <c r="AF68" s="340"/>
      <c r="AG68" s="340"/>
      <c r="AH68" s="340"/>
      <c r="AI68" s="340"/>
      <c r="AJ68" s="340"/>
      <c r="AK68" s="340"/>
      <c r="AL68" s="340"/>
      <c r="AM68" s="340"/>
    </row>
    <row r="69" customFormat="false" ht="12.75" hidden="false" customHeight="false" outlineLevel="0" collapsed="false">
      <c r="AA69" s="1"/>
      <c r="AB69" s="1"/>
    </row>
    <row r="70" customFormat="false" ht="12.75" hidden="false" customHeight="false" outlineLevel="0" collapsed="false">
      <c r="B70" s="356"/>
      <c r="AA70" s="1"/>
      <c r="AB70" s="1"/>
    </row>
    <row r="71" customFormat="false" ht="12.75" hidden="false" customHeight="false" outlineLevel="0" collapsed="false">
      <c r="B71" s="356"/>
      <c r="AA71" s="1"/>
      <c r="AB71" s="1"/>
    </row>
    <row r="72" customFormat="false" ht="13.5" hidden="false" customHeight="false" outlineLevel="0" collapsed="false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79" t="s">
        <v>353</v>
      </c>
      <c r="B74" s="221" t="n">
        <v>0</v>
      </c>
      <c r="C74" s="221" t="n">
        <f aca="false">(C44-$B$44)/365.25</f>
        <v>0.999315537303217</v>
      </c>
      <c r="D74" s="221" t="n">
        <f aca="false">(D44-$B$44)/365.25</f>
        <v>1.99863107460643</v>
      </c>
      <c r="E74" s="221" t="n">
        <f aca="false">(E44-$B$44)/365.25</f>
        <v>3.00068446269678</v>
      </c>
      <c r="F74" s="221" t="n">
        <f aca="false">(F44-$B$44)/365.25</f>
        <v>4</v>
      </c>
      <c r="G74" s="221" t="n">
        <f aca="false">(G44-$B$44)/365.25</f>
        <v>4.99931553730322</v>
      </c>
      <c r="H74" s="221" t="n">
        <f aca="false">(H44-$B$44)/365.25</f>
        <v>5.99863107460643</v>
      </c>
      <c r="I74" s="221" t="n">
        <f aca="false">(I44-$B$44)/365.25</f>
        <v>7.00068446269678</v>
      </c>
      <c r="J74" s="221" t="n">
        <f aca="false">(J44-$B$44)/365.25</f>
        <v>8</v>
      </c>
      <c r="K74" s="221" t="n">
        <f aca="false">(K44-$B$44)/365.25</f>
        <v>8.99931553730322</v>
      </c>
      <c r="L74" s="221" t="n">
        <f aca="false">(L44-$B$44)/365.25</f>
        <v>9.99863107460643</v>
      </c>
      <c r="M74" s="221" t="n">
        <f aca="false">(M44-$B$44)/365.25</f>
        <v>11.0006844626968</v>
      </c>
      <c r="N74" s="221" t="n">
        <f aca="false">(N44-$B$44)/365.25</f>
        <v>12</v>
      </c>
      <c r="O74" s="221" t="n">
        <f aca="false">(O44-$B$44)/365.25</f>
        <v>12.9993155373032</v>
      </c>
      <c r="P74" s="221" t="n">
        <f aca="false">(P44-$B$44)/365.25</f>
        <v>13.9986310746064</v>
      </c>
      <c r="Q74" s="221" t="n">
        <f aca="false">(Q44-$B$44)/365.25</f>
        <v>15.0006844626968</v>
      </c>
      <c r="R74" s="221" t="n">
        <f aca="false">(R44-$B$44)/365.25</f>
        <v>16.0006844626968</v>
      </c>
      <c r="S74" s="221" t="n">
        <f aca="false">(S44-$B$44)/365.25</f>
        <v>16.9993155373032</v>
      </c>
      <c r="T74" s="221" t="n">
        <f aca="false">(T44-$B$44)/365.25</f>
        <v>17.9986310746064</v>
      </c>
      <c r="U74" s="221" t="n">
        <f aca="false">(U44-$B$44)/365.25</f>
        <v>19.0006844626968</v>
      </c>
      <c r="V74" s="221" t="n">
        <f aca="false">(V44-$B$44)/365.25</f>
        <v>20</v>
      </c>
      <c r="W74" s="221" t="n">
        <f aca="false">(W44-$B$44)/365.25</f>
        <v>20.9993155373032</v>
      </c>
      <c r="X74" s="221" t="n">
        <f aca="false">(X44-$B$44)/365.25</f>
        <v>21.9986310746064</v>
      </c>
      <c r="Y74" s="221" t="n">
        <f aca="false">(Y44-$B$44)/365.25</f>
        <v>23.0006844626968</v>
      </c>
      <c r="Z74" s="221" t="n">
        <f aca="false">(Z44-$B$44)/365.25</f>
        <v>24</v>
      </c>
      <c r="AA74" s="221" t="n">
        <f aca="false">(AA44-$B$44)/365.25</f>
        <v>24.9993155373032</v>
      </c>
      <c r="AB74" s="221" t="n">
        <f aca="false">(AB44-$B$44)/365.25</f>
        <v>25.9986310746064</v>
      </c>
      <c r="AC74" s="221" t="n">
        <f aca="false">(AC44-$B$44)/365.25</f>
        <v>27.0006844626968</v>
      </c>
      <c r="AD74" s="221" t="n">
        <f aca="false">(AD44-$B$44)/365.25</f>
        <v>28</v>
      </c>
      <c r="AE74" s="221" t="n">
        <f aca="false">(AE44-$B$44)/365.25</f>
        <v>28.9993155373032</v>
      </c>
      <c r="AF74" s="221" t="n">
        <f aca="false">(AF44-$B$44)/365.25</f>
        <v>29.9986310746064</v>
      </c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</row>
    <row r="75" customFormat="false" ht="12.75" hidden="false" customHeight="false" outlineLevel="0" collapsed="false">
      <c r="B75" s="221" t="n">
        <f aca="false">(B53-$B$44)/365.25</f>
        <v>0.414784394250513</v>
      </c>
      <c r="C75" s="221" t="n">
        <f aca="false">(C53-$B$44)/365.25</f>
        <v>1.41478439425051</v>
      </c>
      <c r="D75" s="221" t="n">
        <f aca="false">(D53-$B$44)/365.25</f>
        <v>2.41478439425051</v>
      </c>
      <c r="E75" s="221" t="n">
        <f aca="false">(E53-$B$44)/365.25</f>
        <v>3.41478439425051</v>
      </c>
      <c r="F75" s="221" t="n">
        <f aca="false">(F53-$B$44)/365.25</f>
        <v>4.41478439425051</v>
      </c>
      <c r="G75" s="221" t="n">
        <f aca="false">(G53-$B$44)/365.25</f>
        <v>5.41478439425051</v>
      </c>
      <c r="H75" s="221" t="n">
        <f aca="false">(H53-$B$44)/365.25</f>
        <v>6.41478439425051</v>
      </c>
      <c r="I75" s="221" t="n">
        <f aca="false">(I53-$B$44)/365.25</f>
        <v>7.41478439425051</v>
      </c>
      <c r="J75" s="221" t="n">
        <f aca="false">(J53-$B$44)/365.25</f>
        <v>8.41478439425051</v>
      </c>
      <c r="K75" s="221" t="n">
        <f aca="false">(K53-$B$44)/365.25</f>
        <v>9.41478439425051</v>
      </c>
      <c r="L75" s="221" t="n">
        <f aca="false">(L53-$B$44)/365.25</f>
        <v>10.4147843942505</v>
      </c>
      <c r="M75" s="221" t="n">
        <f aca="false">(M53-$B$44)/365.25</f>
        <v>11.4147843942505</v>
      </c>
      <c r="N75" s="221" t="n">
        <f aca="false">(N53-$B$44)/365.25</f>
        <v>12.4147843942505</v>
      </c>
      <c r="O75" s="221" t="n">
        <f aca="false">(O53-$B$44)/365.25</f>
        <v>13.4147843942505</v>
      </c>
      <c r="P75" s="221" t="n">
        <f aca="false">(P53-$B$44)/365.25</f>
        <v>14.4147843942505</v>
      </c>
      <c r="Q75" s="221" t="n">
        <f aca="false">(Q53-$B$44)/365.25</f>
        <v>15.4147843942505</v>
      </c>
      <c r="R75" s="221" t="n">
        <f aca="false">(R53-$B$44)/365.25</f>
        <v>16.4147843942505</v>
      </c>
      <c r="S75" s="221" t="n">
        <f aca="false">(S53-$B$44)/365.25</f>
        <v>17.4147843942505</v>
      </c>
      <c r="T75" s="221" t="n">
        <f aca="false">(T53-$B$44)/365.25</f>
        <v>18.4147843942505</v>
      </c>
      <c r="U75" s="221" t="n">
        <f aca="false">(U53-$B$44)/365.25</f>
        <v>19.4147843942505</v>
      </c>
      <c r="V75" s="221" t="n">
        <f aca="false">(V53-$B$44)/365.25</f>
        <v>20.4147843942505</v>
      </c>
      <c r="W75" s="221" t="n">
        <f aca="false">(W53-$B$44)/365.25</f>
        <v>21.4147843942505</v>
      </c>
      <c r="X75" s="221" t="n">
        <f aca="false">(X53-$B$44)/365.25</f>
        <v>22.4147843942505</v>
      </c>
      <c r="Y75" s="221" t="n">
        <f aca="false">(Y53-$B$44)/365.25</f>
        <v>23.4147843942505</v>
      </c>
      <c r="Z75" s="221" t="n">
        <f aca="false">(Z53-$B$44)/365.25</f>
        <v>24.4147843942505</v>
      </c>
      <c r="AA75" s="221" t="n">
        <f aca="false">(AA53-$B$44)/365.25</f>
        <v>25.4147843942505</v>
      </c>
      <c r="AB75" s="221" t="n">
        <f aca="false">(AB53-$B$44)/365.25</f>
        <v>26.4147843942505</v>
      </c>
      <c r="AC75" s="221" t="n">
        <f aca="false">(AC53-$B$44)/365.25</f>
        <v>27.4147843942505</v>
      </c>
      <c r="AD75" s="221" t="n">
        <f aca="false">(AD53-$B$44)/365.25</f>
        <v>28.4147843942505</v>
      </c>
      <c r="AE75" s="221" t="n">
        <f aca="false">(AE53-$B$44)/365.25</f>
        <v>29.4147843942505</v>
      </c>
      <c r="AF75" s="221" t="n">
        <f aca="false">(AF53-$B$44)/365.25</f>
        <v>30.4147843942505</v>
      </c>
      <c r="AG75" s="221"/>
      <c r="AH75" s="221"/>
      <c r="AI75" s="221"/>
      <c r="AJ75" s="221"/>
      <c r="AK75" s="221"/>
      <c r="AL75" s="221"/>
      <c r="AM75" s="221"/>
      <c r="AN75" s="221"/>
      <c r="AO75" s="356"/>
      <c r="AP75" s="356"/>
    </row>
    <row r="76" customFormat="false" ht="12.75" hidden="false" customHeight="false" outlineLevel="0" collapsed="false"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356"/>
      <c r="AP76" s="356"/>
    </row>
    <row r="77" customFormat="false" ht="12.75" hidden="false" customHeight="false" outlineLevel="0" collapsed="false">
      <c r="A77" s="279" t="s">
        <v>354</v>
      </c>
      <c r="B77" s="382" t="n">
        <f aca="false">(SUMPRODUCT(B74:AF74,B47:AF47)+SUMPRODUCT(B75:AF75,B56:AF56))/B10</f>
        <v>10.5650093547675</v>
      </c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6"/>
    </row>
    <row r="78" customFormat="false" ht="12.75" hidden="false" customHeight="false" outlineLevel="0" collapsed="false"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61"/>
      <c r="AB78" s="361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</row>
    <row r="79" customFormat="false" ht="13.5" hidden="false" customHeight="false" outlineLevel="0" collapsed="false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83"/>
      <c r="AB79" s="383"/>
      <c r="AC79" s="37"/>
      <c r="AD79" s="37"/>
      <c r="AE79" s="37"/>
      <c r="AF79" s="37"/>
    </row>
    <row r="80" customFormat="false" ht="12.7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C80" s="32"/>
      <c r="AD80" s="32"/>
      <c r="AE80" s="32"/>
      <c r="AF80" s="32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A4:B4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1.Debt">
                <anchor moveWithCells="true" sizeWithCells="false">
                  <from>
                    <xdr:col>0</xdr:col>
                    <xdr:colOff>361800</xdr:colOff>
                    <xdr:row>27</xdr:row>
                    <xdr:rowOff>28440</xdr:rowOff>
                  </from>
                  <to>
                    <xdr:col>1</xdr:col>
                    <xdr:colOff>-490680</xdr:colOff>
                    <xdr:row>29</xdr:row>
                    <xdr:rowOff>38160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2000-02-09T18:40:17Z</cp:lastPrinted>
  <cp:revision>0</cp:revision>
  <dc:subject/>
  <dc:title/>
</cp:coreProperties>
</file>