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Customer Pricing" sheetId="2" state="visible" r:id="rId4"/>
    <sheet name="Deal Summary" sheetId="3" state="visible" r:id="rId5"/>
    <sheet name="May-2001" sheetId="4" state="visible" r:id="rId6"/>
    <sheet name="Jun-2001" sheetId="5" state="visible" r:id="rId7"/>
    <sheet name="July-2001" sheetId="6" state="visible" r:id="rId8"/>
    <sheet name="Aug-2001" sheetId="7" state="visible" r:id="rId9"/>
    <sheet name="Sep-2001" sheetId="8" state="visible" r:id="rId10"/>
    <sheet name="Oct-2001" sheetId="9" state="visible" r:id="rId11"/>
    <sheet name="Nov-2001" sheetId="10" state="visible" r:id="rId12"/>
    <sheet name="Deal Summary (2)" sheetId="11" state="visible" r:id="rId13"/>
  </sheets>
  <definedNames>
    <definedName function="false" hidden="false" name="calc" vbProcedure="false">'Customer Pricing'!$A$93:$K$107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39</xdr:colOff>
                <xdr:row>7</xdr:row>
                <xdr:rowOff>10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8</xdr:rowOff>
              </xdr:from>
              <xdr:to>
                <xdr:col>2</xdr:col>
                <xdr:colOff>39</xdr:colOff>
                <xdr:row>8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pubposting for flash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8</xdr:rowOff>
              </xdr:from>
              <xdr:to>
                <xdr:col>2</xdr:col>
                <xdr:colOff>39</xdr:colOff>
                <xdr:row>9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sitara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78</xdr:colOff>
                <xdr:row>16</xdr:row>
                <xdr:rowOff>11</xdr:rowOff>
              </xdr:to>
            </anchor>
          </commentPr>
        </mc:Choice>
        <mc:Fallback/>
      </mc:AlternateContent>
    </commen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sum icon in sitara deals.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78</xdr:colOff>
                <xdr:row>17</xdr:row>
                <xdr:rowOff>10</xdr:rowOff>
              </xdr:to>
            </anchor>
          </commentPr>
        </mc:Choice>
        <mc:Fallback/>
      </mc:AlternateContent>
    </commen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Input into sitara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31</xdr:row>
                <xdr:rowOff>7</xdr:rowOff>
              </xdr:from>
              <xdr:to>
                <xdr:col>7</xdr:col>
                <xdr:colOff>18</xdr:colOff>
                <xdr:row>35</xdr:row>
                <xdr:rowOff>13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this differential in the swap in sitara under seller receives.  Use IF M.I + internal adjustment.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16</xdr:row>
                <xdr:rowOff>8</xdr:rowOff>
              </xdr:from>
              <xdr:to>
                <xdr:col>16</xdr:col>
                <xdr:colOff>29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Look up this month under pub posting to get settle prices.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</xdr:colOff>
                <xdr:row>5</xdr:row>
                <xdr:rowOff>7</xdr:rowOff>
              </xdr:from>
              <xdr:to>
                <xdr:col>4</xdr:col>
                <xdr:colOff>29</xdr:colOff>
                <xdr:row>9</xdr:row>
                <xdr:rowOff>13</xdr:rowOff>
              </xdr:to>
            </anchor>
          </commentPr>
        </mc:Choice>
        <mc:Fallback/>
      </mc:AlternateContent>
    </comment>
    <comment ref="G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Get this number from the first publicationof the index month of Natural Gas Weekly.  It is located on page 15.  The publication is located in  http://fundamentals.corp.enron.com/main.asp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</xdr:colOff>
                <xdr:row>2</xdr:row>
                <xdr:rowOff>7</xdr:rowOff>
              </xdr:from>
              <xdr:to>
                <xdr:col>9</xdr:col>
                <xdr:colOff>44</xdr:colOff>
                <xdr:row>6</xdr:row>
                <xdr:rowOff>13</xdr:rowOff>
              </xdr:to>
            </anchor>
          </commentPr>
        </mc:Choice>
        <mc:Fallback/>
      </mc:AlternateContent>
    </comment>
    <comment ref="I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From Natural Gas Week magaazine.  Get number from Shielah Castro.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</xdr:colOff>
                <xdr:row>2</xdr:row>
                <xdr:rowOff>7</xdr:rowOff>
              </xdr:from>
              <xdr:to>
                <xdr:col>10</xdr:col>
                <xdr:colOff>58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39</xdr:colOff>
                <xdr:row>7</xdr:row>
                <xdr:rowOff>10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8</xdr:rowOff>
              </xdr:from>
              <xdr:to>
                <xdr:col>2</xdr:col>
                <xdr:colOff>39</xdr:colOff>
                <xdr:row>8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pubposting for flash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8</xdr:rowOff>
              </xdr:from>
              <xdr:to>
                <xdr:col>2</xdr:col>
                <xdr:colOff>39</xdr:colOff>
                <xdr:row>9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sum icon in sitara deals.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78</xdr:colOff>
                <xdr:row>16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39</xdr:colOff>
                <xdr:row>7</xdr:row>
                <xdr:rowOff>10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8</xdr:rowOff>
              </xdr:from>
              <xdr:to>
                <xdr:col>2</xdr:col>
                <xdr:colOff>39</xdr:colOff>
                <xdr:row>8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pubposting for flash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8</xdr:rowOff>
              </xdr:from>
              <xdr:to>
                <xdr:col>2</xdr:col>
                <xdr:colOff>39</xdr:colOff>
                <xdr:row>9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sum icon in sitara deals.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78</xdr:colOff>
                <xdr:row>16</xdr:row>
                <xdr:rowOff>11</xdr:rowOff>
              </xdr:to>
            </anchor>
          </commentPr>
        </mc:Choice>
        <mc:Fallback/>
      </mc:AlternateContent>
    </commen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Input into sitara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31</xdr:row>
                <xdr:rowOff>7</xdr:rowOff>
              </xdr:from>
              <xdr:to>
                <xdr:col>7</xdr:col>
                <xdr:colOff>18</xdr:colOff>
                <xdr:row>35</xdr:row>
                <xdr:rowOff>13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this differential in the swap in sitara under seller receives.  Use IF M.I + internal adjustment.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16</xdr:row>
                <xdr:rowOff>8</xdr:rowOff>
              </xdr:from>
              <xdr:to>
                <xdr:col>16</xdr:col>
                <xdr:colOff>29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39</xdr:colOff>
                <xdr:row>7</xdr:row>
                <xdr:rowOff>10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8</xdr:rowOff>
              </xdr:from>
              <xdr:to>
                <xdr:col>2</xdr:col>
                <xdr:colOff>39</xdr:colOff>
                <xdr:row>8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pubposting for flash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8</xdr:rowOff>
              </xdr:from>
              <xdr:to>
                <xdr:col>2</xdr:col>
                <xdr:colOff>39</xdr:colOff>
                <xdr:row>9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sum icon in sitara deals.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78</xdr:colOff>
                <xdr:row>16</xdr:row>
                <xdr:rowOff>11</xdr:rowOff>
              </xdr:to>
            </anchor>
          </commentPr>
        </mc:Choice>
        <mc:Fallback/>
      </mc:AlternateContent>
    </commen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Input into sitara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31</xdr:row>
                <xdr:rowOff>7</xdr:rowOff>
              </xdr:from>
              <xdr:to>
                <xdr:col>7</xdr:col>
                <xdr:colOff>18</xdr:colOff>
                <xdr:row>35</xdr:row>
                <xdr:rowOff>13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this differential in the swap in sitara under seller receives.  Use IF M.I + internal adjustment.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16</xdr:row>
                <xdr:rowOff>8</xdr:rowOff>
              </xdr:from>
              <xdr:to>
                <xdr:col>16</xdr:col>
                <xdr:colOff>29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39</xdr:colOff>
                <xdr:row>7</xdr:row>
                <xdr:rowOff>10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current month numbers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8</xdr:rowOff>
              </xdr:from>
              <xdr:to>
                <xdr:col>2</xdr:col>
                <xdr:colOff>39</xdr:colOff>
                <xdr:row>8</xdr:row>
                <xdr:rowOff>11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pubposting for flash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8</xdr:rowOff>
              </xdr:from>
              <xdr:to>
                <xdr:col>2</xdr:col>
                <xdr:colOff>39</xdr:colOff>
                <xdr:row>9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Update volumes from sum icon in sitara deals.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78</xdr:colOff>
                <xdr:row>16</xdr:row>
                <xdr:rowOff>11</xdr:rowOff>
              </xdr:to>
            </anchor>
          </commentPr>
        </mc:Choice>
        <mc:Fallback/>
      </mc:AlternateContent>
    </comment>
    <comment ref="D33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Input into sitara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31</xdr:row>
                <xdr:rowOff>7</xdr:rowOff>
              </xdr:from>
              <xdr:to>
                <xdr:col>7</xdr:col>
                <xdr:colOff>18</xdr:colOff>
                <xdr:row>35</xdr:row>
                <xdr:rowOff>13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Alejandra Chavez:
</t>
        </r>
        <r>
          <rPr>
            <sz val="8"/>
            <color rgb="FF000000"/>
            <rFont val="Tahoma"/>
            <family val="0"/>
          </rPr>
          <t xml:space="preserve">Use this differential in the swap in sitara under seller receives.  Use IF M.I + internal adjustment.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16</xdr:row>
                <xdr:rowOff>8</xdr:rowOff>
              </xdr:from>
              <xdr:to>
                <xdr:col>16</xdr:col>
                <xdr:colOff>29</xdr:colOff>
                <xdr:row>20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<sst xmlns="http://schemas.openxmlformats.org/spreadsheetml/2006/main" count="442" uniqueCount="127">
  <si>
    <t xml:space="preserve">TRIGEN</t>
  </si>
  <si>
    <t xml:space="preserve">CONTRACT PRICE CALCULATION</t>
  </si>
  <si>
    <t xml:space="preserve">sitara #22358 &amp; 655058</t>
  </si>
  <si>
    <t xml:space="preserve">IFGMR</t>
  </si>
  <si>
    <t xml:space="preserve">NGW</t>
  </si>
  <si>
    <t xml:space="preserve"> </t>
  </si>
  <si>
    <t xml:space="preserve">PHYSICAL</t>
  </si>
  <si>
    <t xml:space="preserve">This Week</t>
  </si>
  <si>
    <t xml:space="preserve">THREE</t>
  </si>
  <si>
    <t xml:space="preserve">PRICING</t>
  </si>
  <si>
    <t xml:space="preserve">INDEX</t>
  </si>
  <si>
    <t xml:space="preserve">TRANSCO</t>
  </si>
  <si>
    <t xml:space="preserve">MONTH</t>
  </si>
  <si>
    <t xml:space="preserve">CONTRACT</t>
  </si>
  <si>
    <t xml:space="preserve">ZONE 3</t>
  </si>
  <si>
    <t xml:space="preserve">ZONE 4</t>
  </si>
  <si>
    <t xml:space="preserve">AVERAGE</t>
  </si>
  <si>
    <t xml:space="preserve">PRICE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</si>
  <si>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</si>
  <si>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</si>
  <si>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</si>
  <si>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</si>
  <si>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</si>
  <si>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Jun-2000</t>
  </si>
  <si>
    <t xml:space="preserve">Jul-2000</t>
  </si>
  <si>
    <t xml:space="preserve">Aug-2000</t>
  </si>
  <si>
    <t xml:space="preserve">Sep-2000</t>
  </si>
  <si>
    <t xml:space="preserve">Oct-2000</t>
  </si>
  <si>
    <t xml:space="preserve">Nov-2000</t>
  </si>
  <si>
    <t xml:space="preserve">Dec-2000</t>
  </si>
  <si>
    <t xml:space="preserve">Jan-2001</t>
  </si>
  <si>
    <t xml:space="preserve">Mar-2001</t>
  </si>
  <si>
    <t xml:space="preserve">Feb-2001</t>
  </si>
  <si>
    <t xml:space="preserve">Apr-2001</t>
  </si>
  <si>
    <t xml:space="preserve">May-2001</t>
  </si>
  <si>
    <t xml:space="preserve">Jun-2001</t>
  </si>
  <si>
    <t xml:space="preserve">Jul-2001</t>
  </si>
  <si>
    <t xml:space="preserve">Aug-2001</t>
  </si>
  <si>
    <t xml:space="preserve">Sep-2001</t>
  </si>
  <si>
    <t xml:space="preserve">Oct-2001</t>
  </si>
  <si>
    <t xml:space="preserve">Nov-2001</t>
  </si>
  <si>
    <t xml:space="preserve">Price for the month shall be the arithmetic average of the three preceding month's indexes!!</t>
  </si>
  <si>
    <t xml:space="preserve">CITYGATE PRICE</t>
  </si>
  <si>
    <t xml:space="preserve">FUEL FROM ZONE</t>
  </si>
  <si>
    <t xml:space="preserve">4-6</t>
  </si>
  <si>
    <t xml:space="preserve">a</t>
  </si>
  <si>
    <t xml:space="preserve">from tariff</t>
  </si>
  <si>
    <t xml:space="preserve">CONTRACT PRICE</t>
  </si>
  <si>
    <t xml:space="preserve">b</t>
  </si>
  <si>
    <t xml:space="preserve">calculated</t>
  </si>
  <si>
    <t xml:space="preserve">FUEL RATE</t>
  </si>
  <si>
    <t xml:space="preserve">c</t>
  </si>
  <si>
    <t xml:space="preserve">b / (1 - a) - b</t>
  </si>
  <si>
    <t xml:space="preserve">ZONE RATE</t>
  </si>
  <si>
    <t xml:space="preserve">d</t>
  </si>
  <si>
    <t xml:space="preserve">CITYGATE</t>
  </si>
  <si>
    <t xml:space="preserve">e</t>
  </si>
  <si>
    <t xml:space="preserve">b + c + d</t>
  </si>
  <si>
    <t xml:space="preserve">FUEL</t>
  </si>
  <si>
    <t xml:space="preserve">3-6</t>
  </si>
  <si>
    <t xml:space="preserve">f</t>
  </si>
  <si>
    <t xml:space="preserve">g</t>
  </si>
  <si>
    <t xml:space="preserve">h</t>
  </si>
  <si>
    <t xml:space="preserve">SUBTOTAL</t>
  </si>
  <si>
    <t xml:space="preserve">I</t>
  </si>
  <si>
    <t xml:space="preserve">g-h</t>
  </si>
  <si>
    <t xml:space="preserve">j</t>
  </si>
  <si>
    <t xml:space="preserve">l * (1 + f) - l</t>
  </si>
  <si>
    <t xml:space="preserve">ZONE 3 RATE</t>
  </si>
  <si>
    <t xml:space="preserve">k</t>
  </si>
  <si>
    <t xml:space="preserve">l - j</t>
  </si>
  <si>
    <t xml:space="preserve">Currently showing all sales at Transco Zone 4 - therefore the price is</t>
  </si>
  <si>
    <t xml:space="preserve">SA #22358</t>
  </si>
  <si>
    <t xml:space="preserve">Trigen-Nassau Energy Corp - sale</t>
  </si>
  <si>
    <t xml:space="preserve">Daily</t>
  </si>
  <si>
    <t xml:space="preserve">Monthly</t>
  </si>
  <si>
    <t xml:space="preserve">FOM Settle</t>
  </si>
  <si>
    <t xml:space="preserve">Basis</t>
  </si>
  <si>
    <t xml:space="preserve">Index</t>
  </si>
  <si>
    <t xml:space="preserve">Volumes</t>
  </si>
  <si>
    <t xml:space="preserve">IF-Transco/Z3 = </t>
  </si>
  <si>
    <t xml:space="preserve">IF-Transco/Z4 = </t>
  </si>
  <si>
    <t xml:space="preserve">NX3 = </t>
  </si>
  <si>
    <t xml:space="preserve">Economic</t>
  </si>
  <si>
    <t xml:space="preserve">Unify</t>
  </si>
  <si>
    <t xml:space="preserve">Days in Month</t>
  </si>
  <si>
    <t xml:space="preserve">Estimate</t>
  </si>
  <si>
    <t xml:space="preserve">Should Be</t>
  </si>
  <si>
    <t xml:space="preserve">Variance</t>
  </si>
  <si>
    <t xml:space="preserve">Volume</t>
  </si>
  <si>
    <t xml:space="preserve">Actual Flow Locations</t>
  </si>
  <si>
    <t xml:space="preserve">Actual</t>
  </si>
  <si>
    <t xml:space="preserve">Rate</t>
  </si>
  <si>
    <t xml:space="preserve">Amount</t>
  </si>
  <si>
    <t xml:space="preserve">Transco/Z4</t>
  </si>
  <si>
    <t xml:space="preserve">Liquidations</t>
  </si>
  <si>
    <t xml:space="preserve">Total Amount</t>
  </si>
  <si>
    <t xml:space="preserve">Total Volumes</t>
  </si>
  <si>
    <t xml:space="preserve">Net Rate</t>
  </si>
  <si>
    <t xml:space="preserve">Price</t>
  </si>
  <si>
    <t xml:space="preserve">internal adjustment</t>
  </si>
  <si>
    <t xml:space="preserve">EJ3100.1</t>
  </si>
  <si>
    <t xml:space="preserve">EJ3100.2</t>
  </si>
  <si>
    <t xml:space="preserve">EJ3100.3</t>
  </si>
  <si>
    <t xml:space="preserve">EJ3100.4</t>
  </si>
  <si>
    <t xml:space="preserve">E33328.B</t>
  </si>
  <si>
    <t xml:space="preserve">E33328.4</t>
  </si>
  <si>
    <t xml:space="preserve">E33328.6</t>
  </si>
  <si>
    <t xml:space="preserve">E33328.8</t>
  </si>
  <si>
    <t xml:space="preserve">Total Liquidations</t>
  </si>
  <si>
    <t xml:space="preserve">Customer Price = </t>
  </si>
  <si>
    <t xml:space="preserve">Desk Price = </t>
  </si>
  <si>
    <t xml:space="preserve">Sitara #22358 &amp; #655058</t>
  </si>
  <si>
    <t xml:space="preserve">Px change</t>
  </si>
  <si>
    <t xml:space="preserve">Variance Change</t>
  </si>
  <si>
    <t xml:space="preserve">Variance </t>
  </si>
  <si>
    <t xml:space="preserve">Transco/Z3</t>
  </si>
  <si>
    <t xml:space="preserve">EJ3100</t>
  </si>
  <si>
    <t xml:space="preserve">1184/d</t>
  </si>
  <si>
    <t xml:space="preserve">1184 mmbtu/d</t>
  </si>
  <si>
    <t xml:space="preserve">NX3</t>
  </si>
  <si>
    <t xml:space="preserve">IF-Transco/Z4 + 0</t>
  </si>
  <si>
    <t xml:space="preserve">gas @ Transco/Z3</t>
  </si>
  <si>
    <t xml:space="preserve">5750/d</t>
  </si>
  <si>
    <t xml:space="preserve">gas @ Transco/Z4</t>
  </si>
  <si>
    <t xml:space="preserve">IF-Transco/Z3 + 0 </t>
  </si>
  <si>
    <t xml:space="preserve">1184 mmbt/d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</si>
</sst>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&quot;$   &quot;#,##0.00_);&quot;($   &quot;#,##0.00\);&quot;$          -&quot;"/>
    <numFmt numFmtId="166" formatCode="_(##0_);\(##0\)_1;\-_)_ _ 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0"/>
    <numFmt numFmtId="175" formatCode="\$#,##0.0000_);&quot;($&quot;#,##0.00\)"/>
    <numFmt numFmtId="176" formatCode="General_)"/>
    <numFmt numFmtId="177" formatCode="[$-409]mmm\-yy"/>
    <numFmt numFmtId="178" formatCode="\$#,##0.0000_);&quot;($&quot;#,##0.0000\)"/>
    <numFmt numFmtId="179" formatCode="\$#,##0.00_);[RED]&quot;($&quot;#,##0.00\)"/>
    <numFmt numFmtId="180" formatCode="\$#,##0.000_);[RED]&quot;($&quot;#,##0.000\)"/>
    <numFmt numFmtId="181" formatCode="[$-409]#,##0_);[RED]\(#,##0\)"/>
    <numFmt numFmtId="182" formatCode="\$#,##0.00000_);[RED]&quot;($&quot;#,##0.00000\)"/>
    <numFmt numFmtId="183" formatCode="\$#,##0.0000_);[RED]&quot;($&quot;#,##0.0000\)"/>
    <numFmt numFmtId="184" formatCode="0.000"/>
    <numFmt numFmtId="185" formatCode="[$-409]#,##0.00_);[RED]\(#,##0.00\)"/>
    <numFmt numFmtId="186" formatCode="0.000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8"/>
      <color rgb="FF008000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color rgb="FF008000"/>
      <name val="Times New Roman"/>
      <family val="1"/>
    </font>
    <font>
      <sz val="10"/>
      <color rgb="FF339933"/>
      <name val="Times New Roman"/>
      <family val="1"/>
    </font>
    <font>
      <sz val="10"/>
      <color rgb="FF00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333399"/>
        <bgColor rgb="FF003366"/>
      </patternFill>
    </fill>
    <fill>
      <patternFill patternType="solid">
        <fgColor rgb="FFCC99FF"/>
        <bgColor rgb="FFCC9CCC"/>
      </patternFill>
    </fill>
    <fill>
      <patternFill patternType="solid">
        <fgColor rgb="FFCC9CCC"/>
        <bgColor rgb="FFCC99FF"/>
      </patternFill>
    </fill>
    <fill>
      <patternFill patternType="solid">
        <fgColor rgb="FFFF00FF"/>
        <bgColor rgb="FFFF00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9" fillId="0" borderId="0" applyFont="true" applyBorder="false" applyAlignment="false" applyProtection="true">
      <protection locked="true" hidden="false"/>
    </xf>
    <xf numFmtId="164" fontId="5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9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7" fillId="0" borderId="0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3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6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" xfId="31"/>
    <cellStyle name="Input [yellow]" xfId="32"/>
    <cellStyle name="no dec" xfId="33"/>
    <cellStyle name="Normal - Style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9720</xdr:colOff>
      <xdr:row>15</xdr:row>
      <xdr:rowOff>0</xdr:rowOff>
    </xdr:from>
    <xdr:to>
      <xdr:col>8</xdr:col>
      <xdr:colOff>360</xdr:colOff>
      <xdr:row>19</xdr:row>
      <xdr:rowOff>162000</xdr:rowOff>
    </xdr:to>
    <xdr:sp>
      <xdr:nvSpPr>
        <xdr:cNvPr id="0" name="Rectangle 1"/>
        <xdr:cNvSpPr/>
      </xdr:nvSpPr>
      <xdr:spPr>
        <a:xfrm>
          <a:off x="3873240" y="2428920"/>
          <a:ext cx="1278360" cy="809640"/>
        </a:xfrm>
        <a:prstGeom prst="rect">
          <a:avLst/>
        </a:prstGeom>
        <a:solidFill>
          <a:srgbClr val="336666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Times New Roman"/>
            </a:rPr>
            <a:t>ENA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634680</xdr:colOff>
      <xdr:row>19</xdr:row>
      <xdr:rowOff>162000</xdr:rowOff>
    </xdr:to>
    <xdr:sp>
      <xdr:nvSpPr>
        <xdr:cNvPr id="1" name="Rectangle 2"/>
        <xdr:cNvSpPr/>
      </xdr:nvSpPr>
      <xdr:spPr>
        <a:xfrm>
          <a:off x="644040" y="2428920"/>
          <a:ext cx="1278360" cy="809640"/>
        </a:xfrm>
        <a:prstGeom prst="rect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Trigen-Nassau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9720</xdr:colOff>
      <xdr:row>2</xdr:row>
      <xdr:rowOff>0</xdr:rowOff>
    </xdr:from>
    <xdr:to>
      <xdr:col>8</xdr:col>
      <xdr:colOff>360</xdr:colOff>
      <xdr:row>6</xdr:row>
      <xdr:rowOff>162000</xdr:rowOff>
    </xdr:to>
    <xdr:sp>
      <xdr:nvSpPr>
        <xdr:cNvPr id="2" name="Rectangle 3"/>
        <xdr:cNvSpPr/>
      </xdr:nvSpPr>
      <xdr:spPr>
        <a:xfrm>
          <a:off x="3873240" y="324000"/>
          <a:ext cx="1278360" cy="809640"/>
        </a:xfrm>
        <a:prstGeom prst="rect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Trigen-Nassau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9720</xdr:colOff>
      <xdr:row>28</xdr:row>
      <xdr:rowOff>0</xdr:rowOff>
    </xdr:from>
    <xdr:to>
      <xdr:col>8</xdr:col>
      <xdr:colOff>360</xdr:colOff>
      <xdr:row>32</xdr:row>
      <xdr:rowOff>162000</xdr:rowOff>
    </xdr:to>
    <xdr:sp>
      <xdr:nvSpPr>
        <xdr:cNvPr id="3" name="Rectangle 4"/>
        <xdr:cNvSpPr/>
      </xdr:nvSpPr>
      <xdr:spPr>
        <a:xfrm>
          <a:off x="3873240" y="4533840"/>
          <a:ext cx="1278360" cy="80964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Trigen-Nassau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10080</xdr:colOff>
      <xdr:row>15</xdr:row>
      <xdr:rowOff>0</xdr:rowOff>
    </xdr:from>
    <xdr:to>
      <xdr:col>13</xdr:col>
      <xdr:colOff>360</xdr:colOff>
      <xdr:row>19</xdr:row>
      <xdr:rowOff>162000</xdr:rowOff>
    </xdr:to>
    <xdr:sp>
      <xdr:nvSpPr>
        <xdr:cNvPr id="4" name="Rectangle 5"/>
        <xdr:cNvSpPr/>
      </xdr:nvSpPr>
      <xdr:spPr>
        <a:xfrm>
          <a:off x="7092720" y="2428920"/>
          <a:ext cx="1278360" cy="809640"/>
        </a:xfrm>
        <a:prstGeom prst="rect">
          <a:avLst/>
        </a:prstGeom>
        <a:solidFill>
          <a:srgbClr val="c0c0c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Times New Roman"/>
            </a:rPr>
            <a:t>Trigen-Nassau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7</xdr:row>
      <xdr:rowOff>0</xdr:rowOff>
    </xdr:from>
    <xdr:to>
      <xdr:col>6</xdr:col>
      <xdr:colOff>423000</xdr:colOff>
      <xdr:row>14</xdr:row>
      <xdr:rowOff>162000</xdr:rowOff>
    </xdr:to>
    <xdr:sp>
      <xdr:nvSpPr>
        <xdr:cNvPr id="5" name="Line 8"/>
        <xdr:cNvSpPr/>
      </xdr:nvSpPr>
      <xdr:spPr>
        <a:xfrm flipV="1">
          <a:off x="4285800" y="1133640"/>
          <a:ext cx="720" cy="1295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331920</xdr:colOff>
      <xdr:row>7</xdr:row>
      <xdr:rowOff>9360</xdr:rowOff>
    </xdr:from>
    <xdr:to>
      <xdr:col>7</xdr:col>
      <xdr:colOff>332640</xdr:colOff>
      <xdr:row>14</xdr:row>
      <xdr:rowOff>162000</xdr:rowOff>
    </xdr:to>
    <xdr:sp>
      <xdr:nvSpPr>
        <xdr:cNvPr id="6" name="Line 9"/>
        <xdr:cNvSpPr/>
      </xdr:nvSpPr>
      <xdr:spPr>
        <a:xfrm>
          <a:off x="4839120" y="1143000"/>
          <a:ext cx="720" cy="1285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16</xdr:row>
      <xdr:rowOff>66240</xdr:rowOff>
    </xdr:from>
    <xdr:to>
      <xdr:col>11</xdr:col>
      <xdr:colOff>10800</xdr:colOff>
      <xdr:row>16</xdr:row>
      <xdr:rowOff>66240</xdr:rowOff>
    </xdr:to>
    <xdr:sp>
      <xdr:nvSpPr>
        <xdr:cNvPr id="7" name="Line 10"/>
        <xdr:cNvSpPr/>
      </xdr:nvSpPr>
      <xdr:spPr>
        <a:xfrm>
          <a:off x="5151240" y="2657160"/>
          <a:ext cx="1942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-360</xdr:colOff>
      <xdr:row>18</xdr:row>
      <xdr:rowOff>75960</xdr:rowOff>
    </xdr:from>
    <xdr:to>
      <xdr:col>11</xdr:col>
      <xdr:colOff>10440</xdr:colOff>
      <xdr:row>18</xdr:row>
      <xdr:rowOff>75960</xdr:rowOff>
    </xdr:to>
    <xdr:sp>
      <xdr:nvSpPr>
        <xdr:cNvPr id="8" name="Line 11"/>
        <xdr:cNvSpPr/>
      </xdr:nvSpPr>
      <xdr:spPr>
        <a:xfrm flipH="1">
          <a:off x="5150880" y="2990520"/>
          <a:ext cx="1942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311760</xdr:colOff>
      <xdr:row>20</xdr:row>
      <xdr:rowOff>9360</xdr:rowOff>
    </xdr:from>
    <xdr:to>
      <xdr:col>7</xdr:col>
      <xdr:colOff>312480</xdr:colOff>
      <xdr:row>27</xdr:row>
      <xdr:rowOff>162000</xdr:rowOff>
    </xdr:to>
    <xdr:sp>
      <xdr:nvSpPr>
        <xdr:cNvPr id="9" name="Line 12"/>
        <xdr:cNvSpPr/>
      </xdr:nvSpPr>
      <xdr:spPr>
        <a:xfrm>
          <a:off x="4818960" y="3247920"/>
          <a:ext cx="720" cy="1285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342000</xdr:colOff>
      <xdr:row>20</xdr:row>
      <xdr:rowOff>9360</xdr:rowOff>
    </xdr:from>
    <xdr:to>
      <xdr:col>6</xdr:col>
      <xdr:colOff>342360</xdr:colOff>
      <xdr:row>27</xdr:row>
      <xdr:rowOff>162000</xdr:rowOff>
    </xdr:to>
    <xdr:sp>
      <xdr:nvSpPr>
        <xdr:cNvPr id="10" name="Line 13"/>
        <xdr:cNvSpPr/>
      </xdr:nvSpPr>
      <xdr:spPr>
        <a:xfrm flipV="1">
          <a:off x="4205520" y="3247920"/>
          <a:ext cx="360" cy="1285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18</xdr:row>
      <xdr:rowOff>75960</xdr:rowOff>
    </xdr:from>
    <xdr:to>
      <xdr:col>6</xdr:col>
      <xdr:colOff>10080</xdr:colOff>
      <xdr:row>18</xdr:row>
      <xdr:rowOff>75960</xdr:rowOff>
    </xdr:to>
    <xdr:sp>
      <xdr:nvSpPr>
        <xdr:cNvPr id="11" name="Line 14"/>
        <xdr:cNvSpPr/>
      </xdr:nvSpPr>
      <xdr:spPr>
        <a:xfrm flipH="1">
          <a:off x="1931400" y="2990520"/>
          <a:ext cx="1942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86040</xdr:rowOff>
    </xdr:from>
    <xdr:to>
      <xdr:col>6</xdr:col>
      <xdr:colOff>10440</xdr:colOff>
      <xdr:row>16</xdr:row>
      <xdr:rowOff>86040</xdr:rowOff>
    </xdr:to>
    <xdr:sp>
      <xdr:nvSpPr>
        <xdr:cNvPr id="12" name="Line 15"/>
        <xdr:cNvSpPr/>
      </xdr:nvSpPr>
      <xdr:spPr>
        <a:xfrm>
          <a:off x="1931760" y="2676960"/>
          <a:ext cx="19422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6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4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true" showOutlineSymbols="true" defaultGridColor="true" view="normal" topLeftCell="C3" colorId="64" zoomScale="100" zoomScaleNormal="100" zoomScalePageLayoutView="100" workbookViewId="0">
      <selection pane="topLeft" activeCell="D36" activeCellId="0" sqref="D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3.28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9.14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113" t="n">
        <v>3.18</v>
      </c>
      <c r="C5" s="55" t="n">
        <f aca="false">B5-B$7</f>
        <v>0.11967</v>
      </c>
      <c r="D5" s="110" t="n">
        <v>0.00125</v>
      </c>
      <c r="E5" s="56" t="n">
        <v>5750</v>
      </c>
      <c r="F5" s="56" t="n">
        <f aca="false">E5*$B$9</f>
        <v>172500</v>
      </c>
      <c r="L5" s="33"/>
    </row>
    <row r="6" customFormat="false" ht="13.5" hidden="false" customHeight="false" outlineLevel="0" collapsed="false">
      <c r="A6" s="49" t="s">
        <v>81</v>
      </c>
      <c r="B6" s="113" t="n">
        <v>3.19</v>
      </c>
      <c r="C6" s="55" t="n">
        <f aca="false">B6-B$7</f>
        <v>0.12967</v>
      </c>
      <c r="D6" s="110" t="n">
        <v>0.01</v>
      </c>
      <c r="E6" s="56" t="n">
        <v>5750</v>
      </c>
      <c r="F6" s="56" t="n">
        <f aca="false">E6*$B$9</f>
        <v>172500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111" t="n">
        <v>3.06033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112" t="n">
        <v>30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+B17</f>
        <v>375008</v>
      </c>
      <c r="L10" s="78" t="n">
        <f aca="false">+B17</f>
        <v>375008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+D35</f>
        <v>3.03514437025343</v>
      </c>
      <c r="L11" s="81" t="n">
        <f aca="false">+D33</f>
        <v>3.0529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1138203.42</v>
      </c>
      <c r="L12" s="84" t="n">
        <f aca="false">L10*L11</f>
        <v>1144861.9232</v>
      </c>
      <c r="M12" s="82"/>
      <c r="N12" s="72"/>
      <c r="O12" s="67"/>
    </row>
    <row r="13" customFormat="false" ht="12.75" hidden="false" customHeight="false" outlineLevel="0" collapsed="false">
      <c r="A13" s="49"/>
      <c r="B13" s="33"/>
      <c r="G13" s="85"/>
      <c r="H13" s="62"/>
      <c r="I13" s="68"/>
      <c r="J13" s="76" t="s">
        <v>95</v>
      </c>
      <c r="K13" s="83" t="n">
        <f aca="false">+D31</f>
        <v>6915.93180000001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 t="s">
        <v>116</v>
      </c>
      <c r="B14" s="110" t="n">
        <v>1674</v>
      </c>
      <c r="H14" s="62"/>
      <c r="I14" s="68"/>
      <c r="J14" s="76" t="s">
        <v>96</v>
      </c>
      <c r="K14" s="83" t="n">
        <f aca="false">K12+K13</f>
        <v>1145119.3518</v>
      </c>
      <c r="L14" s="88" t="n">
        <f aca="false">L12</f>
        <v>1144861.9232</v>
      </c>
      <c r="M14" s="89" t="n">
        <f aca="false">L14-K14</f>
        <v>-257.428599999752</v>
      </c>
      <c r="N14" s="72"/>
      <c r="O14" s="67"/>
    </row>
    <row r="15" customFormat="false" ht="13.5" hidden="false" customHeight="false" outlineLevel="0" collapsed="false">
      <c r="A15" s="49" t="s">
        <v>94</v>
      </c>
      <c r="B15" s="112" t="n">
        <v>373334</v>
      </c>
      <c r="H15" s="91"/>
      <c r="I15" s="68"/>
      <c r="J15" s="92" t="s">
        <v>98</v>
      </c>
      <c r="K15" s="93" t="n">
        <f aca="false">K14/K10</f>
        <v>3.05358646162215</v>
      </c>
      <c r="L15" s="94" t="n">
        <f aca="false">L14/L10</f>
        <v>3.0529</v>
      </c>
      <c r="M15" s="95" t="n">
        <f aca="false">L15-K15</f>
        <v>-0.00068646162215158</v>
      </c>
      <c r="N15" s="72"/>
      <c r="O15" s="67"/>
    </row>
    <row r="16" customFormat="false" ht="13.5" hidden="false" customHeight="false" outlineLevel="0" collapsed="false">
      <c r="A16" s="49"/>
      <c r="B16" s="56"/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A17" s="49" t="s">
        <v>97</v>
      </c>
      <c r="B17" s="90" t="n">
        <f aca="false">SUM(B14:B16)</f>
        <v>375008</v>
      </c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96"/>
      <c r="C18" s="122"/>
      <c r="D18" s="123"/>
      <c r="G18" s="54"/>
      <c r="L18" s="104" t="s">
        <v>100</v>
      </c>
      <c r="M18" s="105" t="n">
        <f aca="false">M15</f>
        <v>-0.00068646162215158</v>
      </c>
    </row>
    <row r="19" customFormat="false" ht="12.75" hidden="false" customHeight="false" outlineLevel="0" collapsed="false">
      <c r="B19" s="124" t="s">
        <v>95</v>
      </c>
      <c r="C19" s="11" t="s">
        <v>77</v>
      </c>
      <c r="D19" s="11" t="s">
        <v>78</v>
      </c>
      <c r="G19" s="106"/>
      <c r="H19" s="33"/>
    </row>
    <row r="20" customFormat="false" ht="12.75" hidden="false" customHeight="false" outlineLevel="0" collapsed="false">
      <c r="B20" s="11" t="s">
        <v>99</v>
      </c>
      <c r="C20" s="54" t="n">
        <v>0</v>
      </c>
      <c r="D20" s="54" t="n">
        <f aca="false">-($D$5-0)*$E$5*$B$9</f>
        <v>-215.625</v>
      </c>
      <c r="G20" s="54"/>
      <c r="H20" s="54"/>
    </row>
    <row r="21" customFormat="false" ht="12.75" hidden="false" customHeight="false" outlineLevel="0" collapsed="false">
      <c r="A21" s="5" t="s">
        <v>101</v>
      </c>
      <c r="B21" s="54" t="n">
        <v>0</v>
      </c>
      <c r="C21" s="106" t="n">
        <v>0</v>
      </c>
      <c r="D21" s="54" t="n">
        <f aca="false">-(D6-0)*E6*B$9</f>
        <v>-1725</v>
      </c>
      <c r="G21" s="54"/>
      <c r="H21" s="106"/>
    </row>
    <row r="22" customFormat="false" ht="12.75" hidden="false" customHeight="false" outlineLevel="0" collapsed="false">
      <c r="A22" s="5" t="s">
        <v>102</v>
      </c>
      <c r="B22" s="54" t="n">
        <v>0</v>
      </c>
      <c r="C22" s="54" t="n">
        <f aca="false">(C5-0)*1184*$B$9</f>
        <v>4250.67840000001</v>
      </c>
      <c r="D22" s="54" t="n">
        <v>0</v>
      </c>
      <c r="H22" s="54"/>
      <c r="M22" s="5" t="n">
        <f aca="false">-0.1423-0.0091</f>
        <v>-0.1514</v>
      </c>
    </row>
    <row r="23" customFormat="false" ht="12.75" hidden="false" customHeight="false" outlineLevel="0" collapsed="false">
      <c r="A23" s="5" t="s">
        <v>103</v>
      </c>
      <c r="B23" s="54" t="n">
        <f aca="false">(B7-0)*1184*$B$9</f>
        <v>108702.9216</v>
      </c>
      <c r="C23" s="54" t="n">
        <f aca="false">(C6-0)*1184*$B$9</f>
        <v>4605.8784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104</v>
      </c>
      <c r="B24" s="54" t="n">
        <f aca="false">(B7-0)*1184*$B$9</f>
        <v>108702.9216</v>
      </c>
      <c r="C24" s="54" t="n">
        <v>0</v>
      </c>
      <c r="D24" s="54" t="n">
        <v>0</v>
      </c>
      <c r="J24" s="120" t="s">
        <v>113</v>
      </c>
      <c r="K24" s="120" t="s">
        <v>115</v>
      </c>
    </row>
    <row r="25" customFormat="false" ht="12.75" hidden="false" customHeight="false" outlineLevel="0" collapsed="false">
      <c r="A25" s="5" t="s">
        <v>105</v>
      </c>
      <c r="B25" s="54" t="n">
        <f aca="false">($B$7-2)*0</f>
        <v>0</v>
      </c>
      <c r="C25" s="54" t="n">
        <v>0</v>
      </c>
      <c r="D25" s="54" t="n">
        <v>0</v>
      </c>
      <c r="G25" s="85"/>
      <c r="H25" s="85"/>
      <c r="J25" s="121" t="n">
        <v>1.4036</v>
      </c>
      <c r="K25" s="116" t="n">
        <v>-12744.25</v>
      </c>
      <c r="M25" s="5" t="n">
        <f aca="false">2.5243-0.1423</f>
        <v>2.382</v>
      </c>
    </row>
    <row r="26" customFormat="false" ht="12.75" hidden="false" customHeight="false" outlineLevel="0" collapsed="false">
      <c r="A26" s="5" t="s">
        <v>106</v>
      </c>
      <c r="B26" s="54" t="n">
        <f aca="false">-($B$7-2)*0</f>
        <v>-0</v>
      </c>
      <c r="C26" s="54" t="n">
        <v>0</v>
      </c>
      <c r="D26" s="54" t="n">
        <v>0</v>
      </c>
      <c r="J26" s="117" t="n">
        <v>1.3707</v>
      </c>
      <c r="K26" s="116" t="n">
        <v>-159301.42</v>
      </c>
    </row>
    <row r="27" customFormat="false" ht="12.75" hidden="false" customHeight="false" outlineLevel="0" collapsed="false">
      <c r="A27" s="5" t="s">
        <v>107</v>
      </c>
      <c r="B27" s="54" t="n">
        <f aca="false">-($B$7-2)*0</f>
        <v>-0</v>
      </c>
      <c r="C27" s="54" t="n">
        <v>0</v>
      </c>
      <c r="D27" s="54" t="n">
        <v>0</v>
      </c>
      <c r="H27" s="85"/>
      <c r="J27" s="118" t="n">
        <f aca="false">J25-J26</f>
        <v>0.0328999999999999</v>
      </c>
      <c r="K27" s="119" t="n">
        <f aca="false">-K25+K26</f>
        <v>-146557.17</v>
      </c>
    </row>
    <row r="28" customFormat="false" ht="12.75" hidden="false" customHeight="false" outlineLevel="0" collapsed="false">
      <c r="A28" s="5" t="s">
        <v>108</v>
      </c>
      <c r="B28" s="54" t="n">
        <f aca="false">-($B$7-2)*0</f>
        <v>-0</v>
      </c>
      <c r="J28" s="118" t="n">
        <f aca="false">J27/K27</f>
        <v>-2.24485775755631E-007</v>
      </c>
      <c r="K28" s="118"/>
    </row>
    <row r="29" customFormat="false" ht="12.75" hidden="false" customHeight="false" outlineLevel="0" collapsed="false">
      <c r="B29" s="85"/>
      <c r="C29" s="85" t="n">
        <f aca="false">SUM(C20:C28)</f>
        <v>8856.55680000001</v>
      </c>
      <c r="D29" s="54" t="n">
        <f aca="false">SUM(D20:D27)</f>
        <v>-1940.625</v>
      </c>
      <c r="J29" s="118" t="n">
        <f aca="false">J28*K26</f>
        <v>0.0357609028476736</v>
      </c>
      <c r="K29" s="118"/>
    </row>
    <row r="30" customFormat="false" ht="12.75" hidden="false" customHeight="false" outlineLevel="0" collapsed="false">
      <c r="B30" s="54" t="n">
        <f aca="false">SUM(B21:B29)</f>
        <v>217405.8432</v>
      </c>
    </row>
    <row r="31" customFormat="false" ht="12.75" hidden="false" customHeight="false" outlineLevel="0" collapsed="false">
      <c r="D31" s="85" t="n">
        <f aca="false">SUM(B29:D29)</f>
        <v>6915.93180000001</v>
      </c>
    </row>
    <row r="32" customFormat="false" ht="12.75" hidden="false" customHeight="false" outlineLevel="0" collapsed="false">
      <c r="B32" s="5" t="s">
        <v>109</v>
      </c>
    </row>
    <row r="33" customFormat="false" ht="12.75" hidden="false" customHeight="false" outlineLevel="0" collapsed="false">
      <c r="D33" s="114" t="n">
        <f aca="false">+'Customer Pricing'!L90</f>
        <v>3.0529</v>
      </c>
    </row>
    <row r="34" customFormat="false" ht="12.75" hidden="false" customHeight="false" outlineLevel="0" collapsed="false">
      <c r="B34" s="5" t="s">
        <v>110</v>
      </c>
    </row>
    <row r="35" customFormat="false" ht="12.75" hidden="false" customHeight="false" outlineLevel="0" collapsed="false">
      <c r="D35" s="113" t="n">
        <f aca="false">1138203.42/375008</f>
        <v>3.03514437025343</v>
      </c>
    </row>
    <row r="36" customFormat="false" ht="12.75" hidden="false" customHeight="false" outlineLevel="0" collapsed="false">
      <c r="B36" s="5" t="s">
        <v>111</v>
      </c>
      <c r="D36" s="108"/>
    </row>
    <row r="37" customFormat="false" ht="12.75" hidden="false" customHeight="false" outlineLevel="0" collapsed="false">
      <c r="D37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5" width="9.14"/>
  </cols>
  <sheetData>
    <row r="1" customFormat="false" ht="12.75" hidden="false" customHeight="false" outlineLevel="0" collapsed="false">
      <c r="A1" s="49" t="s">
        <v>117</v>
      </c>
      <c r="G1" s="125" t="s">
        <v>118</v>
      </c>
      <c r="H1" s="125"/>
    </row>
    <row r="2" customFormat="false" ht="12.75" hidden="false" customHeight="false" outlineLevel="0" collapsed="false">
      <c r="G2" s="125" t="s">
        <v>103</v>
      </c>
      <c r="H2" s="125"/>
    </row>
    <row r="11" customFormat="false" ht="12.75" hidden="false" customHeight="false" outlineLevel="0" collapsed="false">
      <c r="F11" s="126" t="n">
        <v>0</v>
      </c>
      <c r="G11" s="126"/>
      <c r="I11" s="5" t="s">
        <v>119</v>
      </c>
    </row>
    <row r="12" customFormat="false" ht="12.75" hidden="false" customHeight="false" outlineLevel="0" collapsed="false">
      <c r="I12" s="5" t="s">
        <v>120</v>
      </c>
    </row>
    <row r="14" customFormat="false" ht="12.75" hidden="false" customHeight="false" outlineLevel="0" collapsed="false">
      <c r="B14" s="125"/>
      <c r="C14" s="125"/>
      <c r="L14" s="125"/>
      <c r="M14" s="125"/>
    </row>
    <row r="15" customFormat="false" ht="12.75" hidden="false" customHeight="false" outlineLevel="0" collapsed="false">
      <c r="B15" s="125"/>
      <c r="C15" s="125"/>
      <c r="L15" s="125"/>
      <c r="M15" s="125"/>
    </row>
    <row r="16" customFormat="false" ht="12.75" hidden="false" customHeight="false" outlineLevel="0" collapsed="false">
      <c r="E16" s="33" t="s">
        <v>121</v>
      </c>
      <c r="J16" s="5" t="s">
        <v>122</v>
      </c>
    </row>
    <row r="17" customFormat="false" ht="12.75" hidden="false" customHeight="false" outlineLevel="0" collapsed="false">
      <c r="A17" s="5" t="s">
        <v>123</v>
      </c>
      <c r="N17" s="5" t="s">
        <v>123</v>
      </c>
    </row>
    <row r="18" customFormat="false" ht="12.75" hidden="false" customHeight="false" outlineLevel="0" collapsed="false">
      <c r="A18" s="5" t="s">
        <v>102</v>
      </c>
      <c r="N18" s="5" t="s">
        <v>101</v>
      </c>
    </row>
    <row r="20" customFormat="false" ht="12.75" hidden="false" customHeight="false" outlineLevel="0" collapsed="false">
      <c r="E20" s="33" t="s">
        <v>124</v>
      </c>
      <c r="J20" s="5" t="s">
        <v>125</v>
      </c>
    </row>
    <row r="24" customFormat="false" ht="12.75" hidden="false" customHeight="false" outlineLevel="0" collapsed="false">
      <c r="F24" s="5" t="s">
        <v>126</v>
      </c>
      <c r="H24" s="126" t="n">
        <v>0</v>
      </c>
      <c r="I24" s="126"/>
    </row>
    <row r="25" customFormat="false" ht="12.75" hidden="false" customHeight="false" outlineLevel="0" collapsed="false">
      <c r="D25" s="104"/>
      <c r="F25" s="127" t="s">
        <v>120</v>
      </c>
      <c r="I25" s="104"/>
      <c r="K25" s="127"/>
    </row>
    <row r="27" customFormat="false" ht="12.75" hidden="false" customHeight="false" outlineLevel="0" collapsed="false">
      <c r="G27" s="104"/>
      <c r="H27" s="126"/>
    </row>
    <row r="32" customFormat="false" ht="12.75" hidden="false" customHeight="false" outlineLevel="0" collapsed="false">
      <c r="C32" s="125"/>
      <c r="D32" s="125"/>
      <c r="K32" s="125"/>
      <c r="L32" s="125"/>
    </row>
    <row r="33" customFormat="false" ht="12.75" hidden="false" customHeight="false" outlineLevel="0" collapsed="false">
      <c r="C33" s="125"/>
      <c r="D33" s="125"/>
      <c r="K33" s="125"/>
      <c r="L33" s="125"/>
    </row>
    <row r="34" customFormat="false" ht="12.75" hidden="false" customHeight="false" outlineLevel="0" collapsed="false">
      <c r="G34" s="125" t="s">
        <v>118</v>
      </c>
      <c r="H34" s="125"/>
    </row>
    <row r="35" customFormat="false" ht="12.75" hidden="false" customHeight="false" outlineLevel="0" collapsed="false">
      <c r="G35" s="125" t="s">
        <v>104</v>
      </c>
      <c r="H35" s="125"/>
    </row>
  </sheetData>
  <mergeCells count="12">
    <mergeCell ref="G1:H1"/>
    <mergeCell ref="G2:H2"/>
    <mergeCell ref="B14:C14"/>
    <mergeCell ref="L14:M14"/>
    <mergeCell ref="B15:C15"/>
    <mergeCell ref="L15:M15"/>
    <mergeCell ref="C32:D32"/>
    <mergeCell ref="K32:L32"/>
    <mergeCell ref="C33:D33"/>
    <mergeCell ref="K33:L33"/>
    <mergeCell ref="G34:H34"/>
    <mergeCell ref="G35:H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false" hidden="false" outlineLevel="0" max="2" min="2" style="1" width="9.14"/>
    <col collapsed="false" customWidth="true" hidden="false" outlineLevel="0" max="3" min="3" style="2" width="10.56"/>
    <col collapsed="false" customWidth="true" hidden="false" outlineLevel="0" max="4" min="4" style="2" width="3.99"/>
    <col collapsed="false" customWidth="true" hidden="false" outlineLevel="0" max="5" min="5" style="2" width="10.56"/>
    <col collapsed="false" customWidth="true" hidden="false" outlineLevel="0" max="6" min="6" style="2" width="1.85"/>
    <col collapsed="false" customWidth="true" hidden="false" outlineLevel="0" max="7" min="7" style="2" width="10.56"/>
    <col collapsed="false" customWidth="true" hidden="false" outlineLevel="0" max="8" min="8" style="2" width="1.85"/>
    <col collapsed="false" customWidth="true" hidden="false" outlineLevel="0" max="9" min="9" style="3" width="10.56"/>
    <col collapsed="false" customWidth="true" hidden="false" outlineLevel="0" max="11" min="10" style="2" width="10.56"/>
    <col collapsed="false" customWidth="true" hidden="false" outlineLevel="0" max="12" min="12" style="4" width="10.56"/>
    <col collapsed="false" customWidth="false" hidden="false" outlineLevel="0" max="257" min="13" style="5" width="9.14"/>
  </cols>
  <sheetData>
    <row r="1" customFormat="false" ht="15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false" ht="15.7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customFormat="false" ht="12.75" hidden="false" customHeight="false" outlineLevel="0" collapsed="false">
      <c r="A3" s="7" t="s">
        <v>2</v>
      </c>
      <c r="B3" s="8"/>
      <c r="I3" s="2"/>
      <c r="L3" s="2"/>
    </row>
    <row r="4" customFormat="false" ht="12.75" hidden="false" customHeight="false" outlineLevel="0" collapsed="false">
      <c r="A4" s="9"/>
      <c r="B4" s="9"/>
      <c r="C4" s="10" t="s">
        <v>3</v>
      </c>
      <c r="D4" s="10"/>
      <c r="E4" s="10" t="s">
        <v>3</v>
      </c>
      <c r="F4" s="10"/>
      <c r="G4" s="10" t="s">
        <v>4</v>
      </c>
      <c r="H4" s="10"/>
      <c r="I4" s="10" t="s">
        <v>4</v>
      </c>
      <c r="J4" s="10" t="s">
        <v>5</v>
      </c>
      <c r="K4" s="5"/>
      <c r="L4" s="1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2.75" hidden="false" customHeight="false" outlineLevel="0" collapsed="false">
      <c r="A5" s="9" t="s">
        <v>6</v>
      </c>
      <c r="B5" s="9"/>
      <c r="C5" s="10"/>
      <c r="D5" s="10"/>
      <c r="E5" s="10"/>
      <c r="F5" s="10"/>
      <c r="G5" s="10" t="s">
        <v>7</v>
      </c>
      <c r="H5" s="10"/>
      <c r="I5" s="10" t="s">
        <v>7</v>
      </c>
      <c r="J5" s="10"/>
      <c r="K5" s="10" t="s">
        <v>8</v>
      </c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2.75" hidden="false" customHeight="false" outlineLevel="0" collapsed="false">
      <c r="A6" s="9" t="s">
        <v>9</v>
      </c>
      <c r="B6" s="9" t="s">
        <v>10</v>
      </c>
      <c r="C6" s="10" t="s">
        <v>11</v>
      </c>
      <c r="D6" s="10"/>
      <c r="E6" s="10" t="s">
        <v>11</v>
      </c>
      <c r="F6" s="10"/>
      <c r="G6" s="10" t="s">
        <v>11</v>
      </c>
      <c r="H6" s="10"/>
      <c r="I6" s="10" t="s">
        <v>11</v>
      </c>
      <c r="J6" s="10" t="s">
        <v>10</v>
      </c>
      <c r="K6" s="10" t="s">
        <v>12</v>
      </c>
      <c r="L6" s="10" t="s">
        <v>13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2.75" hidden="false" customHeight="false" outlineLevel="0" collapsed="false">
      <c r="A7" s="9" t="s">
        <v>12</v>
      </c>
      <c r="B7" s="9" t="s">
        <v>12</v>
      </c>
      <c r="C7" s="10" t="s">
        <v>14</v>
      </c>
      <c r="D7" s="10"/>
      <c r="E7" s="10" t="s">
        <v>15</v>
      </c>
      <c r="F7" s="10"/>
      <c r="G7" s="10" t="s">
        <v>14</v>
      </c>
      <c r="H7" s="10"/>
      <c r="I7" s="10" t="s">
        <v>15</v>
      </c>
      <c r="J7" s="10" t="s">
        <v>16</v>
      </c>
      <c r="K7" s="10" t="s">
        <v>16</v>
      </c>
      <c r="L7" s="10" t="s">
        <v>17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8"/>
      <c r="I8" s="2"/>
    </row>
    <row r="9" customFormat="false" ht="12.75" hidden="false" customHeight="false" outlineLevel="0" collapsed="false">
      <c r="A9" s="8"/>
      <c r="B9" s="1" t="n">
        <v>199501</v>
      </c>
      <c r="C9" s="2" t="n">
        <v>1.62</v>
      </c>
      <c r="E9" s="2" t="n">
        <v>1.62</v>
      </c>
      <c r="G9" s="2" t="n">
        <v>1.64</v>
      </c>
      <c r="I9" s="2" t="n">
        <v>1.6</v>
      </c>
      <c r="J9" s="2" t="n">
        <f aca="false">ROUND(SUM(C9:I9)/4,4)</f>
        <v>1.62</v>
      </c>
    </row>
    <row r="10" customFormat="false" ht="12.75" hidden="false" customHeight="false" outlineLevel="0" collapsed="false">
      <c r="A10" s="8"/>
      <c r="B10" s="1" t="n">
        <f aca="false">+B9+1</f>
        <v>199502</v>
      </c>
      <c r="C10" s="2" t="n">
        <v>1.43</v>
      </c>
      <c r="E10" s="2" t="n">
        <v>1.45</v>
      </c>
      <c r="G10" s="2" t="n">
        <v>1.45</v>
      </c>
      <c r="I10" s="2" t="n">
        <v>1.46</v>
      </c>
      <c r="J10" s="2" t="n">
        <f aca="false">ROUND(SUM(C10:I10)/4,4)</f>
        <v>1.4475</v>
      </c>
      <c r="L10" s="2"/>
    </row>
    <row r="11" customFormat="false" ht="12.75" hidden="false" customHeight="false" outlineLevel="0" collapsed="false">
      <c r="A11" s="8" t="n">
        <v>199504</v>
      </c>
      <c r="B11" s="1" t="n">
        <f aca="false">+B10+1</f>
        <v>199503</v>
      </c>
      <c r="C11" s="2" t="n">
        <v>1.46</v>
      </c>
      <c r="E11" s="2" t="n">
        <v>1.45</v>
      </c>
      <c r="G11" s="2" t="n">
        <v>1.49</v>
      </c>
      <c r="I11" s="2" t="n">
        <v>1.51</v>
      </c>
      <c r="J11" s="2" t="n">
        <f aca="false">ROUND(SUM(C11:I11)/4,4)</f>
        <v>1.4775</v>
      </c>
      <c r="K11" s="2" t="n">
        <f aca="false">ROUND(SUM(J9:J11)/3,4)</f>
        <v>1.515</v>
      </c>
      <c r="L11" s="2" t="n">
        <f aca="false">ROUND(2.05/1.7*K11,4)</f>
        <v>1.8269</v>
      </c>
    </row>
    <row r="12" customFormat="false" ht="12.75" hidden="false" customHeight="false" outlineLevel="0" collapsed="false">
      <c r="A12" s="8" t="n">
        <f aca="false">+A11+1</f>
        <v>199505</v>
      </c>
      <c r="B12" s="1" t="n">
        <f aca="false">+B11+1</f>
        <v>199504</v>
      </c>
      <c r="C12" s="2" t="n">
        <v>1.56</v>
      </c>
      <c r="E12" s="2" t="n">
        <v>1.58</v>
      </c>
      <c r="G12" s="2" t="n">
        <v>1.55</v>
      </c>
      <c r="I12" s="2" t="n">
        <v>1.57</v>
      </c>
      <c r="J12" s="2" t="n">
        <f aca="false">ROUND(SUM(C12:I12)/4,4)</f>
        <v>1.565</v>
      </c>
      <c r="K12" s="2" t="n">
        <f aca="false">ROUND(SUM(J10:J12)/3,4)</f>
        <v>1.4967</v>
      </c>
      <c r="L12" s="2" t="n">
        <f aca="false">ROUND(2.05/1.7*K12,4)</f>
        <v>1.8048</v>
      </c>
    </row>
    <row r="13" customFormat="false" ht="12.75" hidden="false" customHeight="false" outlineLevel="0" collapsed="false">
      <c r="A13" s="8" t="n">
        <f aca="false">+A12+1</f>
        <v>199506</v>
      </c>
      <c r="B13" s="1" t="n">
        <f aca="false">+B12+1</f>
        <v>199505</v>
      </c>
      <c r="C13" s="2" t="n">
        <v>1.67</v>
      </c>
      <c r="E13" s="2" t="n">
        <v>1.68</v>
      </c>
      <c r="G13" s="2" t="n">
        <v>1.68</v>
      </c>
      <c r="I13" s="2" t="n">
        <v>1.69</v>
      </c>
      <c r="J13" s="2" t="n">
        <f aca="false">ROUND(SUM(C13:I13)/4,4)</f>
        <v>1.68</v>
      </c>
      <c r="K13" s="2" t="n">
        <f aca="false">ROUND(SUM(J11:J13)/3,4)</f>
        <v>1.5742</v>
      </c>
      <c r="L13" s="2" t="n">
        <f aca="false">ROUND(2.05/1.7*K13,4)</f>
        <v>1.8983</v>
      </c>
    </row>
    <row r="14" customFormat="false" ht="12.75" hidden="false" customHeight="false" outlineLevel="0" collapsed="false">
      <c r="A14" s="8" t="n">
        <f aca="false">+A13+1</f>
        <v>199507</v>
      </c>
      <c r="B14" s="1" t="n">
        <f aca="false">+B13+1</f>
        <v>199506</v>
      </c>
      <c r="C14" s="2" t="n">
        <v>1.73</v>
      </c>
      <c r="E14" s="2" t="n">
        <v>1.74</v>
      </c>
      <c r="G14" s="2" t="n">
        <v>1.7</v>
      </c>
      <c r="I14" s="2" t="n">
        <v>1.71</v>
      </c>
      <c r="J14" s="2" t="n">
        <f aca="false">ROUND(SUM(C14:I14)/4,4)</f>
        <v>1.72</v>
      </c>
      <c r="K14" s="2" t="n">
        <f aca="false">ROUND(SUM(J12:J14)/3,4)</f>
        <v>1.655</v>
      </c>
      <c r="L14" s="2" t="n">
        <f aca="false">ROUND(2.05/1.7*K14,4)</f>
        <v>1.9957</v>
      </c>
    </row>
    <row r="15" customFormat="false" ht="12.75" hidden="false" customHeight="false" outlineLevel="0" collapsed="false">
      <c r="A15" s="8" t="n">
        <f aca="false">+A14+1</f>
        <v>199508</v>
      </c>
      <c r="B15" s="1" t="n">
        <f aca="false">+B14+1</f>
        <v>199507</v>
      </c>
      <c r="C15" s="2" t="n">
        <v>1.5</v>
      </c>
      <c r="E15" s="2" t="n">
        <v>1.51</v>
      </c>
      <c r="G15" s="2" t="n">
        <v>1.51</v>
      </c>
      <c r="I15" s="2" t="n">
        <v>1.51</v>
      </c>
      <c r="J15" s="2" t="n">
        <f aca="false">ROUND(SUM(C15:I15)/4,4)</f>
        <v>1.5075</v>
      </c>
      <c r="K15" s="2" t="n">
        <f aca="false">ROUND(SUM(J13:J15)/3,4)</f>
        <v>1.6358</v>
      </c>
      <c r="L15" s="2" t="n">
        <f aca="false">ROUND(2.05/1.7*K15,4)</f>
        <v>1.9726</v>
      </c>
    </row>
    <row r="16" customFormat="false" ht="12.75" hidden="false" customHeight="false" outlineLevel="0" collapsed="false">
      <c r="A16" s="8" t="n">
        <f aca="false">+A15+1</f>
        <v>199509</v>
      </c>
      <c r="B16" s="1" t="n">
        <f aca="false">+B15+1</f>
        <v>199508</v>
      </c>
      <c r="C16" s="2" t="n">
        <v>1.36</v>
      </c>
      <c r="E16" s="2" t="n">
        <v>1.39</v>
      </c>
      <c r="G16" s="2" t="n">
        <v>1.45</v>
      </c>
      <c r="I16" s="2" t="n">
        <v>1.45</v>
      </c>
      <c r="J16" s="2" t="n">
        <f aca="false">ROUND(SUM(C16:I16)/4,4)</f>
        <v>1.4125</v>
      </c>
      <c r="K16" s="2" t="n">
        <f aca="false">ROUND(SUM(J14:J16)/3,4)</f>
        <v>1.5467</v>
      </c>
      <c r="L16" s="2" t="n">
        <f aca="false">ROUND(2.05/1.7*K16,4)</f>
        <v>1.8651</v>
      </c>
    </row>
    <row r="17" customFormat="false" ht="12.75" hidden="false" customHeight="false" outlineLevel="0" collapsed="false">
      <c r="A17" s="8" t="n">
        <f aca="false">+A16+1</f>
        <v>199510</v>
      </c>
      <c r="B17" s="1" t="n">
        <f aca="false">+B16+1</f>
        <v>199509</v>
      </c>
      <c r="C17" s="2" t="n">
        <v>1.59</v>
      </c>
      <c r="E17" s="2" t="n">
        <v>1.59</v>
      </c>
      <c r="G17" s="2" t="n">
        <v>1.61</v>
      </c>
      <c r="I17" s="2" t="n">
        <v>1.59</v>
      </c>
      <c r="J17" s="2" t="n">
        <f aca="false">ROUND(SUM(C17:I17)/4,4)</f>
        <v>1.595</v>
      </c>
      <c r="K17" s="2" t="n">
        <f aca="false">ROUND(SUM(J15:J17)/3,4)</f>
        <v>1.505</v>
      </c>
      <c r="L17" s="2" t="n">
        <f aca="false">ROUND(2.05/1.7*K17,4)</f>
        <v>1.8149</v>
      </c>
    </row>
    <row r="18" customFormat="false" ht="12.75" hidden="false" customHeight="false" outlineLevel="0" collapsed="false">
      <c r="A18" s="8" t="n">
        <f aca="false">+A17+1</f>
        <v>199511</v>
      </c>
      <c r="B18" s="1" t="n">
        <f aca="false">+B17+1</f>
        <v>199510</v>
      </c>
      <c r="C18" s="2" t="n">
        <v>1.64</v>
      </c>
      <c r="E18" s="2" t="n">
        <v>1.65</v>
      </c>
      <c r="G18" s="2" t="n">
        <v>1.63</v>
      </c>
      <c r="I18" s="2" t="n">
        <v>1.65</v>
      </c>
      <c r="J18" s="2" t="n">
        <f aca="false">ROUND(SUM(C18:I18)/4,4)</f>
        <v>1.6425</v>
      </c>
      <c r="K18" s="2" t="n">
        <f aca="false">ROUND(SUM(J16:J18)/3,4)</f>
        <v>1.55</v>
      </c>
      <c r="L18" s="2" t="n">
        <f aca="false">ROUND(2.05/1.7*K18,4)</f>
        <v>1.8691</v>
      </c>
    </row>
    <row r="19" customFormat="false" ht="12.75" hidden="false" customHeight="false" outlineLevel="0" collapsed="false">
      <c r="A19" s="8" t="n">
        <f aca="false">+A18+1</f>
        <v>199512</v>
      </c>
      <c r="B19" s="1" t="n">
        <f aca="false">+B18+1</f>
        <v>199511</v>
      </c>
      <c r="C19" s="2" t="n">
        <v>1.8</v>
      </c>
      <c r="E19" s="2" t="n">
        <v>1.82</v>
      </c>
      <c r="G19" s="2" t="n">
        <v>1.79</v>
      </c>
      <c r="I19" s="2" t="n">
        <v>1.82</v>
      </c>
      <c r="J19" s="2" t="n">
        <f aca="false">ROUND(SUM(C19:I19)/4,4)</f>
        <v>1.8075</v>
      </c>
      <c r="K19" s="2" t="n">
        <f aca="false">ROUND(SUM(J17:J19)/3,4)</f>
        <v>1.6817</v>
      </c>
      <c r="L19" s="2" t="n">
        <f aca="false">ROUND(2.05/1.7*K19,4)</f>
        <v>2.0279</v>
      </c>
    </row>
    <row r="20" customFormat="false" ht="12.75" hidden="false" customHeight="false" outlineLevel="0" collapsed="false">
      <c r="A20" s="8" t="n">
        <v>199601</v>
      </c>
      <c r="B20" s="1" t="n">
        <f aca="false">+B19+1</f>
        <v>199512</v>
      </c>
      <c r="C20" s="2" t="n">
        <v>2.27</v>
      </c>
      <c r="E20" s="2" t="n">
        <v>2.29</v>
      </c>
      <c r="G20" s="2" t="n">
        <v>2.27</v>
      </c>
      <c r="I20" s="2" t="n">
        <v>2.28</v>
      </c>
      <c r="J20" s="2" t="n">
        <f aca="false">ROUND(SUM(C20:I20)/4,4)</f>
        <v>2.2775</v>
      </c>
      <c r="K20" s="2" t="n">
        <f aca="false">ROUND(SUM(J18:J20)/3,4)</f>
        <v>1.9092</v>
      </c>
      <c r="L20" s="2" t="n">
        <f aca="false">ROUND(2.05/1.7*K20,4)</f>
        <v>2.3023</v>
      </c>
    </row>
    <row r="21" customFormat="false" ht="12.75" hidden="false" customHeight="false" outlineLevel="0" collapsed="false">
      <c r="A21" s="8" t="n">
        <f aca="false">+A20+1</f>
        <v>199602</v>
      </c>
      <c r="B21" s="1" t="n">
        <v>199601</v>
      </c>
      <c r="C21" s="2" t="n">
        <v>3.38</v>
      </c>
      <c r="E21" s="2" t="n">
        <v>3.44</v>
      </c>
      <c r="G21" s="2" t="n">
        <v>3.34</v>
      </c>
      <c r="I21" s="2" t="n">
        <v>3.47</v>
      </c>
      <c r="J21" s="2" t="n">
        <f aca="false">ROUND(SUM(C21:I21)/4,4)</f>
        <v>3.4075</v>
      </c>
      <c r="K21" s="2" t="n">
        <f aca="false">ROUND(SUM(J19:J21)/3,4)</f>
        <v>2.4975</v>
      </c>
      <c r="L21" s="2" t="n">
        <f aca="false">ROUND(2.05/1.7*K21,4)</f>
        <v>3.0117</v>
      </c>
    </row>
    <row r="22" customFormat="false" ht="12.75" hidden="false" customHeight="false" outlineLevel="0" collapsed="false">
      <c r="A22" s="8" t="n">
        <f aca="false">+A21+1</f>
        <v>199603</v>
      </c>
      <c r="B22" s="1" t="n">
        <f aca="false">+B21+1</f>
        <v>199602</v>
      </c>
      <c r="C22" s="2" t="n">
        <v>2.36</v>
      </c>
      <c r="E22" s="2" t="n">
        <v>2.41</v>
      </c>
      <c r="G22" s="2" t="n">
        <v>3.51</v>
      </c>
      <c r="I22" s="2" t="n">
        <v>4.55</v>
      </c>
      <c r="J22" s="2" t="n">
        <f aca="false">ROUND(SUM(C22:I22)/4,4)</f>
        <v>3.2075</v>
      </c>
      <c r="K22" s="2" t="n">
        <f aca="false">ROUND(SUM(J20:J22)/3,4)</f>
        <v>2.9642</v>
      </c>
      <c r="L22" s="2" t="n">
        <f aca="false">ROUND(2.05/1.7*K22,4)</f>
        <v>3.5745</v>
      </c>
    </row>
    <row r="23" customFormat="false" ht="12.75" hidden="false" customHeight="false" outlineLevel="0" collapsed="false">
      <c r="A23" s="8" t="n">
        <f aca="false">+A22+1</f>
        <v>199604</v>
      </c>
      <c r="B23" s="1" t="n">
        <f aca="false">+B22+1</f>
        <v>199603</v>
      </c>
      <c r="C23" s="2" t="n">
        <v>2.81</v>
      </c>
      <c r="E23" s="2" t="n">
        <v>2.82</v>
      </c>
      <c r="G23" s="2" t="n">
        <v>2.88</v>
      </c>
      <c r="I23" s="2" t="n">
        <v>2.83</v>
      </c>
      <c r="J23" s="2" t="n">
        <f aca="false">ROUND(SUM(C23:I23)/4,4)</f>
        <v>2.835</v>
      </c>
      <c r="K23" s="2" t="n">
        <f aca="false">ROUND(SUM(J21:J23)/3,4)</f>
        <v>3.15</v>
      </c>
      <c r="L23" s="2" t="n">
        <f aca="false">ROUND(2.05/1.7*K23,4)</f>
        <v>3.7985</v>
      </c>
    </row>
    <row r="24" customFormat="false" ht="12.75" hidden="false" customHeight="false" outlineLevel="0" collapsed="false">
      <c r="A24" s="8" t="n">
        <f aca="false">+A23+1</f>
        <v>199605</v>
      </c>
      <c r="B24" s="1" t="n">
        <f aca="false">+B23+1</f>
        <v>199604</v>
      </c>
      <c r="C24" s="2" t="n">
        <v>2.69</v>
      </c>
      <c r="E24" s="2" t="n">
        <v>2.74</v>
      </c>
      <c r="G24" s="2" t="n">
        <v>2.74</v>
      </c>
      <c r="I24" s="2" t="n">
        <v>2.73</v>
      </c>
      <c r="J24" s="2" t="n">
        <f aca="false">ROUND(SUM(C24:I24)/4,4)</f>
        <v>2.725</v>
      </c>
      <c r="K24" s="2" t="n">
        <f aca="false">ROUND(SUM(J22:J24)/3,4)</f>
        <v>2.9225</v>
      </c>
      <c r="L24" s="2" t="n">
        <f aca="false">ROUND(2.05/1.7*K24,4)</f>
        <v>3.5242</v>
      </c>
    </row>
    <row r="25" customFormat="false" ht="12.75" hidden="false" customHeight="false" outlineLevel="0" collapsed="false">
      <c r="A25" s="8" t="n">
        <f aca="false">+A24+1</f>
        <v>199606</v>
      </c>
      <c r="B25" s="1" t="n">
        <f aca="false">+B24+1</f>
        <v>199605</v>
      </c>
      <c r="C25" s="2" t="n">
        <v>2.2</v>
      </c>
      <c r="E25" s="2" t="n">
        <v>2.2</v>
      </c>
      <c r="G25" s="2" t="n">
        <v>2.21</v>
      </c>
      <c r="I25" s="2" t="n">
        <v>2.2</v>
      </c>
      <c r="J25" s="2" t="n">
        <f aca="false">ROUND(SUM(C25:I25)/4,4)</f>
        <v>2.2025</v>
      </c>
      <c r="K25" s="2" t="n">
        <f aca="false">ROUND(SUM(J23:J25)/3,4)</f>
        <v>2.5875</v>
      </c>
      <c r="L25" s="2" t="n">
        <f aca="false">ROUND(2.05/1.7*K25,4)</f>
        <v>3.1202</v>
      </c>
    </row>
    <row r="26" customFormat="false" ht="12.75" hidden="false" customHeight="false" outlineLevel="0" collapsed="false">
      <c r="A26" s="8" t="n">
        <f aca="false">+A25+1</f>
        <v>199607</v>
      </c>
      <c r="B26" s="1" t="n">
        <f aca="false">+B25+1</f>
        <v>199606</v>
      </c>
      <c r="C26" s="2" t="n">
        <v>2.37</v>
      </c>
      <c r="E26" s="2" t="n">
        <v>2.38</v>
      </c>
      <c r="G26" s="2" t="n">
        <v>2.36</v>
      </c>
      <c r="I26" s="2" t="n">
        <v>2.36</v>
      </c>
      <c r="J26" s="2" t="n">
        <f aca="false">ROUND(SUM(C26:I26)/4,4)</f>
        <v>2.3675</v>
      </c>
      <c r="K26" s="2" t="n">
        <f aca="false">ROUND(SUM(J24:J26)/3,4)</f>
        <v>2.4317</v>
      </c>
      <c r="L26" s="2" t="n">
        <f aca="false">ROUND(2.05/1.7*K26,4)</f>
        <v>2.9323</v>
      </c>
    </row>
    <row r="27" customFormat="false" ht="12.75" hidden="false" customHeight="false" outlineLevel="0" collapsed="false">
      <c r="A27" s="8" t="n">
        <f aca="false">+A26+1</f>
        <v>199608</v>
      </c>
      <c r="B27" s="1" t="n">
        <f aca="false">+B26+1</f>
        <v>199607</v>
      </c>
      <c r="C27" s="2" t="n">
        <v>2.65</v>
      </c>
      <c r="E27" s="2" t="n">
        <v>2.66</v>
      </c>
      <c r="G27" s="2" t="n">
        <v>2.61</v>
      </c>
      <c r="I27" s="2" t="n">
        <v>2.64</v>
      </c>
      <c r="J27" s="2" t="n">
        <f aca="false">ROUND(SUM(C27:I27)/4,4)</f>
        <v>2.64</v>
      </c>
      <c r="K27" s="2" t="n">
        <f aca="false">ROUND(SUM(J25:J27)/3,4)</f>
        <v>2.4033</v>
      </c>
      <c r="L27" s="2" t="n">
        <f aca="false">ROUND(2.05/1.7*K27,4)</f>
        <v>2.8981</v>
      </c>
    </row>
    <row r="28" customFormat="false" ht="12.75" hidden="false" customHeight="false" outlineLevel="0" collapsed="false">
      <c r="A28" s="8" t="n">
        <f aca="false">+A27+1</f>
        <v>199609</v>
      </c>
      <c r="B28" s="1" t="n">
        <f aca="false">+B27+1</f>
        <v>199608</v>
      </c>
      <c r="C28" s="2" t="n">
        <v>2.3</v>
      </c>
      <c r="E28" s="2" t="n">
        <v>2.34</v>
      </c>
      <c r="G28" s="2" t="n">
        <v>2.26</v>
      </c>
      <c r="I28" s="2" t="n">
        <v>2.24</v>
      </c>
      <c r="J28" s="2" t="n">
        <f aca="false">ROUND(SUM(C28:I28)/4,4)</f>
        <v>2.285</v>
      </c>
      <c r="K28" s="2" t="n">
        <f aca="false">ROUND(SUM(J26:J28)/3,4)</f>
        <v>2.4308</v>
      </c>
      <c r="L28" s="2" t="n">
        <f aca="false">ROUND(2.05/1.7*K28,4)</f>
        <v>2.9313</v>
      </c>
    </row>
    <row r="29" customFormat="false" ht="12.75" hidden="false" customHeight="false" outlineLevel="0" collapsed="false">
      <c r="A29" s="8" t="n">
        <f aca="false">+A28+1</f>
        <v>199610</v>
      </c>
      <c r="B29" s="1" t="n">
        <f aca="false">+B28+1</f>
        <v>199609</v>
      </c>
      <c r="C29" s="2" t="n">
        <v>1.81</v>
      </c>
      <c r="E29" s="2" t="n">
        <v>1.8</v>
      </c>
      <c r="G29" s="2" t="n">
        <v>1.85</v>
      </c>
      <c r="I29" s="2" t="n">
        <v>1.83</v>
      </c>
      <c r="J29" s="2" t="n">
        <f aca="false">ROUND(SUM(C29:I29)/4,4)</f>
        <v>1.8225</v>
      </c>
      <c r="K29" s="2" t="n">
        <f aca="false">ROUND(SUM(J27:J29)/3,4)</f>
        <v>2.2492</v>
      </c>
      <c r="L29" s="2" t="n">
        <f aca="false">ROUND(2.05/1.7*K29,4)</f>
        <v>2.7123</v>
      </c>
    </row>
    <row r="30" customFormat="false" ht="12.75" hidden="false" customHeight="false" outlineLevel="0" collapsed="false">
      <c r="A30" s="8" t="n">
        <f aca="false">+A29+1</f>
        <v>199611</v>
      </c>
      <c r="B30" s="1" t="n">
        <f aca="false">+B29+1</f>
        <v>199610</v>
      </c>
      <c r="C30" s="2" t="n">
        <v>1.85</v>
      </c>
      <c r="E30" s="2" t="n">
        <v>1.83</v>
      </c>
      <c r="G30" s="2" t="n">
        <v>1.91</v>
      </c>
      <c r="I30" s="2" t="n">
        <v>1.86</v>
      </c>
      <c r="J30" s="2" t="n">
        <f aca="false">ROUND(SUM(C30:I30)/4,4)</f>
        <v>1.8625</v>
      </c>
      <c r="K30" s="2" t="n">
        <f aca="false">ROUND(SUM(J28:J30)/3,4)</f>
        <v>1.99</v>
      </c>
      <c r="L30" s="2" t="n">
        <f aca="false">ROUND(2.05/1.7*K30,4)</f>
        <v>2.3997</v>
      </c>
    </row>
    <row r="31" customFormat="false" ht="12.75" hidden="false" customHeight="false" outlineLevel="0" collapsed="false">
      <c r="A31" s="8" t="n">
        <f aca="false">+A30+1</f>
        <v>199612</v>
      </c>
      <c r="B31" s="1" t="n">
        <f aca="false">+B30+1</f>
        <v>199611</v>
      </c>
      <c r="C31" s="2" t="n">
        <v>2.69</v>
      </c>
      <c r="E31" s="2" t="n">
        <v>2.69</v>
      </c>
      <c r="G31" s="2" t="n">
        <v>2.67</v>
      </c>
      <c r="I31" s="2" t="n">
        <v>2.66</v>
      </c>
      <c r="J31" s="2" t="n">
        <f aca="false">ROUND(SUM(C31:I31)/4,4)</f>
        <v>2.6775</v>
      </c>
      <c r="K31" s="2" t="n">
        <f aca="false">ROUND(SUM(J29:J31)/3,4)</f>
        <v>2.1208</v>
      </c>
      <c r="L31" s="2" t="n">
        <f aca="false">ROUND(2.05/1.7*K31,4)</f>
        <v>2.5574</v>
      </c>
    </row>
    <row r="32" customFormat="false" ht="12.75" hidden="false" customHeight="false" outlineLevel="0" collapsed="false">
      <c r="A32" s="8" t="n">
        <v>199701</v>
      </c>
      <c r="B32" s="1" t="n">
        <f aca="false">+B31+1</f>
        <v>199612</v>
      </c>
      <c r="C32" s="2" t="n">
        <v>3.82</v>
      </c>
      <c r="E32" s="2" t="n">
        <v>3.84</v>
      </c>
      <c r="G32" s="2" t="n">
        <v>3.68</v>
      </c>
      <c r="I32" s="2" t="n">
        <v>3.72</v>
      </c>
      <c r="J32" s="2" t="n">
        <f aca="false">ROUND(SUM(C32:I32)/4,4)</f>
        <v>3.765</v>
      </c>
      <c r="K32" s="2" t="n">
        <f aca="false">ROUND(SUM(J30:J32)/3,4)</f>
        <v>2.7683</v>
      </c>
      <c r="L32" s="2" t="n">
        <f aca="false">ROUND(2.05/1.7*K32,4)</f>
        <v>3.3382</v>
      </c>
    </row>
    <row r="33" customFormat="false" ht="12.75" hidden="false" customHeight="false" outlineLevel="0" collapsed="false">
      <c r="A33" s="8" t="n">
        <v>199702</v>
      </c>
      <c r="B33" s="1" t="n">
        <v>199701</v>
      </c>
      <c r="C33" s="2" t="n">
        <v>3.98</v>
      </c>
      <c r="E33" s="2" t="n">
        <v>3.8</v>
      </c>
      <c r="G33" s="2" t="n">
        <v>3.26</v>
      </c>
      <c r="I33" s="2" t="n">
        <v>3.51</v>
      </c>
      <c r="J33" s="2" t="n">
        <f aca="false">ROUND(SUM(C33:I33)/4,4)</f>
        <v>3.6375</v>
      </c>
      <c r="K33" s="2" t="n">
        <f aca="false">ROUND(SUM(J31:J33)/3,4)</f>
        <v>3.36</v>
      </c>
      <c r="L33" s="2" t="n">
        <f aca="false">ROUND(2.05/1.7*K33,4)</f>
        <v>4.0518</v>
      </c>
    </row>
    <row r="34" customFormat="false" ht="12.75" hidden="false" customHeight="false" outlineLevel="0" collapsed="false">
      <c r="A34" s="8" t="n">
        <f aca="false">+A33+1</f>
        <v>199703</v>
      </c>
      <c r="B34" s="1" t="n">
        <f aca="false">+B33+1</f>
        <v>199702</v>
      </c>
      <c r="C34" s="2" t="n">
        <v>2.9</v>
      </c>
      <c r="E34" s="2" t="n">
        <v>2.9</v>
      </c>
      <c r="G34" s="2" t="n">
        <v>2.99</v>
      </c>
      <c r="I34" s="2" t="n">
        <v>3.01</v>
      </c>
      <c r="J34" s="2" t="n">
        <f aca="false">ROUND(SUM(C34:I34)/4,4)</f>
        <v>2.95</v>
      </c>
      <c r="K34" s="2" t="n">
        <f aca="false">ROUND(SUM(J32:J34)/3,4)</f>
        <v>3.4508</v>
      </c>
      <c r="L34" s="2" t="n">
        <f aca="false">ROUND(2.05/1.7*K34,4)</f>
        <v>4.1613</v>
      </c>
    </row>
    <row r="35" customFormat="false" ht="12.75" hidden="false" customHeight="false" outlineLevel="0" collapsed="false">
      <c r="A35" s="8" t="n">
        <f aca="false">+A34+1</f>
        <v>199704</v>
      </c>
      <c r="B35" s="1" t="n">
        <f aca="false">+B34+1</f>
        <v>199703</v>
      </c>
      <c r="C35" s="2" t="n">
        <v>1.77</v>
      </c>
      <c r="E35" s="2" t="n">
        <v>1.76</v>
      </c>
      <c r="G35" s="2" t="n">
        <v>1.84</v>
      </c>
      <c r="I35" s="2" t="n">
        <v>1.82</v>
      </c>
      <c r="J35" s="2" t="n">
        <f aca="false">ROUND(SUM(C35:I35)/4,4)</f>
        <v>1.7975</v>
      </c>
      <c r="K35" s="2" t="n">
        <f aca="false">ROUND(SUM(J33:J35)/3,4)</f>
        <v>2.795</v>
      </c>
      <c r="L35" s="2" t="n">
        <f aca="false">ROUND(2.05/1.7*K35,4)</f>
        <v>3.3704</v>
      </c>
    </row>
    <row r="36" customFormat="false" ht="12.75" hidden="false" customHeight="false" outlineLevel="0" collapsed="false">
      <c r="A36" s="8" t="n">
        <f aca="false">+A35+1</f>
        <v>199705</v>
      </c>
      <c r="B36" s="1" t="n">
        <f aca="false">+B35+1</f>
        <v>199704</v>
      </c>
      <c r="C36" s="2" t="n">
        <v>1.81</v>
      </c>
      <c r="E36" s="2" t="n">
        <v>1.81</v>
      </c>
      <c r="G36" s="2" t="n">
        <v>1.86</v>
      </c>
      <c r="I36" s="2" t="n">
        <v>1.84</v>
      </c>
      <c r="J36" s="2" t="n">
        <f aca="false">ROUND(SUM(C36:I36)/4,4)</f>
        <v>1.83</v>
      </c>
      <c r="K36" s="2" t="n">
        <f aca="false">ROUND(SUM(J34:J36)/3,4)</f>
        <v>2.1925</v>
      </c>
      <c r="L36" s="2" t="n">
        <f aca="false">ROUND(2.05/1.7*K36,4)</f>
        <v>2.6439</v>
      </c>
    </row>
    <row r="37" customFormat="false" ht="12.75" hidden="false" customHeight="false" outlineLevel="0" collapsed="false">
      <c r="A37" s="8" t="n">
        <f aca="false">+A36+1</f>
        <v>199706</v>
      </c>
      <c r="B37" s="1" t="n">
        <f aca="false">+B36+1</f>
        <v>199705</v>
      </c>
      <c r="C37" s="2" t="n">
        <v>2.15</v>
      </c>
      <c r="E37" s="2" t="n">
        <v>2.15</v>
      </c>
      <c r="G37" s="2" t="n">
        <v>2.16</v>
      </c>
      <c r="I37" s="2" t="n">
        <v>2.16</v>
      </c>
      <c r="J37" s="2" t="n">
        <f aca="false">ROUND(SUM(C37:I37)/4,4)</f>
        <v>2.155</v>
      </c>
      <c r="K37" s="2" t="n">
        <f aca="false">ROUND(SUM(J35:J37)/3,4)</f>
        <v>1.9275</v>
      </c>
      <c r="L37" s="2" t="n">
        <f aca="false">ROUND(2.05/1.7*K37,4)</f>
        <v>2.3243</v>
      </c>
    </row>
    <row r="38" customFormat="false" ht="12.75" hidden="false" customHeight="false" outlineLevel="0" collapsed="false">
      <c r="A38" s="8" t="n">
        <f aca="false">+A37+1</f>
        <v>199707</v>
      </c>
      <c r="B38" s="1" t="n">
        <f aca="false">+B37+1</f>
        <v>199706</v>
      </c>
      <c r="C38" s="2" t="n">
        <v>2.3</v>
      </c>
      <c r="E38" s="2" t="n">
        <v>2.31</v>
      </c>
      <c r="G38" s="2" t="n">
        <v>2.28</v>
      </c>
      <c r="I38" s="2" t="n">
        <v>2.3</v>
      </c>
      <c r="J38" s="2" t="n">
        <f aca="false">ROUND(SUM(C38:I38)/4,4)</f>
        <v>2.2975</v>
      </c>
      <c r="K38" s="2" t="n">
        <f aca="false">ROUND(SUM(J36:J38)/3,4)</f>
        <v>2.0942</v>
      </c>
      <c r="L38" s="2" t="n">
        <f aca="false">ROUND(2.05/1.7*K38,4)</f>
        <v>2.5254</v>
      </c>
    </row>
    <row r="39" customFormat="false" ht="12.75" hidden="false" customHeight="false" outlineLevel="0" collapsed="false">
      <c r="A39" s="8" t="n">
        <f aca="false">+A38+1</f>
        <v>199708</v>
      </c>
      <c r="B39" s="1" t="n">
        <f aca="false">+B38+1</f>
        <v>199707</v>
      </c>
      <c r="C39" s="2" t="n">
        <v>2.15</v>
      </c>
      <c r="E39" s="2" t="n">
        <v>2.15</v>
      </c>
      <c r="G39" s="2" t="n">
        <v>2.15</v>
      </c>
      <c r="I39" s="2" t="n">
        <v>2.44</v>
      </c>
      <c r="J39" s="2" t="n">
        <f aca="false">ROUND(SUM(C39:I39)/4,4)</f>
        <v>2.2225</v>
      </c>
      <c r="K39" s="2" t="n">
        <f aca="false">ROUND(SUM(J37:J39)/3,4)</f>
        <v>2.225</v>
      </c>
      <c r="L39" s="2" t="n">
        <f aca="false">ROUND(2.05/1.7*K39,4)</f>
        <v>2.6831</v>
      </c>
    </row>
    <row r="40" customFormat="false" ht="12.75" hidden="false" customHeight="false" outlineLevel="0" collapsed="false">
      <c r="A40" s="8" t="n">
        <f aca="false">+A39+1</f>
        <v>199709</v>
      </c>
      <c r="B40" s="1" t="n">
        <f aca="false">+B39+1</f>
        <v>199708</v>
      </c>
      <c r="C40" s="2" t="n">
        <v>2.17</v>
      </c>
      <c r="E40" s="2" t="n">
        <v>2.18</v>
      </c>
      <c r="G40" s="2" t="n">
        <v>2.19</v>
      </c>
      <c r="I40" s="2" t="n">
        <v>2.2</v>
      </c>
      <c r="J40" s="2" t="n">
        <f aca="false">ROUND(SUM(C40:I40)/4,4)</f>
        <v>2.185</v>
      </c>
      <c r="K40" s="2" t="n">
        <f aca="false">ROUND(SUM(J38:J40)/3,4)</f>
        <v>2.235</v>
      </c>
      <c r="L40" s="2" t="n">
        <f aca="false">ROUND(2.05/1.7*K40,4)</f>
        <v>2.6951</v>
      </c>
    </row>
    <row r="41" customFormat="false" ht="12.75" hidden="false" customHeight="false" outlineLevel="0" collapsed="false">
      <c r="A41" s="8" t="n">
        <f aca="false">+A40+1</f>
        <v>199710</v>
      </c>
      <c r="B41" s="1" t="n">
        <f aca="false">+B40+1</f>
        <v>199709</v>
      </c>
      <c r="C41" s="2" t="n">
        <v>2.53</v>
      </c>
      <c r="E41" s="2" t="n">
        <v>2.5</v>
      </c>
      <c r="G41" s="2" t="n">
        <v>2.58</v>
      </c>
      <c r="I41" s="2" t="n">
        <v>2.55</v>
      </c>
      <c r="J41" s="2" t="n">
        <f aca="false">ROUND(SUM(C41:I41)/4,4)</f>
        <v>2.54</v>
      </c>
      <c r="K41" s="2" t="n">
        <f aca="false">ROUND(SUM(J39:J41)/3,4)</f>
        <v>2.3158</v>
      </c>
      <c r="L41" s="2" t="n">
        <f aca="false">ROUND(2.05/1.7*K41,4)</f>
        <v>2.7926</v>
      </c>
    </row>
    <row r="42" customFormat="false" ht="12.75" hidden="false" customHeight="false" outlineLevel="0" collapsed="false">
      <c r="A42" s="8" t="n">
        <f aca="false">+A41+1</f>
        <v>199711</v>
      </c>
      <c r="B42" s="1" t="n">
        <f aca="false">+B41+1</f>
        <v>199710</v>
      </c>
      <c r="C42" s="2" t="n">
        <v>3.1</v>
      </c>
      <c r="E42" s="2" t="n">
        <v>3.01</v>
      </c>
      <c r="G42" s="2" t="n">
        <v>3.03</v>
      </c>
      <c r="I42" s="2" t="n">
        <v>2.99</v>
      </c>
      <c r="J42" s="2" t="n">
        <f aca="false">ROUND(SUM(C42:I42)/4,4)</f>
        <v>3.0325</v>
      </c>
      <c r="K42" s="2" t="n">
        <f aca="false">ROUND(SUM(J40:J42)/3,4)</f>
        <v>2.5858</v>
      </c>
      <c r="L42" s="2" t="n">
        <f aca="false">ROUND(2.05/1.7*K42,4)</f>
        <v>3.1182</v>
      </c>
    </row>
    <row r="43" customFormat="false" ht="12.75" hidden="false" customHeight="false" outlineLevel="0" collapsed="false">
      <c r="A43" s="8" t="n">
        <f aca="false">+A42+1</f>
        <v>199712</v>
      </c>
      <c r="B43" s="1" t="n">
        <f aca="false">+B42+1</f>
        <v>199711</v>
      </c>
      <c r="C43" s="2" t="n">
        <v>3.27</v>
      </c>
      <c r="E43" s="2" t="n">
        <v>3.27</v>
      </c>
      <c r="G43" s="2" t="n">
        <v>3.41</v>
      </c>
      <c r="I43" s="2" t="n">
        <v>3.37</v>
      </c>
      <c r="J43" s="2" t="n">
        <f aca="false">ROUND(SUM(C43:I43)/4,4)</f>
        <v>3.33</v>
      </c>
      <c r="K43" s="2" t="n">
        <f aca="false">ROUND(SUM(J41:J43)/3,4)</f>
        <v>2.9675</v>
      </c>
      <c r="L43" s="2" t="n">
        <f aca="false">ROUND(2.05/1.7*K43,4)</f>
        <v>3.5785</v>
      </c>
    </row>
    <row r="44" customFormat="false" ht="12.75" hidden="false" customHeight="false" outlineLevel="0" collapsed="false">
      <c r="A44" s="12" t="n">
        <v>199801</v>
      </c>
      <c r="B44" s="13" t="n">
        <f aca="false">+B43+1</f>
        <v>199712</v>
      </c>
      <c r="C44" s="14" t="n">
        <v>2.54</v>
      </c>
      <c r="D44" s="14"/>
      <c r="E44" s="14" t="n">
        <v>2.58</v>
      </c>
      <c r="F44" s="14"/>
      <c r="G44" s="14" t="n">
        <v>2.57</v>
      </c>
      <c r="H44" s="14"/>
      <c r="I44" s="14" t="n">
        <v>2.64</v>
      </c>
      <c r="J44" s="14" t="n">
        <f aca="false">ROUND(SUM(C44:I44)/4,4)</f>
        <v>2.5825</v>
      </c>
      <c r="K44" s="14" t="n">
        <f aca="false">ROUND(SUM(J42:J44)/3,4)</f>
        <v>2.9817</v>
      </c>
      <c r="L44" s="14" t="n">
        <f aca="false">ROUND(2.05/1.7*K44,4)</f>
        <v>3.5956</v>
      </c>
    </row>
    <row r="45" customFormat="false" ht="12.75" hidden="false" customHeight="false" outlineLevel="0" collapsed="false">
      <c r="A45" s="12" t="n">
        <v>199802</v>
      </c>
      <c r="B45" s="13" t="n">
        <f aca="false">+A44</f>
        <v>199801</v>
      </c>
      <c r="C45" s="14" t="n">
        <v>2.28</v>
      </c>
      <c r="D45" s="14"/>
      <c r="E45" s="14" t="n">
        <v>2.34</v>
      </c>
      <c r="F45" s="14"/>
      <c r="G45" s="14" t="n">
        <v>2.29</v>
      </c>
      <c r="H45" s="14"/>
      <c r="I45" s="14" t="n">
        <v>2.32</v>
      </c>
      <c r="J45" s="14" t="n">
        <f aca="false">ROUND(SUM(C45:I45)/4,4)</f>
        <v>2.3075</v>
      </c>
      <c r="K45" s="14" t="n">
        <f aca="false">ROUND(SUM(J43:J45)/3,4)</f>
        <v>2.74</v>
      </c>
      <c r="L45" s="14" t="n">
        <f aca="false">ROUND(2.05/1.7*K45,4)</f>
        <v>3.3041</v>
      </c>
    </row>
    <row r="46" customFormat="false" ht="12.75" hidden="false" customHeight="false" outlineLevel="0" collapsed="false">
      <c r="A46" s="12" t="n">
        <v>199803</v>
      </c>
      <c r="B46" s="13" t="n">
        <f aca="false">+A45</f>
        <v>199802</v>
      </c>
      <c r="C46" s="14" t="n">
        <v>2.03</v>
      </c>
      <c r="D46" s="14"/>
      <c r="E46" s="14" t="n">
        <v>2.08</v>
      </c>
      <c r="F46" s="14"/>
      <c r="G46" s="14" t="n">
        <v>2.09</v>
      </c>
      <c r="H46" s="14"/>
      <c r="I46" s="14" t="n">
        <v>2.14</v>
      </c>
      <c r="J46" s="14" t="n">
        <f aca="false">ROUND(SUM(C46:I46)/4,4)</f>
        <v>2.085</v>
      </c>
      <c r="K46" s="14" t="n">
        <f aca="false">ROUND(SUM(J44:J46)/3,4)</f>
        <v>2.325</v>
      </c>
      <c r="L46" s="14" t="n">
        <f aca="false">ROUND(2.05/1.7*K46,4)</f>
        <v>2.8037</v>
      </c>
    </row>
    <row r="47" customFormat="false" ht="12.75" hidden="false" customHeight="false" outlineLevel="0" collapsed="false">
      <c r="A47" s="12" t="n">
        <v>199804</v>
      </c>
      <c r="B47" s="13" t="n">
        <f aca="false">+A46</f>
        <v>199803</v>
      </c>
      <c r="C47" s="14" t="n">
        <v>2.27</v>
      </c>
      <c r="D47" s="14"/>
      <c r="E47" s="14" t="n">
        <v>2.3</v>
      </c>
      <c r="F47" s="14"/>
      <c r="G47" s="14" t="n">
        <v>2.21</v>
      </c>
      <c r="H47" s="14"/>
      <c r="I47" s="14" t="n">
        <v>2.21</v>
      </c>
      <c r="J47" s="14" t="n">
        <f aca="false">ROUND(SUM(C47:I47)/4,4)</f>
        <v>2.2475</v>
      </c>
      <c r="K47" s="14" t="n">
        <f aca="false">ROUND(SUM(J45:J47)/3,4)</f>
        <v>2.2133</v>
      </c>
      <c r="L47" s="14" t="n">
        <f aca="false">ROUND(2.05/1.7*K47,4)</f>
        <v>2.669</v>
      </c>
    </row>
    <row r="48" customFormat="false" ht="12.75" hidden="false" customHeight="false" outlineLevel="0" collapsed="false">
      <c r="A48" s="12" t="n">
        <v>199805</v>
      </c>
      <c r="B48" s="13" t="n">
        <v>199804</v>
      </c>
      <c r="C48" s="14" t="n">
        <v>2.32</v>
      </c>
      <c r="D48" s="14"/>
      <c r="E48" s="14" t="n">
        <v>2.33</v>
      </c>
      <c r="F48" s="14"/>
      <c r="G48" s="14" t="n">
        <v>2.38</v>
      </c>
      <c r="H48" s="14"/>
      <c r="I48" s="14" t="n">
        <v>2.33</v>
      </c>
      <c r="J48" s="14" t="n">
        <f aca="false">ROUND(SUM(C48:I48)/4,4)</f>
        <v>2.34</v>
      </c>
      <c r="K48" s="14" t="n">
        <f aca="false">ROUND(SUM(J46:J48)/3,4)</f>
        <v>2.2242</v>
      </c>
      <c r="L48" s="14" t="n">
        <f aca="false">ROUND(2.05/1.7*K48,4)</f>
        <v>2.6821</v>
      </c>
    </row>
    <row r="49" customFormat="false" ht="12.75" hidden="false" customHeight="false" outlineLevel="0" collapsed="false">
      <c r="A49" s="12" t="n">
        <v>199806</v>
      </c>
      <c r="B49" s="13" t="n">
        <v>199805</v>
      </c>
      <c r="C49" s="14" t="n">
        <v>2.29</v>
      </c>
      <c r="D49" s="14"/>
      <c r="E49" s="14" t="n">
        <v>2.29</v>
      </c>
      <c r="F49" s="14"/>
      <c r="G49" s="14" t="n">
        <v>2.31</v>
      </c>
      <c r="H49" s="14"/>
      <c r="I49" s="14" t="n">
        <v>2.29</v>
      </c>
      <c r="J49" s="14" t="n">
        <f aca="false">ROUND(SUM(C49:I49)/4,4)</f>
        <v>2.295</v>
      </c>
      <c r="K49" s="14" t="n">
        <f aca="false">ROUND(SUM(J47:J49)/3,4)</f>
        <v>2.2942</v>
      </c>
      <c r="L49" s="14" t="n">
        <f aca="false">ROUND(2.05/1.7*K49,4)</f>
        <v>2.7665</v>
      </c>
    </row>
    <row r="50" customFormat="false" ht="12.75" hidden="false" customHeight="false" outlineLevel="0" collapsed="false">
      <c r="A50" s="12" t="n">
        <v>199807</v>
      </c>
      <c r="B50" s="13" t="n">
        <v>199806</v>
      </c>
      <c r="C50" s="14" t="n">
        <v>2.03</v>
      </c>
      <c r="D50" s="14"/>
      <c r="E50" s="14" t="n">
        <v>2.02</v>
      </c>
      <c r="F50" s="14"/>
      <c r="G50" s="14" t="n">
        <v>2.1</v>
      </c>
      <c r="H50" s="14"/>
      <c r="I50" s="14" t="n">
        <v>2.1</v>
      </c>
      <c r="J50" s="14" t="n">
        <f aca="false">ROUND(SUM(C50:I50)/4,4)</f>
        <v>2.0625</v>
      </c>
      <c r="K50" s="14" t="n">
        <f aca="false">ROUND(SUM(J48:J50)/3,4)</f>
        <v>2.2325</v>
      </c>
      <c r="L50" s="14" t="n">
        <f aca="false">ROUND(2.05/1.7*K50,4)</f>
        <v>2.6921</v>
      </c>
    </row>
    <row r="51" customFormat="false" ht="12.75" hidden="false" customHeight="false" outlineLevel="0" collapsed="false">
      <c r="A51" s="12" t="n">
        <v>199808</v>
      </c>
      <c r="B51" s="13" t="n">
        <v>199807</v>
      </c>
      <c r="C51" s="14" t="n">
        <v>2.37</v>
      </c>
      <c r="D51" s="14"/>
      <c r="E51" s="14" t="n">
        <v>2.37</v>
      </c>
      <c r="F51" s="14"/>
      <c r="G51" s="14" t="n">
        <v>2.4</v>
      </c>
      <c r="H51" s="14"/>
      <c r="I51" s="14" t="n">
        <v>2.38</v>
      </c>
      <c r="J51" s="14" t="n">
        <f aca="false">ROUND(SUM(C51:I51)/4,4)</f>
        <v>2.38</v>
      </c>
      <c r="K51" s="14" t="n">
        <f aca="false">ROUND(SUM(J49:J51)/3,4)</f>
        <v>2.2458</v>
      </c>
      <c r="L51" s="14" t="n">
        <f aca="false">ROUND(2.05/1.7*K51,4)</f>
        <v>2.7082</v>
      </c>
    </row>
    <row r="52" customFormat="false" ht="12.75" hidden="false" customHeight="false" outlineLevel="0" collapsed="false">
      <c r="A52" s="12" t="n">
        <v>199809</v>
      </c>
      <c r="B52" s="13" t="n">
        <v>199808</v>
      </c>
      <c r="C52" s="14" t="n">
        <v>1.93</v>
      </c>
      <c r="D52" s="14"/>
      <c r="E52" s="14" t="n">
        <v>1.94</v>
      </c>
      <c r="F52" s="14"/>
      <c r="G52" s="14" t="n">
        <v>1.99</v>
      </c>
      <c r="H52" s="14"/>
      <c r="I52" s="14" t="n">
        <v>2</v>
      </c>
      <c r="J52" s="14" t="n">
        <f aca="false">ROUND(SUM(C52:I52)/4,4)</f>
        <v>1.965</v>
      </c>
      <c r="K52" s="14" t="n">
        <f aca="false">ROUND(SUM(J50:J52)/3,4)</f>
        <v>2.1358</v>
      </c>
      <c r="L52" s="14" t="n">
        <f aca="false">ROUND(2.05/1.7*K52,4)</f>
        <v>2.5755</v>
      </c>
    </row>
    <row r="53" customFormat="false" ht="12.75" hidden="false" customHeight="false" outlineLevel="0" collapsed="false">
      <c r="A53" s="12" t="n">
        <v>199810</v>
      </c>
      <c r="B53" s="13" t="n">
        <v>199809</v>
      </c>
      <c r="C53" s="14" t="n">
        <v>1.63</v>
      </c>
      <c r="D53" s="14"/>
      <c r="E53" s="14" t="n">
        <v>1.63</v>
      </c>
      <c r="F53" s="14"/>
      <c r="G53" s="14" t="n">
        <v>1.69</v>
      </c>
      <c r="H53" s="14"/>
      <c r="I53" s="14" t="n">
        <v>1.71</v>
      </c>
      <c r="J53" s="14" t="n">
        <f aca="false">ROUND(SUM(C53:I53)/4,4)</f>
        <v>1.665</v>
      </c>
      <c r="K53" s="14" t="n">
        <f aca="false">ROUND(SUM(J51:J53)/3,4)</f>
        <v>2.0033</v>
      </c>
      <c r="L53" s="14" t="n">
        <f aca="false">ROUND((2.05/1.7)*K53,4)</f>
        <v>2.4157</v>
      </c>
    </row>
    <row r="54" customFormat="false" ht="12.75" hidden="false" customHeight="false" outlineLevel="0" collapsed="false">
      <c r="A54" s="12" t="n">
        <v>199811</v>
      </c>
      <c r="B54" s="13" t="n">
        <v>199810</v>
      </c>
      <c r="C54" s="14" t="n">
        <v>2.08</v>
      </c>
      <c r="D54" s="14"/>
      <c r="E54" s="14" t="n">
        <v>2.09</v>
      </c>
      <c r="F54" s="14"/>
      <c r="G54" s="14" t="n">
        <v>2.22</v>
      </c>
      <c r="H54" s="14"/>
      <c r="I54" s="14" t="n">
        <v>2.25</v>
      </c>
      <c r="J54" s="14" t="n">
        <f aca="false">ROUND(SUM(C54:I54)/4,4)</f>
        <v>2.16</v>
      </c>
      <c r="K54" s="14" t="n">
        <f aca="false">ROUND(SUM(J52:J54)/3,4)</f>
        <v>1.93</v>
      </c>
      <c r="L54" s="14" t="n">
        <f aca="false">ROUND((2.05/1.7)*K54,4)</f>
        <v>2.3274</v>
      </c>
    </row>
    <row r="55" customFormat="false" ht="12.75" hidden="false" customHeight="false" outlineLevel="0" collapsed="false">
      <c r="A55" s="12" t="n">
        <v>199812</v>
      </c>
      <c r="B55" s="13" t="n">
        <v>199811</v>
      </c>
      <c r="C55" s="14" t="n">
        <v>2.01</v>
      </c>
      <c r="D55" s="14"/>
      <c r="E55" s="14" t="n">
        <v>2.02</v>
      </c>
      <c r="F55" s="14"/>
      <c r="G55" s="14" t="n">
        <v>1.87</v>
      </c>
      <c r="H55" s="14"/>
      <c r="I55" s="14" t="n">
        <v>1.86</v>
      </c>
      <c r="J55" s="14" t="n">
        <f aca="false">ROUND(SUM(C55:I55)/4,4)</f>
        <v>1.94</v>
      </c>
      <c r="K55" s="14" t="n">
        <f aca="false">ROUND(SUM(J53:J55)/3,4)</f>
        <v>1.9217</v>
      </c>
      <c r="L55" s="14" t="n">
        <f aca="false">ROUND((2.05/1.7)*K55,4)</f>
        <v>2.3173</v>
      </c>
    </row>
    <row r="56" customFormat="false" ht="12.75" hidden="false" customHeight="false" outlineLevel="0" collapsed="false">
      <c r="A56" s="12" t="n">
        <v>199901</v>
      </c>
      <c r="B56" s="13" t="n">
        <v>199812</v>
      </c>
      <c r="C56" s="14" t="n">
        <v>2.11</v>
      </c>
      <c r="D56" s="14"/>
      <c r="E56" s="14" t="n">
        <v>2.12</v>
      </c>
      <c r="F56" s="14"/>
      <c r="G56" s="14" t="n">
        <v>1.47</v>
      </c>
      <c r="H56" s="14"/>
      <c r="I56" s="14" t="n">
        <v>1.63</v>
      </c>
      <c r="J56" s="14" t="n">
        <f aca="false">ROUND(SUM(C56:I56)/4,4)</f>
        <v>1.8325</v>
      </c>
      <c r="K56" s="14" t="n">
        <f aca="false">ROUND(SUM(J54:J56)/3,4)</f>
        <v>1.9775</v>
      </c>
      <c r="L56" s="14" t="n">
        <f aca="false">ROUND((2.05/1.7)*K56,4)</f>
        <v>2.3846</v>
      </c>
    </row>
    <row r="57" customFormat="false" ht="12.75" hidden="false" customHeight="false" outlineLevel="0" collapsed="false">
      <c r="A57" s="12" t="n">
        <v>199902</v>
      </c>
      <c r="B57" s="13" t="n">
        <v>199801</v>
      </c>
      <c r="C57" s="14" t="n">
        <v>1.78</v>
      </c>
      <c r="D57" s="14"/>
      <c r="E57" s="14" t="n">
        <v>1.81</v>
      </c>
      <c r="F57" s="14"/>
      <c r="G57" s="14" t="n">
        <v>1.82</v>
      </c>
      <c r="H57" s="14"/>
      <c r="I57" s="14" t="n">
        <v>1.83</v>
      </c>
      <c r="J57" s="14" t="n">
        <f aca="false">ROUND(SUM(C57:I57)/4,4)</f>
        <v>1.81</v>
      </c>
      <c r="K57" s="14" t="n">
        <f aca="false">ROUND(SUM(J55:J57)/3,4)</f>
        <v>1.8608</v>
      </c>
      <c r="L57" s="14" t="n">
        <f aca="false">ROUND((2.05/1.7)*K57,4)</f>
        <v>2.2439</v>
      </c>
    </row>
    <row r="58" customFormat="false" ht="12.75" hidden="false" customHeight="false" outlineLevel="0" collapsed="false">
      <c r="A58" s="12" t="n">
        <v>199903</v>
      </c>
      <c r="B58" s="13" t="n">
        <v>199802</v>
      </c>
      <c r="C58" s="14" t="n">
        <v>1.81</v>
      </c>
      <c r="D58" s="14"/>
      <c r="E58" s="14" t="n">
        <v>1.84</v>
      </c>
      <c r="F58" s="14"/>
      <c r="G58" s="14" t="n">
        <v>1.79</v>
      </c>
      <c r="H58" s="14"/>
      <c r="I58" s="14" t="n">
        <v>1.81</v>
      </c>
      <c r="J58" s="14" t="n">
        <f aca="false">ROUND(SUM(C58:I58)/4,4)</f>
        <v>1.8125</v>
      </c>
      <c r="K58" s="14" t="n">
        <f aca="false">ROUND(SUM(J56:J58)/3,4)</f>
        <v>1.8183</v>
      </c>
      <c r="L58" s="14" t="n">
        <f aca="false">ROUND((2.05/1.7)*K58,4)</f>
        <v>2.1927</v>
      </c>
    </row>
    <row r="59" customFormat="false" ht="12.75" hidden="false" customHeight="false" outlineLevel="0" collapsed="false">
      <c r="A59" s="12" t="n">
        <v>199904</v>
      </c>
      <c r="B59" s="13" t="n">
        <v>199803</v>
      </c>
      <c r="C59" s="14" t="n">
        <v>1.63</v>
      </c>
      <c r="D59" s="14"/>
      <c r="E59" s="14" t="n">
        <v>1.66</v>
      </c>
      <c r="F59" s="14"/>
      <c r="G59" s="14" t="n">
        <v>1.72</v>
      </c>
      <c r="H59" s="14"/>
      <c r="I59" s="14" t="n">
        <v>1.69</v>
      </c>
      <c r="J59" s="14" t="n">
        <f aca="false">ROUND(SUM(C59:I59)/4,4)</f>
        <v>1.675</v>
      </c>
      <c r="K59" s="14" t="n">
        <f aca="false">ROUND(SUM(J57:J59)/3,4)</f>
        <v>1.7658</v>
      </c>
      <c r="L59" s="14" t="n">
        <f aca="false">ROUND((2.05/1.7)*K59,4)</f>
        <v>2.1293</v>
      </c>
    </row>
    <row r="60" customFormat="false" ht="12.75" hidden="false" customHeight="false" outlineLevel="0" collapsed="false">
      <c r="A60" s="12" t="n">
        <v>199905</v>
      </c>
      <c r="B60" s="13" t="n">
        <v>199804</v>
      </c>
      <c r="C60" s="14" t="n">
        <v>1.88</v>
      </c>
      <c r="D60" s="14"/>
      <c r="E60" s="14" t="n">
        <v>1.88</v>
      </c>
      <c r="F60" s="14"/>
      <c r="G60" s="14" t="n">
        <v>1.88</v>
      </c>
      <c r="H60" s="14"/>
      <c r="I60" s="14" t="n">
        <v>1.89</v>
      </c>
      <c r="J60" s="14" t="n">
        <f aca="false">ROUND(SUM(C60:I60)/4,4)</f>
        <v>1.8825</v>
      </c>
      <c r="K60" s="14" t="n">
        <f aca="false">ROUND(SUM(J58:J60)/3,4)</f>
        <v>1.79</v>
      </c>
      <c r="L60" s="14" t="n">
        <f aca="false">ROUND((2.05/1.7)*K60,4)</f>
        <v>2.1585</v>
      </c>
    </row>
    <row r="61" customFormat="false" ht="12.75" hidden="false" customHeight="false" outlineLevel="0" collapsed="false">
      <c r="A61" s="12" t="n">
        <v>199906</v>
      </c>
      <c r="B61" s="13" t="n">
        <v>199805</v>
      </c>
      <c r="C61" s="14" t="n">
        <v>2.36</v>
      </c>
      <c r="D61" s="14"/>
      <c r="E61" s="14" t="n">
        <v>2.37</v>
      </c>
      <c r="F61" s="14"/>
      <c r="G61" s="14" t="n">
        <v>2.29</v>
      </c>
      <c r="H61" s="14"/>
      <c r="I61" s="14" t="n">
        <v>2.32</v>
      </c>
      <c r="J61" s="14" t="n">
        <f aca="false">ROUND(SUM(C61:I61)/4,4)</f>
        <v>2.335</v>
      </c>
      <c r="K61" s="14" t="n">
        <f aca="false">ROUND(SUM(J59:J61)/3,4)</f>
        <v>1.9642</v>
      </c>
      <c r="L61" s="14" t="n">
        <f aca="false">ROUND((2.05/1.7)*K61,4)</f>
        <v>2.3686</v>
      </c>
    </row>
    <row r="62" customFormat="false" ht="12.75" hidden="false" customHeight="false" outlineLevel="0" collapsed="false">
      <c r="A62" s="12" t="n">
        <v>199907</v>
      </c>
      <c r="B62" s="13" t="n">
        <v>199806</v>
      </c>
      <c r="C62" s="14" t="n">
        <v>2.23</v>
      </c>
      <c r="D62" s="14"/>
      <c r="E62" s="14" t="n">
        <v>2.24</v>
      </c>
      <c r="F62" s="14"/>
      <c r="G62" s="14" t="n">
        <v>2.29</v>
      </c>
      <c r="H62" s="14"/>
      <c r="I62" s="14" t="n">
        <v>2.26</v>
      </c>
      <c r="J62" s="14" t="n">
        <f aca="false">ROUND(SUM(C62:I62)/4,4)</f>
        <v>2.255</v>
      </c>
      <c r="K62" s="14" t="n">
        <f aca="false">ROUND(SUM(J60:J62)/3,4)</f>
        <v>2.1575</v>
      </c>
      <c r="L62" s="14" t="n">
        <f aca="false">ROUND((2.05/1.7)*K62,4)</f>
        <v>2.6017</v>
      </c>
    </row>
    <row r="63" customFormat="false" ht="12.75" hidden="false" customHeight="false" outlineLevel="0" collapsed="false">
      <c r="A63" s="12" t="n">
        <v>199908</v>
      </c>
      <c r="B63" s="13" t="n">
        <v>199807</v>
      </c>
      <c r="C63" s="14" t="n">
        <v>2.26</v>
      </c>
      <c r="D63" s="14"/>
      <c r="E63" s="14" t="n">
        <v>2.27</v>
      </c>
      <c r="F63" s="14"/>
      <c r="G63" s="14" t="n">
        <v>2.27</v>
      </c>
      <c r="H63" s="14"/>
      <c r="I63" s="14" t="n">
        <v>2.28</v>
      </c>
      <c r="J63" s="14" t="n">
        <f aca="false">ROUND(SUM(C63:I63)/4,4)</f>
        <v>2.27</v>
      </c>
      <c r="K63" s="14" t="n">
        <f aca="false">ROUND(SUM(J61:J63)/3,4)</f>
        <v>2.2867</v>
      </c>
      <c r="L63" s="14" t="n">
        <f aca="false">ROUND((2.05/1.7)*K63,4)</f>
        <v>2.7575</v>
      </c>
    </row>
    <row r="64" customFormat="false" ht="12.75" hidden="false" customHeight="false" outlineLevel="0" collapsed="false">
      <c r="A64" s="15" t="n">
        <v>199909</v>
      </c>
      <c r="B64" s="16" t="n">
        <v>199808</v>
      </c>
      <c r="C64" s="17" t="n">
        <v>2.61</v>
      </c>
      <c r="D64" s="17"/>
      <c r="E64" s="17" t="n">
        <v>2.62</v>
      </c>
      <c r="F64" s="17"/>
      <c r="G64" s="17" t="n">
        <v>2.58</v>
      </c>
      <c r="H64" s="17"/>
      <c r="I64" s="17" t="n">
        <v>2.59</v>
      </c>
      <c r="J64" s="17" t="n">
        <f aca="false">ROUND(SUM(C64:I64)/4,4)</f>
        <v>2.6</v>
      </c>
      <c r="K64" s="17" t="n">
        <f aca="false">ROUND(SUM(J62:J64)/3,4)</f>
        <v>2.375</v>
      </c>
      <c r="L64" s="17" t="n">
        <f aca="false">ROUND((2.05/1.7)*K64,4)</f>
        <v>2.864</v>
      </c>
    </row>
    <row r="65" customFormat="false" ht="12.75" hidden="false" customHeight="false" outlineLevel="0" collapsed="false">
      <c r="A65" s="15" t="n">
        <v>199910</v>
      </c>
      <c r="B65" s="16" t="n">
        <v>199909</v>
      </c>
      <c r="C65" s="17" t="n">
        <v>2.89</v>
      </c>
      <c r="D65" s="17"/>
      <c r="E65" s="17" t="n">
        <v>2.9</v>
      </c>
      <c r="F65" s="17"/>
      <c r="G65" s="17" t="n">
        <v>2.72</v>
      </c>
      <c r="H65" s="17"/>
      <c r="I65" s="17" t="n">
        <v>2.82</v>
      </c>
      <c r="J65" s="17" t="n">
        <f aca="false">ROUND(SUM(C65:I65)/4,4)</f>
        <v>2.8325</v>
      </c>
      <c r="K65" s="17" t="n">
        <f aca="false">ROUND(SUM(J63:J65)/3,4)</f>
        <v>2.5675</v>
      </c>
      <c r="L65" s="17" t="n">
        <f aca="false">ROUND((2.05/1.7)*K65,4)</f>
        <v>3.0961</v>
      </c>
    </row>
    <row r="66" customFormat="false" ht="12.75" hidden="false" customHeight="false" outlineLevel="0" collapsed="false">
      <c r="A66" s="15" t="n">
        <v>199911</v>
      </c>
      <c r="B66" s="16" t="n">
        <v>199910</v>
      </c>
      <c r="C66" s="17" t="n">
        <v>2.54</v>
      </c>
      <c r="D66" s="17"/>
      <c r="E66" s="17" t="n">
        <v>2.54</v>
      </c>
      <c r="F66" s="17"/>
      <c r="G66" s="17" t="n">
        <v>2.49</v>
      </c>
      <c r="H66" s="17"/>
      <c r="I66" s="17" t="n">
        <v>2.5</v>
      </c>
      <c r="J66" s="17" t="n">
        <f aca="false">ROUND(SUM(C66:I66)/4,4)</f>
        <v>2.5175</v>
      </c>
      <c r="K66" s="17" t="n">
        <f aca="false">ROUND(SUM(J64:J66)/3,4)</f>
        <v>2.65</v>
      </c>
      <c r="L66" s="17" t="n">
        <f aca="false">ROUND((2.05/1.7)*K66,4)</f>
        <v>3.1956</v>
      </c>
    </row>
    <row r="67" customFormat="false" ht="12.75" hidden="false" customHeight="false" outlineLevel="0" collapsed="false">
      <c r="A67" s="8" t="n">
        <v>199912</v>
      </c>
      <c r="B67" s="1" t="n">
        <v>199911</v>
      </c>
      <c r="C67" s="2" t="n">
        <v>3.05</v>
      </c>
      <c r="E67" s="2" t="n">
        <v>3.06</v>
      </c>
      <c r="G67" s="2" t="n">
        <v>3</v>
      </c>
      <c r="I67" s="18" t="n">
        <v>3.01</v>
      </c>
      <c r="J67" s="17" t="n">
        <f aca="false">ROUND(SUM(C67:I67)/4,4)</f>
        <v>3.03</v>
      </c>
      <c r="K67" s="17" t="n">
        <f aca="false">ROUND(SUM(J65:J67)/3,4)</f>
        <v>2.7933</v>
      </c>
      <c r="L67" s="17" t="n">
        <f aca="false">ROUND((2.05/1.7)*K67,4)</f>
        <v>3.3684</v>
      </c>
    </row>
    <row r="68" customFormat="false" ht="12.75" hidden="false" customHeight="false" outlineLevel="0" collapsed="false">
      <c r="A68" s="8" t="str">
        <f aca="false">B69</f>
        <v>Jan-2000</v>
      </c>
      <c r="B68" s="1" t="n">
        <v>199912</v>
      </c>
      <c r="C68" s="2" t="n">
        <v>2.14</v>
      </c>
      <c r="E68" s="2" t="n">
        <v>2.16</v>
      </c>
      <c r="G68" s="2" t="n">
        <v>2.19</v>
      </c>
      <c r="I68" s="18" t="n">
        <v>2.2</v>
      </c>
      <c r="J68" s="17" t="n">
        <f aca="false">ROUND(SUM(C68:I68)/4,4)</f>
        <v>2.1725</v>
      </c>
      <c r="K68" s="17" t="n">
        <f aca="false">ROUND(SUM(J66:J68)/3,4)</f>
        <v>2.5733</v>
      </c>
      <c r="L68" s="17" t="n">
        <f aca="false">ROUND((2.05/1.7)*K68,4)</f>
        <v>3.1031</v>
      </c>
    </row>
    <row r="69" customFormat="false" ht="12.75" hidden="false" customHeight="false" outlineLevel="0" collapsed="false">
      <c r="A69" s="8" t="str">
        <f aca="false">B70</f>
        <v>Feb-2000</v>
      </c>
      <c r="B69" s="1" t="s">
        <v>18</v>
      </c>
      <c r="C69" s="2" t="n">
        <v>2.36</v>
      </c>
      <c r="E69" s="2" t="n">
        <v>2.36</v>
      </c>
      <c r="G69" s="2" t="n">
        <v>2.35</v>
      </c>
      <c r="I69" s="18" t="n">
        <v>2.34</v>
      </c>
      <c r="J69" s="17" t="n">
        <f aca="false">ROUND(SUM(C69:I69)/4,4)</f>
        <v>2.3525</v>
      </c>
      <c r="K69" s="17" t="n">
        <f aca="false">ROUND(SUM(J67:J69)/3,4)</f>
        <v>2.5183</v>
      </c>
      <c r="L69" s="17" t="n">
        <f aca="false">ROUND((2.05/1.7)*K69,4)</f>
        <v>3.0368</v>
      </c>
    </row>
    <row r="70" customFormat="false" ht="12.75" hidden="false" customHeight="false" outlineLevel="0" collapsed="false">
      <c r="A70" s="8" t="str">
        <f aca="false">B71</f>
        <v>Mar-2000</v>
      </c>
      <c r="B70" s="1" t="s">
        <v>19</v>
      </c>
      <c r="C70" s="2" t="n">
        <v>2.62</v>
      </c>
      <c r="E70" s="2" t="n">
        <v>2.64</v>
      </c>
      <c r="G70" s="2" t="n">
        <v>2.79</v>
      </c>
      <c r="I70" s="18" t="n">
        <v>2.75</v>
      </c>
      <c r="J70" s="17" t="n">
        <f aca="false">ROUND(SUM(C70:I70)/4,4)</f>
        <v>2.7</v>
      </c>
      <c r="K70" s="17" t="n">
        <f aca="false">ROUND(SUM(J68:J70)/3,4)</f>
        <v>2.4083</v>
      </c>
      <c r="L70" s="17" t="n">
        <f aca="false">ROUND((2.05/1.7)*K70,4)</f>
        <v>2.9041</v>
      </c>
    </row>
    <row r="71" customFormat="false" ht="12.75" hidden="false" customHeight="false" outlineLevel="0" collapsed="false">
      <c r="A71" s="8" t="str">
        <f aca="false">B72</f>
        <v>Apr-2000</v>
      </c>
      <c r="B71" s="1" t="s">
        <v>20</v>
      </c>
      <c r="C71" s="2" t="n">
        <v>2.61</v>
      </c>
      <c r="E71" s="2" t="n">
        <v>2.63</v>
      </c>
      <c r="G71" s="2" t="n">
        <v>2.68</v>
      </c>
      <c r="I71" s="18" t="n">
        <v>2.64</v>
      </c>
      <c r="J71" s="17" t="n">
        <f aca="false">ROUND(SUM(C71:I71)/4,4)</f>
        <v>2.64</v>
      </c>
      <c r="K71" s="17" t="n">
        <f aca="false">ROUND(SUM(J69:J71)/3,4)</f>
        <v>2.5642</v>
      </c>
      <c r="L71" s="17" t="n">
        <f aca="false">ROUND((2.05/1.7)*K71,4)</f>
        <v>3.0921</v>
      </c>
    </row>
    <row r="72" customFormat="false" ht="12.75" hidden="false" customHeight="false" outlineLevel="0" collapsed="false">
      <c r="A72" s="8" t="str">
        <f aca="false">B73</f>
        <v>May-2000</v>
      </c>
      <c r="B72" s="1" t="s">
        <v>21</v>
      </c>
      <c r="C72" s="2" t="n">
        <v>2.88</v>
      </c>
      <c r="E72" s="2" t="n">
        <v>2.9</v>
      </c>
      <c r="G72" s="2" t="n">
        <v>2.87</v>
      </c>
      <c r="I72" s="18" t="n">
        <v>2.83</v>
      </c>
      <c r="J72" s="17" t="n">
        <f aca="false">ROUND(SUM(C72:I72)/4,4)</f>
        <v>2.87</v>
      </c>
      <c r="K72" s="17" t="n">
        <f aca="false">ROUND(SUM(J70:J72)/3,4)</f>
        <v>2.7367</v>
      </c>
      <c r="L72" s="17" t="n">
        <f aca="false">ROUND((2.05/1.7)*K72,4)</f>
        <v>3.3001</v>
      </c>
    </row>
    <row r="73" customFormat="false" ht="12.75" hidden="false" customHeight="false" outlineLevel="0" collapsed="false">
      <c r="A73" s="8" t="str">
        <f aca="false">B74</f>
        <v>Jun-2000</v>
      </c>
      <c r="B73" s="1" t="s">
        <v>22</v>
      </c>
      <c r="C73" s="2" t="n">
        <v>3.09</v>
      </c>
      <c r="E73" s="2" t="n">
        <v>3.1</v>
      </c>
      <c r="G73" s="2" t="n">
        <v>3.13</v>
      </c>
      <c r="I73" s="18" t="n">
        <v>3.14</v>
      </c>
      <c r="J73" s="17" t="n">
        <f aca="false">ROUND(SUM(C73:I73)/4,4)</f>
        <v>3.115</v>
      </c>
      <c r="K73" s="17" t="n">
        <f aca="false">ROUND(SUM(J71:J73)/3,4)</f>
        <v>2.875</v>
      </c>
      <c r="L73" s="17" t="n">
        <f aca="false">ROUND((2.05/1.7)*K73,4)</f>
        <v>3.4669</v>
      </c>
    </row>
    <row r="74" customFormat="false" ht="12.75" hidden="false" customHeight="false" outlineLevel="0" collapsed="false">
      <c r="A74" s="8" t="str">
        <f aca="false">B75</f>
        <v>Jul-2000</v>
      </c>
      <c r="B74" s="1" t="s">
        <v>23</v>
      </c>
      <c r="C74" s="2" t="n">
        <v>4.38</v>
      </c>
      <c r="E74" s="2" t="n">
        <v>4.4</v>
      </c>
      <c r="G74" s="2" t="n">
        <v>4.34</v>
      </c>
      <c r="I74" s="18" t="n">
        <v>4.34</v>
      </c>
      <c r="J74" s="17" t="n">
        <f aca="false">ROUND(SUM(C74:I74)/4,4)</f>
        <v>4.365</v>
      </c>
      <c r="K74" s="17" t="n">
        <f aca="false">ROUND(SUM(J72:J74)/3,4)</f>
        <v>3.45</v>
      </c>
      <c r="L74" s="17" t="n">
        <f aca="false">ROUND((2.05/1.7)*K74,4)</f>
        <v>4.1603</v>
      </c>
    </row>
    <row r="75" customFormat="false" ht="12.75" hidden="false" customHeight="false" outlineLevel="0" collapsed="false">
      <c r="A75" s="8" t="str">
        <f aca="false">B76</f>
        <v>Aug-2000</v>
      </c>
      <c r="B75" s="1" t="s">
        <v>24</v>
      </c>
      <c r="C75" s="2" t="n">
        <v>4.36</v>
      </c>
      <c r="E75" s="2" t="n">
        <v>4.37</v>
      </c>
      <c r="G75" s="2" t="n">
        <v>4.41</v>
      </c>
      <c r="I75" s="18" t="n">
        <v>4.42</v>
      </c>
      <c r="J75" s="17" t="n">
        <f aca="false">ROUND(SUM(C75:I75)/4,4)</f>
        <v>4.39</v>
      </c>
      <c r="K75" s="17" t="n">
        <f aca="false">ROUND(SUM(J73:J75)/3,4)</f>
        <v>3.9567</v>
      </c>
      <c r="L75" s="17" t="n">
        <f aca="false">ROUND((2.05/1.7)*K75,4)</f>
        <v>4.7713</v>
      </c>
    </row>
    <row r="76" customFormat="false" ht="12.75" hidden="false" customHeight="false" outlineLevel="0" collapsed="false">
      <c r="A76" s="8" t="str">
        <f aca="false">B77</f>
        <v>Sep-2000</v>
      </c>
      <c r="B76" s="1" t="s">
        <v>25</v>
      </c>
      <c r="C76" s="2" t="n">
        <v>3.83</v>
      </c>
      <c r="E76" s="2" t="n">
        <v>3.85</v>
      </c>
      <c r="G76" s="2" t="n">
        <v>3.99</v>
      </c>
      <c r="I76" s="18" t="n">
        <v>4.02</v>
      </c>
      <c r="J76" s="17" t="n">
        <f aca="false">ROUND(SUM(C76:I76)/4,4)</f>
        <v>3.9225</v>
      </c>
      <c r="K76" s="17" t="n">
        <f aca="false">ROUND(SUM(J74:J76)/3,4)</f>
        <v>4.2258</v>
      </c>
      <c r="L76" s="17" t="n">
        <f aca="false">ROUND((2.05/1.7)*K76,4)</f>
        <v>5.0958</v>
      </c>
    </row>
    <row r="77" customFormat="false" ht="12.75" hidden="false" customHeight="false" outlineLevel="0" collapsed="false">
      <c r="A77" s="8" t="str">
        <f aca="false">B78</f>
        <v>Oct-2000</v>
      </c>
      <c r="B77" s="1" t="s">
        <v>26</v>
      </c>
      <c r="C77" s="2" t="n">
        <v>4.62</v>
      </c>
      <c r="E77" s="2" t="n">
        <v>4.64</v>
      </c>
      <c r="G77" s="2" t="n">
        <v>4.64</v>
      </c>
      <c r="I77" s="18" t="n">
        <v>4.64</v>
      </c>
      <c r="J77" s="17" t="n">
        <f aca="false">ROUND(SUM(C77:I77)/4,4)</f>
        <v>4.635</v>
      </c>
      <c r="K77" s="17" t="n">
        <f aca="false">ROUND(SUM(J75:J77)/3,4)</f>
        <v>4.3158</v>
      </c>
      <c r="L77" s="17" t="n">
        <f aca="false">ROUND((2.05/1.7)*K77,4)</f>
        <v>5.2043</v>
      </c>
    </row>
    <row r="78" customFormat="false" ht="12.75" hidden="false" customHeight="false" outlineLevel="0" collapsed="false">
      <c r="A78" s="8" t="str">
        <f aca="false">B79</f>
        <v>Nov-2000</v>
      </c>
      <c r="B78" s="1" t="s">
        <v>27</v>
      </c>
      <c r="C78" s="2" t="n">
        <v>5.28</v>
      </c>
      <c r="E78" s="2" t="n">
        <v>5.3</v>
      </c>
      <c r="G78" s="2" t="n">
        <v>5.22</v>
      </c>
      <c r="I78" s="18" t="n">
        <v>5.23</v>
      </c>
      <c r="J78" s="17" t="n">
        <f aca="false">ROUND(SUM(C78:I78)/4,4)</f>
        <v>5.2575</v>
      </c>
      <c r="K78" s="17" t="n">
        <f aca="false">ROUND(SUM(J76:J78)/3,4)</f>
        <v>4.605</v>
      </c>
      <c r="L78" s="17" t="n">
        <f aca="false">ROUND((2.05/1.7)*K78,4)</f>
        <v>5.5531</v>
      </c>
    </row>
    <row r="79" customFormat="false" ht="12.75" hidden="false" customHeight="false" outlineLevel="0" collapsed="false">
      <c r="A79" s="8" t="str">
        <f aca="false">B80</f>
        <v>Dec-2000</v>
      </c>
      <c r="B79" s="1" t="s">
        <v>28</v>
      </c>
      <c r="C79" s="2" t="n">
        <v>4.51</v>
      </c>
      <c r="E79" s="2" t="n">
        <v>4.54</v>
      </c>
      <c r="G79" s="2" t="n">
        <v>4.52</v>
      </c>
      <c r="I79" s="18" t="n">
        <v>4.53</v>
      </c>
      <c r="J79" s="17" t="n">
        <f aca="false">ROUND(SUM(C79:I79)/4,4)</f>
        <v>4.525</v>
      </c>
      <c r="K79" s="17" t="n">
        <f aca="false">ROUND(SUM(J77:J79)/3,4)</f>
        <v>4.8058</v>
      </c>
      <c r="L79" s="17" t="n">
        <f aca="false">ROUND((2.05/1.7)*K79,4)</f>
        <v>5.7952</v>
      </c>
    </row>
    <row r="80" customFormat="false" ht="12.75" hidden="false" customHeight="false" outlineLevel="0" collapsed="false">
      <c r="A80" s="8" t="str">
        <f aca="false">B81</f>
        <v>Jan-2001</v>
      </c>
      <c r="B80" s="1" t="s">
        <v>29</v>
      </c>
      <c r="C80" s="2" t="n">
        <v>6.03</v>
      </c>
      <c r="E80" s="2" t="n">
        <v>6.06</v>
      </c>
      <c r="G80" s="2" t="n">
        <v>6.06</v>
      </c>
      <c r="I80" s="18" t="n">
        <v>6.09</v>
      </c>
      <c r="J80" s="17" t="n">
        <f aca="false">ROUND(SUM(C80:I80)/4,4)</f>
        <v>6.06</v>
      </c>
      <c r="K80" s="17" t="n">
        <f aca="false">ROUND(SUM(J78:J80)/3,4)</f>
        <v>5.2808</v>
      </c>
      <c r="L80" s="17" t="n">
        <f aca="false">ROUND((2.05/1.7)*K80,4)</f>
        <v>6.368</v>
      </c>
    </row>
    <row r="81" customFormat="false" ht="12.75" hidden="false" customHeight="false" outlineLevel="0" collapsed="false">
      <c r="A81" s="8" t="str">
        <f aca="false">B82</f>
        <v>Feb-2001</v>
      </c>
      <c r="B81" s="1" t="s">
        <v>30</v>
      </c>
      <c r="C81" s="2" t="n">
        <v>9.97</v>
      </c>
      <c r="E81" s="2" t="n">
        <f aca="false">9.98+0.04</f>
        <v>10.02</v>
      </c>
      <c r="G81" s="2" t="n">
        <v>10</v>
      </c>
      <c r="I81" s="18" t="n">
        <v>9.95</v>
      </c>
      <c r="J81" s="17" t="n">
        <f aca="false">ROUND(SUM(C81:I81)/4,4)</f>
        <v>9.985</v>
      </c>
      <c r="K81" s="17" t="n">
        <f aca="false">ROUND(SUM(J79:J81)/3,4)</f>
        <v>6.8567</v>
      </c>
      <c r="L81" s="17" t="n">
        <f aca="false">ROUND((2.05/1.7)*K81,4)</f>
        <v>8.2684</v>
      </c>
    </row>
    <row r="82" customFormat="false" ht="12.75" hidden="false" customHeight="false" outlineLevel="0" collapsed="false">
      <c r="A82" s="8" t="s">
        <v>31</v>
      </c>
      <c r="B82" s="1" t="s">
        <v>32</v>
      </c>
      <c r="C82" s="2" t="n">
        <v>6.24</v>
      </c>
      <c r="E82" s="2" t="n">
        <v>6.34</v>
      </c>
      <c r="G82" s="2" t="n">
        <v>6.31</v>
      </c>
      <c r="I82" s="18" t="n">
        <v>6.55</v>
      </c>
      <c r="J82" s="17" t="n">
        <f aca="false">ROUND(SUM(C82:I82)/4,4)</f>
        <v>6.36</v>
      </c>
      <c r="K82" s="17" t="n">
        <f aca="false">ROUND(SUM(J80:J82)/3,4)</f>
        <v>7.4683</v>
      </c>
      <c r="L82" s="17" t="n">
        <f aca="false">ROUND((2.05/1.7)*K82,4)</f>
        <v>9.0059</v>
      </c>
    </row>
    <row r="83" customFormat="false" ht="12.75" hidden="false" customHeight="false" outlineLevel="0" collapsed="false">
      <c r="A83" s="19" t="s">
        <v>33</v>
      </c>
      <c r="B83" s="20" t="s">
        <v>31</v>
      </c>
      <c r="C83" s="18" t="n">
        <v>5.03</v>
      </c>
      <c r="D83" s="18"/>
      <c r="E83" s="18" t="n">
        <v>5.05</v>
      </c>
      <c r="F83" s="18"/>
      <c r="G83" s="18" t="n">
        <v>5.17</v>
      </c>
      <c r="H83" s="18"/>
      <c r="I83" s="18" t="n">
        <v>5.17</v>
      </c>
      <c r="J83" s="17" t="n">
        <f aca="false">ROUND(SUM(C83:I83)/4,4)</f>
        <v>5.105</v>
      </c>
      <c r="K83" s="17" t="n">
        <f aca="false">ROUND(SUM(J81:J83)/3,4)</f>
        <v>7.15</v>
      </c>
      <c r="L83" s="17" t="n">
        <f aca="false">ROUND((2.05/1.7)*K83,4)</f>
        <v>8.6221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</row>
    <row r="84" customFormat="false" ht="12.75" hidden="false" customHeight="false" outlineLevel="0" collapsed="false">
      <c r="A84" s="19" t="s">
        <v>34</v>
      </c>
      <c r="B84" s="20" t="s">
        <v>33</v>
      </c>
      <c r="C84" s="18" t="n">
        <v>5.38</v>
      </c>
      <c r="D84" s="18"/>
      <c r="E84" s="18" t="n">
        <v>5.4</v>
      </c>
      <c r="F84" s="18"/>
      <c r="G84" s="18" t="n">
        <v>5.35</v>
      </c>
      <c r="H84" s="18"/>
      <c r="I84" s="18" t="n">
        <v>5.4</v>
      </c>
      <c r="J84" s="17" t="n">
        <f aca="false">ROUND(SUM(C84:I84)/4,4)</f>
        <v>5.3825</v>
      </c>
      <c r="K84" s="17" t="n">
        <f aca="false">ROUND(SUM(J82:J84)/3,4)</f>
        <v>5.6158</v>
      </c>
      <c r="L84" s="17" t="n">
        <f aca="false">ROUND((2.05/1.7)*K84,4)</f>
        <v>6.772</v>
      </c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</row>
    <row r="85" customFormat="false" ht="12.75" hidden="false" customHeight="false" outlineLevel="0" collapsed="false">
      <c r="A85" s="19" t="s">
        <v>35</v>
      </c>
      <c r="B85" s="20" t="s">
        <v>34</v>
      </c>
      <c r="C85" s="18" t="n">
        <v>4.88</v>
      </c>
      <c r="D85" s="18"/>
      <c r="E85" s="18" t="n">
        <v>4.92</v>
      </c>
      <c r="F85" s="18"/>
      <c r="G85" s="18" t="n">
        <v>4.59</v>
      </c>
      <c r="H85" s="18"/>
      <c r="I85" s="18" t="n">
        <v>4.61</v>
      </c>
      <c r="J85" s="17" t="n">
        <f aca="false">ROUND(SUM(C85:I85)/4,4)</f>
        <v>4.75</v>
      </c>
      <c r="K85" s="17" t="n">
        <f aca="false">ROUND(SUM(J83:J85)/3,4)</f>
        <v>5.0792</v>
      </c>
      <c r="L85" s="17" t="n">
        <f aca="false">ROUND((2.05/1.7)*K85,4)</f>
        <v>6.1249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</row>
    <row r="86" customFormat="false" ht="12.75" hidden="false" customHeight="false" outlineLevel="0" collapsed="false">
      <c r="A86" s="19" t="s">
        <v>36</v>
      </c>
      <c r="B86" s="20" t="s">
        <v>35</v>
      </c>
      <c r="C86" s="22" t="n">
        <v>3.74</v>
      </c>
      <c r="D86" s="22"/>
      <c r="E86" s="22" t="n">
        <v>3.76</v>
      </c>
      <c r="F86" s="22"/>
      <c r="G86" s="22" t="n">
        <v>3.77</v>
      </c>
      <c r="H86" s="22"/>
      <c r="I86" s="22" t="n">
        <v>3.76</v>
      </c>
      <c r="J86" s="18" t="n">
        <f aca="false">ROUND(SUM(C86:I86)/4,4)</f>
        <v>3.7575</v>
      </c>
      <c r="K86" s="17" t="n">
        <f aca="false">ROUND(SUM(J84:J86)/3,4)</f>
        <v>4.63</v>
      </c>
      <c r="L86" s="17" t="n">
        <f aca="false">ROUND((2.05/1.7)*K86,4)</f>
        <v>5.5832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</row>
    <row r="87" customFormat="false" ht="12.75" hidden="false" customHeight="false" outlineLevel="0" collapsed="false">
      <c r="A87" s="19" t="s">
        <v>37</v>
      </c>
      <c r="B87" s="20" t="s">
        <v>36</v>
      </c>
      <c r="C87" s="22" t="n">
        <v>3.19</v>
      </c>
      <c r="D87" s="22"/>
      <c r="E87" s="22" t="n">
        <v>3.2</v>
      </c>
      <c r="F87" s="22"/>
      <c r="G87" s="22" t="n">
        <v>3.48</v>
      </c>
      <c r="H87" s="22"/>
      <c r="I87" s="22" t="n">
        <v>3.48</v>
      </c>
      <c r="J87" s="18" t="n">
        <f aca="false">ROUND(SUM(C87:I87)/4,4)</f>
        <v>3.3375</v>
      </c>
      <c r="K87" s="17" t="n">
        <f aca="false">ROUND(SUM(J85:J87)/3,4)</f>
        <v>3.9483</v>
      </c>
      <c r="L87" s="17" t="n">
        <f aca="false">ROUND((2.05/1.7)*K87,4)</f>
        <v>4.7612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</row>
    <row r="88" customFormat="false" ht="12.75" hidden="false" customHeight="false" outlineLevel="0" collapsed="false">
      <c r="A88" s="19" t="s">
        <v>38</v>
      </c>
      <c r="B88" s="20" t="s">
        <v>37</v>
      </c>
      <c r="C88" s="22" t="n">
        <v>3.19</v>
      </c>
      <c r="D88" s="22"/>
      <c r="E88" s="22" t="n">
        <v>3.21</v>
      </c>
      <c r="F88" s="22"/>
      <c r="G88" s="22" t="n">
        <v>3.23</v>
      </c>
      <c r="H88" s="22"/>
      <c r="I88" s="22" t="n">
        <v>3.25</v>
      </c>
      <c r="J88" s="18" t="n">
        <f aca="false">ROUND(SUM(C88:I88)/4,4)</f>
        <v>3.22</v>
      </c>
      <c r="K88" s="17" t="n">
        <f aca="false">ROUND(SUM(J86:J88)/3,4)</f>
        <v>3.4383</v>
      </c>
      <c r="L88" s="17" t="n">
        <f aca="false">ROUND((2.05/1.7)*K88,4)</f>
        <v>4.1462</v>
      </c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</row>
    <row r="89" customFormat="false" ht="12.75" hidden="false" customHeight="false" outlineLevel="0" collapsed="false">
      <c r="A89" s="19" t="s">
        <v>39</v>
      </c>
      <c r="B89" s="20" t="s">
        <v>38</v>
      </c>
      <c r="C89" s="22" t="n">
        <v>2.33</v>
      </c>
      <c r="D89" s="22"/>
      <c r="E89" s="22" t="n">
        <v>2.33</v>
      </c>
      <c r="F89" s="22"/>
      <c r="G89" s="22" t="n">
        <v>2.49</v>
      </c>
      <c r="H89" s="22"/>
      <c r="I89" s="22" t="n">
        <v>2.54</v>
      </c>
      <c r="J89" s="18" t="n">
        <f aca="false">ROUND(SUM(C89:I89)/4,4)</f>
        <v>2.4225</v>
      </c>
      <c r="K89" s="17" t="n">
        <f aca="false">ROUND(SUM(J87:J89)/3,4)</f>
        <v>2.9933</v>
      </c>
      <c r="L89" s="17" t="n">
        <f aca="false">ROUND((2.05/1.7)*K89,4)</f>
        <v>3.6096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</row>
    <row r="90" customFormat="false" ht="12.75" hidden="false" customHeight="false" outlineLevel="0" collapsed="false">
      <c r="A90" s="23" t="s">
        <v>40</v>
      </c>
      <c r="B90" s="24" t="s">
        <v>39</v>
      </c>
      <c r="C90" s="25" t="n">
        <v>1.86</v>
      </c>
      <c r="D90" s="25"/>
      <c r="E90" s="25" t="n">
        <v>1.86</v>
      </c>
      <c r="F90" s="25"/>
      <c r="G90" s="25" t="n">
        <v>2.04</v>
      </c>
      <c r="H90" s="25"/>
      <c r="I90" s="25" t="n">
        <v>2.05</v>
      </c>
      <c r="J90" s="26" t="n">
        <f aca="false">ROUND(SUM(C90:I90)/4,4)</f>
        <v>1.9525</v>
      </c>
      <c r="K90" s="27" t="n">
        <f aca="false">ROUND(SUM(J88:J90)/3,4)</f>
        <v>2.5317</v>
      </c>
      <c r="L90" s="27" t="n">
        <f aca="false">ROUND((2.05/1.7)*K90,4)</f>
        <v>3.0529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2.75" hidden="false" customHeight="false" outlineLevel="0" collapsed="false">
      <c r="A91" s="19"/>
      <c r="B91" s="20"/>
      <c r="C91" s="22"/>
      <c r="D91" s="22"/>
      <c r="E91" s="22"/>
      <c r="F91" s="22"/>
      <c r="G91" s="22"/>
      <c r="H91" s="22"/>
      <c r="I91" s="22"/>
      <c r="J91" s="18"/>
      <c r="K91" s="17"/>
      <c r="L91" s="17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</row>
    <row r="92" customFormat="false" ht="12.75" hidden="false" customHeight="false" outlineLevel="0" collapsed="false">
      <c r="A92" s="29" t="s">
        <v>41</v>
      </c>
      <c r="C92" s="30"/>
      <c r="D92" s="30"/>
      <c r="E92" s="30"/>
      <c r="F92" s="30"/>
      <c r="G92" s="30"/>
      <c r="H92" s="30"/>
      <c r="I92" s="31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A94" s="8"/>
      <c r="B94" s="32" t="s">
        <v>42</v>
      </c>
      <c r="C94" s="5"/>
      <c r="D94" s="5"/>
      <c r="E94" s="33"/>
      <c r="F94" s="5"/>
      <c r="G94" s="34" t="n">
        <v>35947</v>
      </c>
      <c r="J94" s="5"/>
      <c r="K94" s="5"/>
    </row>
    <row r="95" customFormat="false" ht="12.75" hidden="false" customHeight="false" outlineLevel="0" collapsed="false">
      <c r="A95" s="8"/>
      <c r="B95" s="35" t="s">
        <v>43</v>
      </c>
      <c r="C95" s="5"/>
      <c r="D95" s="35" t="s">
        <v>44</v>
      </c>
      <c r="E95" s="33" t="s">
        <v>45</v>
      </c>
      <c r="F95" s="5"/>
      <c r="G95" s="36" t="n">
        <v>0</v>
      </c>
      <c r="I95" s="5"/>
      <c r="J95" s="5"/>
      <c r="K95" s="5"/>
      <c r="L95" s="3" t="s">
        <v>46</v>
      </c>
    </row>
    <row r="96" customFormat="false" ht="12.75" hidden="false" customHeight="false" outlineLevel="0" collapsed="false">
      <c r="A96" s="8"/>
      <c r="B96" s="35" t="s">
        <v>47</v>
      </c>
      <c r="C96" s="5"/>
      <c r="D96" s="35"/>
      <c r="E96" s="33" t="s">
        <v>48</v>
      </c>
      <c r="F96" s="5"/>
      <c r="G96" s="37" t="n">
        <f aca="false">L49</f>
        <v>2.7665</v>
      </c>
      <c r="I96" s="5"/>
      <c r="J96" s="5"/>
      <c r="K96" s="5"/>
      <c r="L96" s="3" t="s">
        <v>49</v>
      </c>
    </row>
    <row r="97" customFormat="false" ht="12.75" hidden="false" customHeight="false" outlineLevel="0" collapsed="false">
      <c r="A97" s="8"/>
      <c r="B97" s="35" t="s">
        <v>50</v>
      </c>
      <c r="C97" s="5"/>
      <c r="D97" s="35" t="s">
        <v>44</v>
      </c>
      <c r="E97" s="33" t="s">
        <v>51</v>
      </c>
      <c r="F97" s="5"/>
      <c r="G97" s="38" t="n">
        <f aca="false">ROUND(G96/(1-G95),4)-G96</f>
        <v>0</v>
      </c>
      <c r="H97" s="39"/>
      <c r="I97" s="5"/>
      <c r="J97" s="5"/>
      <c r="K97" s="5"/>
      <c r="L97" s="40" t="s">
        <v>52</v>
      </c>
    </row>
    <row r="98" customFormat="false" ht="12.75" hidden="false" customHeight="false" outlineLevel="0" collapsed="false">
      <c r="A98" s="8"/>
      <c r="B98" s="35" t="s">
        <v>53</v>
      </c>
      <c r="C98" s="5"/>
      <c r="D98" s="35" t="s">
        <v>44</v>
      </c>
      <c r="E98" s="33" t="s">
        <v>54</v>
      </c>
      <c r="F98" s="5"/>
      <c r="G98" s="41" t="n">
        <v>0</v>
      </c>
      <c r="I98" s="5"/>
      <c r="J98" s="5"/>
      <c r="K98" s="5"/>
      <c r="L98" s="3" t="s">
        <v>46</v>
      </c>
    </row>
    <row r="99" customFormat="false" ht="12.75" hidden="false" customHeight="false" outlineLevel="0" collapsed="false">
      <c r="A99" s="8"/>
      <c r="B99" s="35" t="s">
        <v>55</v>
      </c>
      <c r="C99" s="5"/>
      <c r="D99" s="35"/>
      <c r="E99" s="33" t="s">
        <v>56</v>
      </c>
      <c r="F99" s="5"/>
      <c r="G99" s="42" t="n">
        <f aca="false">SUM(G96:G98)</f>
        <v>2.7665</v>
      </c>
      <c r="I99" s="5"/>
      <c r="J99" s="5"/>
      <c r="K99" s="5"/>
      <c r="L99" s="3" t="s">
        <v>57</v>
      </c>
    </row>
    <row r="100" customFormat="false" ht="12.75" hidden="false" customHeight="false" outlineLevel="0" collapsed="false">
      <c r="A100" s="8"/>
      <c r="B100" s="35" t="s">
        <v>58</v>
      </c>
      <c r="C100" s="5"/>
      <c r="D100" s="35" t="s">
        <v>59</v>
      </c>
      <c r="E100" s="33" t="s">
        <v>60</v>
      </c>
      <c r="F100" s="5"/>
      <c r="G100" s="36" t="n">
        <v>0</v>
      </c>
      <c r="I100" s="5"/>
      <c r="J100" s="5"/>
      <c r="K100" s="5"/>
      <c r="L100" s="3" t="s">
        <v>46</v>
      </c>
    </row>
    <row r="101" customFormat="false" ht="12.75" hidden="false" customHeight="false" outlineLevel="0" collapsed="false">
      <c r="A101" s="8"/>
      <c r="B101" s="35" t="s">
        <v>42</v>
      </c>
      <c r="C101" s="5"/>
      <c r="D101" s="35"/>
      <c r="E101" s="33" t="s">
        <v>61</v>
      </c>
      <c r="F101" s="5"/>
      <c r="G101" s="43" t="n">
        <f aca="false">G99</f>
        <v>2.7665</v>
      </c>
      <c r="I101" s="5"/>
      <c r="J101" s="5"/>
      <c r="K101" s="5"/>
      <c r="L101" s="3" t="s">
        <v>56</v>
      </c>
    </row>
    <row r="102" customFormat="false" ht="12.75" hidden="false" customHeight="false" outlineLevel="0" collapsed="false">
      <c r="A102" s="8"/>
      <c r="B102" s="35" t="s">
        <v>53</v>
      </c>
      <c r="C102" s="5"/>
      <c r="D102" s="35" t="s">
        <v>59</v>
      </c>
      <c r="E102" s="33" t="s">
        <v>62</v>
      </c>
      <c r="F102" s="5"/>
      <c r="G102" s="44" t="n">
        <v>0</v>
      </c>
      <c r="I102" s="5"/>
      <c r="J102" s="5"/>
      <c r="K102" s="5"/>
      <c r="L102" s="3" t="s">
        <v>46</v>
      </c>
    </row>
    <row r="103" customFormat="false" ht="12.75" hidden="false" customHeight="false" outlineLevel="0" collapsed="false">
      <c r="A103" s="8"/>
      <c r="B103" s="35" t="s">
        <v>63</v>
      </c>
      <c r="C103" s="5"/>
      <c r="D103" s="35"/>
      <c r="E103" s="33" t="s">
        <v>64</v>
      </c>
      <c r="F103" s="5"/>
      <c r="G103" s="45" t="n">
        <f aca="false">G101-SUM(G102)</f>
        <v>2.7665</v>
      </c>
      <c r="I103" s="5"/>
      <c r="J103" s="5"/>
      <c r="K103" s="5"/>
      <c r="L103" s="3" t="s">
        <v>65</v>
      </c>
    </row>
    <row r="104" customFormat="false" ht="12.75" hidden="false" customHeight="false" outlineLevel="0" collapsed="false">
      <c r="A104" s="8"/>
      <c r="B104" s="35" t="s">
        <v>50</v>
      </c>
      <c r="C104" s="5"/>
      <c r="D104" s="35" t="s">
        <v>59</v>
      </c>
      <c r="E104" s="33" t="s">
        <v>66</v>
      </c>
      <c r="F104" s="5"/>
      <c r="G104" s="46" t="n">
        <f aca="false">ROUND(G103*(1+G100),4)-G103</f>
        <v>0</v>
      </c>
      <c r="I104" s="5"/>
      <c r="J104" s="5"/>
      <c r="K104" s="5"/>
      <c r="L104" s="3" t="s">
        <v>67</v>
      </c>
    </row>
    <row r="105" customFormat="false" ht="13.5" hidden="false" customHeight="false" outlineLevel="0" collapsed="false">
      <c r="A105" s="8"/>
      <c r="B105" s="35" t="s">
        <v>68</v>
      </c>
      <c r="C105" s="5"/>
      <c r="D105" s="35"/>
      <c r="E105" s="33" t="s">
        <v>69</v>
      </c>
      <c r="F105" s="5"/>
      <c r="G105" s="47" t="n">
        <f aca="false">+G103-G104</f>
        <v>2.7665</v>
      </c>
      <c r="I105" s="5"/>
      <c r="J105" s="5"/>
      <c r="K105" s="5"/>
      <c r="L105" s="3" t="s">
        <v>70</v>
      </c>
    </row>
    <row r="106" customFormat="false" ht="13.5" hidden="false" customHeight="false" outlineLevel="0" collapsed="false">
      <c r="A106" s="8"/>
      <c r="B106" s="5"/>
      <c r="C106" s="5"/>
      <c r="D106" s="5"/>
      <c r="E106" s="33"/>
      <c r="F106" s="5"/>
      <c r="G106" s="5"/>
      <c r="I106" s="5"/>
      <c r="L106" s="3"/>
    </row>
    <row r="107" customFormat="false" ht="13.5" hidden="false" customHeight="false" outlineLevel="0" collapsed="false">
      <c r="A107" s="34" t="n">
        <v>36861</v>
      </c>
      <c r="B107" s="48" t="s">
        <v>71</v>
      </c>
      <c r="C107" s="10"/>
      <c r="D107" s="10"/>
      <c r="E107" s="10"/>
      <c r="F107" s="49"/>
      <c r="G107" s="10"/>
      <c r="H107" s="10"/>
      <c r="I107" s="50"/>
      <c r="J107" s="5"/>
      <c r="K107" s="51" t="n">
        <v>5.7952</v>
      </c>
      <c r="L107" s="4" t="s">
        <v>72</v>
      </c>
    </row>
    <row r="108" customFormat="false" ht="13.5" hidden="false" customHeight="false" outlineLevel="0" collapsed="false">
      <c r="A108" s="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/>
    </row>
    <row r="112" customFormat="false" ht="12.75" hidden="false" customHeight="false" outlineLevel="0" collapsed="false">
      <c r="A112" s="8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/>
    </row>
    <row r="120" customFormat="false" ht="12.75" hidden="false" customHeight="false" outlineLevel="0" collapsed="false">
      <c r="A120" s="8"/>
    </row>
    <row r="121" customFormat="false" ht="12.75" hidden="false" customHeight="false" outlineLevel="0" collapsed="false">
      <c r="A121" s="8"/>
    </row>
    <row r="122" customFormat="false" ht="12.75" hidden="false" customHeight="false" outlineLevel="0" collapsed="false">
      <c r="A122" s="8"/>
    </row>
    <row r="123" customFormat="false" ht="12.75" hidden="false" customHeight="false" outlineLevel="0" collapsed="false">
      <c r="A123" s="8"/>
    </row>
    <row r="124" customFormat="false" ht="12.75" hidden="false" customHeight="false" outlineLevel="0" collapsed="false">
      <c r="A124" s="8"/>
    </row>
    <row r="125" customFormat="false" ht="12.75" hidden="false" customHeight="false" outlineLevel="0" collapsed="false">
      <c r="A125" s="8"/>
    </row>
    <row r="126" customFormat="false" ht="12.75" hidden="false" customHeight="false" outlineLevel="0" collapsed="false">
      <c r="A126" s="8"/>
    </row>
    <row r="127" customFormat="false" ht="12.75" hidden="false" customHeight="false" outlineLevel="0" collapsed="false">
      <c r="A127" s="8"/>
    </row>
    <row r="128" customFormat="false" ht="12.75" hidden="false" customHeight="false" outlineLevel="0" collapsed="false">
      <c r="A128" s="8"/>
    </row>
    <row r="129" customFormat="false" ht="12.75" hidden="false" customHeight="false" outlineLevel="0" collapsed="false">
      <c r="A129" s="8"/>
    </row>
    <row r="130" customFormat="false" ht="12.75" hidden="false" customHeight="false" outlineLevel="0" collapsed="false">
      <c r="A130" s="8"/>
    </row>
    <row r="131" customFormat="false" ht="12.75" hidden="false" customHeight="false" outlineLevel="0" collapsed="false">
      <c r="A131" s="8"/>
    </row>
    <row r="132" customFormat="false" ht="12.75" hidden="false" customHeight="false" outlineLevel="0" collapsed="false">
      <c r="A132" s="8"/>
    </row>
    <row r="133" customFormat="false" ht="12.75" hidden="false" customHeight="false" outlineLevel="0" collapsed="false">
      <c r="A133" s="8"/>
    </row>
    <row r="134" customFormat="false" ht="12.75" hidden="false" customHeight="false" outlineLevel="0" collapsed="false">
      <c r="A134" s="8"/>
    </row>
    <row r="135" customFormat="false" ht="12.75" hidden="false" customHeight="false" outlineLevel="0" collapsed="false">
      <c r="A135" s="8"/>
    </row>
    <row r="136" customFormat="false" ht="12.75" hidden="false" customHeight="false" outlineLevel="0" collapsed="false">
      <c r="A136" s="8"/>
    </row>
    <row r="137" customFormat="false" ht="12.75" hidden="false" customHeight="false" outlineLevel="0" collapsed="false">
      <c r="A137" s="8"/>
    </row>
    <row r="138" customFormat="false" ht="12.75" hidden="false" customHeight="false" outlineLevel="0" collapsed="false">
      <c r="A138" s="8"/>
    </row>
    <row r="139" customFormat="false" ht="12.75" hidden="false" customHeight="false" outlineLevel="0" collapsed="false">
      <c r="A139" s="8"/>
    </row>
    <row r="140" customFormat="false" ht="12.75" hidden="false" customHeight="false" outlineLevel="0" collapsed="false">
      <c r="A140" s="8"/>
    </row>
    <row r="141" customFormat="false" ht="12.75" hidden="false" customHeight="false" outlineLevel="0" collapsed="false">
      <c r="A141" s="8"/>
    </row>
    <row r="142" customFormat="false" ht="12.75" hidden="false" customHeight="false" outlineLevel="0" collapsed="false">
      <c r="A142" s="8"/>
    </row>
    <row r="143" customFormat="false" ht="12.75" hidden="false" customHeight="false" outlineLevel="0" collapsed="false">
      <c r="A143" s="8"/>
    </row>
    <row r="144" customFormat="false" ht="12.75" hidden="false" customHeight="false" outlineLevel="0" collapsed="false">
      <c r="A144" s="8"/>
    </row>
    <row r="145" customFormat="false" ht="12.75" hidden="false" customHeight="false" outlineLevel="0" collapsed="false">
      <c r="A145" s="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8"/>
    </row>
    <row r="149" customFormat="false" ht="12.75" hidden="false" customHeight="false" outlineLevel="0" collapsed="false">
      <c r="A149" s="8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8"/>
    </row>
    <row r="154" customFormat="false" ht="12.75" hidden="false" customHeight="false" outlineLevel="0" collapsed="false">
      <c r="A154" s="8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8"/>
    </row>
    <row r="157" customFormat="false" ht="12.75" hidden="false" customHeight="false" outlineLevel="0" collapsed="false">
      <c r="A157" s="8"/>
    </row>
    <row r="158" customFormat="false" ht="12.75" hidden="false" customHeight="false" outlineLevel="0" collapsed="false">
      <c r="A158" s="8"/>
    </row>
    <row r="159" customFormat="false" ht="12.75" hidden="false" customHeight="false" outlineLevel="0" collapsed="false">
      <c r="A159" s="8"/>
    </row>
    <row r="160" customFormat="false" ht="12.75" hidden="false" customHeight="false" outlineLevel="0" collapsed="false">
      <c r="A160" s="8"/>
    </row>
    <row r="161" customFormat="false" ht="12.75" hidden="false" customHeight="false" outlineLevel="0" collapsed="false">
      <c r="A161" s="8"/>
    </row>
    <row r="162" customFormat="false" ht="12.75" hidden="false" customHeight="false" outlineLevel="0" collapsed="false">
      <c r="A162" s="8"/>
    </row>
    <row r="163" customFormat="false" ht="12.75" hidden="false" customHeight="false" outlineLevel="0" collapsed="false">
      <c r="A163" s="8"/>
    </row>
    <row r="164" customFormat="false" ht="12.75" hidden="false" customHeight="false" outlineLevel="0" collapsed="false">
      <c r="A164" s="8"/>
    </row>
    <row r="165" customFormat="false" ht="12.75" hidden="false" customHeight="false" outlineLevel="0" collapsed="false">
      <c r="A165" s="8"/>
    </row>
    <row r="166" customFormat="false" ht="12.75" hidden="false" customHeight="false" outlineLevel="0" collapsed="false">
      <c r="A166" s="8"/>
    </row>
    <row r="167" customFormat="false" ht="12.75" hidden="false" customHeight="false" outlineLevel="0" collapsed="false">
      <c r="A167" s="8"/>
    </row>
    <row r="168" customFormat="false" ht="12.75" hidden="false" customHeight="false" outlineLevel="0" collapsed="false">
      <c r="A168" s="8"/>
    </row>
    <row r="169" customFormat="false" ht="12.75" hidden="false" customHeight="false" outlineLevel="0" collapsed="false">
      <c r="A169" s="8"/>
    </row>
    <row r="170" customFormat="false" ht="12.75" hidden="false" customHeight="false" outlineLevel="0" collapsed="false">
      <c r="A170" s="8"/>
    </row>
    <row r="171" customFormat="false" ht="12.75" hidden="false" customHeight="false" outlineLevel="0" collapsed="false">
      <c r="A171" s="8"/>
    </row>
    <row r="172" customFormat="false" ht="12.75" hidden="false" customHeight="false" outlineLevel="0" collapsed="false">
      <c r="A172" s="8"/>
    </row>
    <row r="173" customFormat="false" ht="12.75" hidden="false" customHeight="false" outlineLevel="0" collapsed="false">
      <c r="A173" s="8"/>
    </row>
    <row r="174" customFormat="false" ht="12.75" hidden="false" customHeight="false" outlineLevel="0" collapsed="false">
      <c r="A174" s="8"/>
    </row>
    <row r="175" customFormat="false" ht="12.75" hidden="false" customHeight="false" outlineLevel="0" collapsed="false">
      <c r="A175" s="8"/>
    </row>
    <row r="176" customFormat="false" ht="12.75" hidden="false" customHeight="false" outlineLevel="0" collapsed="false">
      <c r="A176" s="8"/>
    </row>
    <row r="177" customFormat="false" ht="12.75" hidden="false" customHeight="false" outlineLevel="0" collapsed="false">
      <c r="A177" s="8"/>
    </row>
    <row r="178" customFormat="false" ht="12.75" hidden="false" customHeight="false" outlineLevel="0" collapsed="false">
      <c r="A178" s="8"/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</sheetData>
  <mergeCells count="2">
    <mergeCell ref="A1:L1"/>
    <mergeCell ref="A2:L2"/>
  </mergeCells>
  <printOptions headings="false" gridLines="false" gridLinesSet="true" horizontalCentered="false" verticalCentered="false"/>
  <pageMargins left="0.940277777777778" right="0.747916666666667" top="0.2" bottom="0.409722222222222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8.99"/>
    <col collapsed="false" customWidth="true" hidden="false" outlineLevel="0" max="4" min="4" style="5" width="10.13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2.7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/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54" t="n">
        <v>4.88</v>
      </c>
      <c r="C5" s="55" t="n">
        <f aca="false">B5-B$7</f>
        <v>-0.1033</v>
      </c>
      <c r="D5" s="33" t="n">
        <v>0.0075</v>
      </c>
      <c r="E5" s="56" t="n">
        <v>5750</v>
      </c>
      <c r="F5" s="56" t="n">
        <f aca="false">E5*$B$9</f>
        <v>178250</v>
      </c>
      <c r="L5" s="33"/>
    </row>
    <row r="6" customFormat="false" ht="13.5" hidden="false" customHeight="false" outlineLevel="0" collapsed="false">
      <c r="A6" s="49" t="s">
        <v>81</v>
      </c>
      <c r="B6" s="54" t="n">
        <v>4.92</v>
      </c>
      <c r="C6" s="55" t="n">
        <f aca="false">B6-B$7</f>
        <v>-0.0632999999999999</v>
      </c>
      <c r="D6" s="33" t="n">
        <v>0.0125</v>
      </c>
      <c r="E6" s="56" t="n">
        <v>5750</v>
      </c>
      <c r="F6" s="56" t="n">
        <f aca="false">E6*$B$9</f>
        <v>178250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61" t="n">
        <v>4.9833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56" t="n">
        <v>31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+B15</f>
        <v>275000</v>
      </c>
      <c r="L10" s="78" t="n">
        <f aca="false">+B15</f>
        <v>275000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+D34</f>
        <v>4.9325</v>
      </c>
      <c r="L11" s="81" t="n">
        <f aca="false">+D32</f>
        <v>6.772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1356437.5</v>
      </c>
      <c r="L12" s="84" t="n">
        <f aca="false">L10*L11</f>
        <v>1862300</v>
      </c>
      <c r="M12" s="82"/>
      <c r="N12" s="72"/>
      <c r="O12" s="67"/>
    </row>
    <row r="13" customFormat="false" ht="12.75" hidden="false" customHeight="false" outlineLevel="0" collapsed="false">
      <c r="A13" s="49" t="s">
        <v>94</v>
      </c>
      <c r="B13" s="56" t="n">
        <v>275000</v>
      </c>
      <c r="G13" s="85"/>
      <c r="H13" s="62"/>
      <c r="I13" s="68"/>
      <c r="J13" s="76" t="s">
        <v>95</v>
      </c>
      <c r="K13" s="83" t="n">
        <f aca="false">+D30</f>
        <v>356134.2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/>
      <c r="B14" s="56"/>
      <c r="H14" s="62"/>
      <c r="I14" s="68"/>
      <c r="J14" s="76" t="s">
        <v>96</v>
      </c>
      <c r="K14" s="83" t="n">
        <f aca="false">K12+K13</f>
        <v>1712571.7</v>
      </c>
      <c r="L14" s="88" t="n">
        <f aca="false">L12</f>
        <v>1862300</v>
      </c>
      <c r="M14" s="89" t="n">
        <f aca="false">L14-K14</f>
        <v>149728.3</v>
      </c>
      <c r="N14" s="72"/>
      <c r="O14" s="67"/>
    </row>
    <row r="15" customFormat="false" ht="13.5" hidden="false" customHeight="false" outlineLevel="0" collapsed="false">
      <c r="A15" s="49" t="s">
        <v>97</v>
      </c>
      <c r="B15" s="90" t="n">
        <f aca="false">SUM(B13:B14)</f>
        <v>275000</v>
      </c>
      <c r="H15" s="91"/>
      <c r="I15" s="68"/>
      <c r="J15" s="92" t="s">
        <v>98</v>
      </c>
      <c r="K15" s="93" t="n">
        <f aca="false">K14/K10</f>
        <v>6.22753345454546</v>
      </c>
      <c r="L15" s="94" t="n">
        <f aca="false">L14/L10</f>
        <v>6.772</v>
      </c>
      <c r="M15" s="95" t="n">
        <f aca="false">L15-K15</f>
        <v>0.544466545454545</v>
      </c>
      <c r="N15" s="72"/>
      <c r="O15" s="67"/>
    </row>
    <row r="16" customFormat="false" ht="13.5" hidden="false" customHeight="false" outlineLevel="0" collapsed="false">
      <c r="B16" s="96"/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100" t="s">
        <v>95</v>
      </c>
      <c r="C17" s="100"/>
      <c r="D17" s="100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1" t="s">
        <v>99</v>
      </c>
      <c r="C18" s="11" t="s">
        <v>77</v>
      </c>
      <c r="D18" s="11" t="s">
        <v>78</v>
      </c>
      <c r="G18" s="54"/>
      <c r="L18" s="104" t="s">
        <v>100</v>
      </c>
      <c r="M18" s="105" t="n">
        <f aca="false">M15</f>
        <v>0.544466545454545</v>
      </c>
    </row>
    <row r="19" customFormat="false" ht="12.75" hidden="false" customHeight="false" outlineLevel="0" collapsed="false">
      <c r="A19" s="5" t="s">
        <v>101</v>
      </c>
      <c r="B19" s="54" t="n">
        <v>0</v>
      </c>
      <c r="C19" s="54" t="n">
        <v>0</v>
      </c>
      <c r="D19" s="54" t="n">
        <f aca="false">-($D$5-0)*$E$5*$B$9</f>
        <v>-1336.875</v>
      </c>
      <c r="G19" s="106"/>
      <c r="H19" s="33"/>
    </row>
    <row r="20" customFormat="false" ht="12.75" hidden="false" customHeight="false" outlineLevel="0" collapsed="false">
      <c r="A20" s="5" t="s">
        <v>102</v>
      </c>
      <c r="B20" s="106" t="n">
        <v>0</v>
      </c>
      <c r="C20" s="106" t="n">
        <v>0</v>
      </c>
      <c r="D20" s="54" t="n">
        <f aca="false">-(D6-0)*E6*B$9</f>
        <v>-2228.125</v>
      </c>
      <c r="G20" s="54"/>
      <c r="H20" s="54"/>
    </row>
    <row r="21" customFormat="false" ht="12.75" hidden="false" customHeight="false" outlineLevel="0" collapsed="false">
      <c r="A21" s="5" t="s">
        <v>103</v>
      </c>
      <c r="B21" s="54" t="n">
        <f aca="false">(B7-0)*1184*$B$9</f>
        <v>182907.0432</v>
      </c>
      <c r="C21" s="54" t="n">
        <f aca="false">(C5-0)*1184*$B$9</f>
        <v>-3791.5232</v>
      </c>
      <c r="D21" s="54" t="n">
        <v>0</v>
      </c>
      <c r="G21" s="54"/>
      <c r="H21" s="106"/>
    </row>
    <row r="22" customFormat="false" ht="12.75" hidden="false" customHeight="false" outlineLevel="0" collapsed="false">
      <c r="A22" s="5" t="s">
        <v>104</v>
      </c>
      <c r="B22" s="54" t="n">
        <f aca="false">(B7-0)*1184*$B$9</f>
        <v>182907.0432</v>
      </c>
      <c r="C22" s="54" t="n">
        <f aca="false">(C6-0)*1184*$B$9</f>
        <v>-2323.3632</v>
      </c>
      <c r="D22" s="54" t="n">
        <v>0</v>
      </c>
      <c r="H22" s="54"/>
    </row>
    <row r="23" customFormat="false" ht="12.75" hidden="false" customHeight="false" outlineLevel="0" collapsed="false">
      <c r="A23" s="5" t="s">
        <v>105</v>
      </c>
      <c r="B23" s="54" t="n">
        <f aca="false">($B$7-2)*243564</f>
        <v>726624.4812</v>
      </c>
      <c r="C23" s="54" t="n">
        <v>0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106</v>
      </c>
      <c r="B24" s="54" t="n">
        <f aca="false">-($B$7-2)*67352</f>
        <v>-200931.2216</v>
      </c>
      <c r="C24" s="54" t="n">
        <v>0</v>
      </c>
      <c r="D24" s="54" t="n">
        <v>0</v>
      </c>
    </row>
    <row r="25" customFormat="false" ht="12.75" hidden="false" customHeight="false" outlineLevel="0" collapsed="false">
      <c r="A25" s="5" t="s">
        <v>107</v>
      </c>
      <c r="B25" s="54" t="n">
        <f aca="false">-($B$7-2)*116324</f>
        <v>-347029.3892</v>
      </c>
      <c r="C25" s="54" t="n">
        <v>0</v>
      </c>
      <c r="D25" s="54" t="n">
        <v>0</v>
      </c>
      <c r="G25" s="85"/>
      <c r="H25" s="85"/>
    </row>
    <row r="26" customFormat="false" ht="12.75" hidden="false" customHeight="false" outlineLevel="0" collapsed="false">
      <c r="A26" s="5" t="s">
        <v>108</v>
      </c>
      <c r="B26" s="54" t="n">
        <f aca="false">-($B$7-2)*59888</f>
        <v>-178663.8704</v>
      </c>
      <c r="C26" s="54" t="n">
        <v>0</v>
      </c>
      <c r="D26" s="54" t="n">
        <v>0</v>
      </c>
    </row>
    <row r="27" customFormat="false" ht="12.75" hidden="false" customHeight="false" outlineLevel="0" collapsed="false">
      <c r="B27" s="85"/>
      <c r="H27" s="85"/>
    </row>
    <row r="28" customFormat="false" ht="12.75" hidden="false" customHeight="false" outlineLevel="0" collapsed="false">
      <c r="B28" s="54" t="n">
        <f aca="false">SUM(B19:B27)</f>
        <v>365814.0864</v>
      </c>
      <c r="C28" s="85" t="n">
        <f aca="false">SUM(C19:C27)</f>
        <v>-6114.8864</v>
      </c>
      <c r="D28" s="54" t="n">
        <f aca="false">SUM(D19:D26)</f>
        <v>-3565</v>
      </c>
    </row>
    <row r="30" customFormat="false" ht="12.75" hidden="false" customHeight="false" outlineLevel="0" collapsed="false">
      <c r="B30" s="5" t="s">
        <v>109</v>
      </c>
      <c r="D30" s="85" t="n">
        <f aca="false">SUM(B28:D28)</f>
        <v>356134.2</v>
      </c>
    </row>
    <row r="32" customFormat="false" ht="12.75" hidden="false" customHeight="false" outlineLevel="0" collapsed="false">
      <c r="B32" s="5" t="s">
        <v>110</v>
      </c>
      <c r="D32" s="61" t="n">
        <f aca="false">+'Customer Pricing'!L84</f>
        <v>6.772</v>
      </c>
    </row>
    <row r="34" customFormat="false" ht="12.75" hidden="false" customHeight="false" outlineLevel="0" collapsed="false">
      <c r="B34" s="5" t="s">
        <v>111</v>
      </c>
      <c r="D34" s="105" t="n">
        <v>4.9325</v>
      </c>
    </row>
  </sheetData>
  <mergeCells count="1">
    <mergeCell ref="B17:D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0.13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2.7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54" t="n">
        <v>3.74</v>
      </c>
      <c r="C5" s="55" t="n">
        <f aca="false">B5-B$7</f>
        <v>-0.18167</v>
      </c>
      <c r="D5" s="33" t="n">
        <v>0.0075</v>
      </c>
      <c r="E5" s="56" t="n">
        <v>5750</v>
      </c>
      <c r="F5" s="56" t="n">
        <f aca="false">E5*$B$9</f>
        <v>172500</v>
      </c>
      <c r="L5" s="33"/>
    </row>
    <row r="6" customFormat="false" ht="13.5" hidden="false" customHeight="false" outlineLevel="0" collapsed="false">
      <c r="A6" s="49" t="s">
        <v>81</v>
      </c>
      <c r="B6" s="54" t="n">
        <v>3.76</v>
      </c>
      <c r="C6" s="55" t="n">
        <f aca="false">B6-B$7</f>
        <v>-0.16167</v>
      </c>
      <c r="D6" s="33" t="n">
        <v>0.0125</v>
      </c>
      <c r="E6" s="56" t="n">
        <v>5750</v>
      </c>
      <c r="F6" s="56" t="n">
        <f aca="false">E6*$B$9</f>
        <v>172500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61" t="n">
        <v>3.92167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56" t="n">
        <v>30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+B15</f>
        <v>375000</v>
      </c>
      <c r="L10" s="78" t="n">
        <f aca="false">+B15</f>
        <v>375000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+D34</f>
        <v>5.423952</v>
      </c>
      <c r="L11" s="81" t="n">
        <f aca="false">+D32</f>
        <v>6.1249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2033982</v>
      </c>
      <c r="L12" s="84" t="n">
        <f aca="false">L10*L11</f>
        <v>2296837.5</v>
      </c>
      <c r="M12" s="82"/>
      <c r="N12" s="72"/>
      <c r="O12" s="67"/>
    </row>
    <row r="13" customFormat="false" ht="12.75" hidden="false" customHeight="false" outlineLevel="0" collapsed="false">
      <c r="A13" s="49" t="s">
        <v>94</v>
      </c>
      <c r="B13" s="56" t="n">
        <v>375000</v>
      </c>
      <c r="G13" s="85"/>
      <c r="H13" s="62"/>
      <c r="I13" s="68"/>
      <c r="J13" s="76" t="s">
        <v>95</v>
      </c>
      <c r="K13" s="83" t="n">
        <f aca="false">+D30</f>
        <v>262950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/>
      <c r="B14" s="56"/>
      <c r="H14" s="62"/>
      <c r="I14" s="68"/>
      <c r="J14" s="76" t="s">
        <v>96</v>
      </c>
      <c r="K14" s="83" t="n">
        <f aca="false">K12+K13</f>
        <v>2296932</v>
      </c>
      <c r="L14" s="88" t="n">
        <f aca="false">L12</f>
        <v>2296837.5</v>
      </c>
      <c r="M14" s="89" t="n">
        <f aca="false">L14-K14</f>
        <v>-94.5</v>
      </c>
      <c r="N14" s="72"/>
      <c r="O14" s="67"/>
    </row>
    <row r="15" customFormat="false" ht="13.5" hidden="false" customHeight="false" outlineLevel="0" collapsed="false">
      <c r="A15" s="49" t="s">
        <v>97</v>
      </c>
      <c r="B15" s="90" t="n">
        <f aca="false">SUM(B13:B14)</f>
        <v>375000</v>
      </c>
      <c r="H15" s="91"/>
      <c r="I15" s="68"/>
      <c r="J15" s="92" t="s">
        <v>98</v>
      </c>
      <c r="K15" s="93" t="n">
        <f aca="false">K14/K10</f>
        <v>6.125152</v>
      </c>
      <c r="L15" s="94" t="n">
        <f aca="false">L14/L10</f>
        <v>6.1249</v>
      </c>
      <c r="M15" s="95" t="n">
        <f aca="false">L15-K15</f>
        <v>-0.000251999999999697</v>
      </c>
      <c r="N15" s="72"/>
      <c r="O15" s="67"/>
    </row>
    <row r="16" customFormat="false" ht="13.5" hidden="false" customHeight="false" outlineLevel="0" collapsed="false">
      <c r="B16" s="96"/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107" t="s">
        <v>95</v>
      </c>
      <c r="C17" s="107"/>
      <c r="D17" s="107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1" t="s">
        <v>99</v>
      </c>
      <c r="C18" s="11" t="s">
        <v>77</v>
      </c>
      <c r="D18" s="11" t="s">
        <v>78</v>
      </c>
      <c r="G18" s="54"/>
      <c r="L18" s="104" t="s">
        <v>100</v>
      </c>
      <c r="M18" s="105" t="n">
        <f aca="false">M15</f>
        <v>-0.000251999999999697</v>
      </c>
    </row>
    <row r="19" customFormat="false" ht="12.75" hidden="false" customHeight="false" outlineLevel="0" collapsed="false">
      <c r="A19" s="5" t="s">
        <v>101</v>
      </c>
      <c r="B19" s="54" t="n">
        <v>0</v>
      </c>
      <c r="C19" s="54" t="n">
        <v>0</v>
      </c>
      <c r="D19" s="54" t="n">
        <f aca="false">-($D$5-0)*$E$5*$B$9</f>
        <v>-1293.75</v>
      </c>
      <c r="G19" s="106"/>
      <c r="H19" s="33"/>
    </row>
    <row r="20" customFormat="false" ht="12.75" hidden="false" customHeight="false" outlineLevel="0" collapsed="false">
      <c r="A20" s="5" t="s">
        <v>102</v>
      </c>
      <c r="B20" s="54" t="n">
        <v>0</v>
      </c>
      <c r="C20" s="106" t="n">
        <v>0</v>
      </c>
      <c r="D20" s="54" t="n">
        <f aca="false">-(D6-0)*E6*B$9</f>
        <v>-2156.25</v>
      </c>
      <c r="G20" s="54"/>
      <c r="H20" s="54"/>
    </row>
    <row r="21" customFormat="false" ht="12.75" hidden="false" customHeight="false" outlineLevel="0" collapsed="false">
      <c r="A21" s="5" t="s">
        <v>103</v>
      </c>
      <c r="B21" s="54" t="n">
        <f aca="false">(B7-0)*1184*$B$9</f>
        <v>139297.7184</v>
      </c>
      <c r="C21" s="54" t="n">
        <f aca="false">(C5-0)*1184*$B$9</f>
        <v>-6452.9184</v>
      </c>
      <c r="D21" s="54" t="n">
        <v>0</v>
      </c>
      <c r="G21" s="54"/>
      <c r="H21" s="106"/>
    </row>
    <row r="22" customFormat="false" ht="12.75" hidden="false" customHeight="false" outlineLevel="0" collapsed="false">
      <c r="A22" s="5" t="s">
        <v>104</v>
      </c>
      <c r="B22" s="54" t="n">
        <f aca="false">(B7-0)*1184*$B$9</f>
        <v>139297.7184</v>
      </c>
      <c r="C22" s="54" t="n">
        <f aca="false">(C6-0)*1184*$B$9</f>
        <v>-5742.51840000002</v>
      </c>
      <c r="D22" s="54" t="n">
        <v>0</v>
      </c>
      <c r="H22" s="54"/>
    </row>
    <row r="23" customFormat="false" ht="12.75" hidden="false" customHeight="false" outlineLevel="0" collapsed="false">
      <c r="A23" s="5" t="s">
        <v>105</v>
      </c>
      <c r="B23" s="54" t="n">
        <f aca="false">($B$7-2)*0</f>
        <v>0</v>
      </c>
      <c r="C23" s="54" t="n">
        <v>0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106</v>
      </c>
      <c r="B24" s="54" t="n">
        <f aca="false">-($B$7-2)*0</f>
        <v>-0</v>
      </c>
      <c r="C24" s="54" t="n">
        <v>0</v>
      </c>
      <c r="D24" s="54" t="n">
        <v>0</v>
      </c>
    </row>
    <row r="25" customFormat="false" ht="12.75" hidden="false" customHeight="false" outlineLevel="0" collapsed="false">
      <c r="A25" s="5" t="s">
        <v>107</v>
      </c>
      <c r="B25" s="54" t="n">
        <f aca="false">-($B$7-2)*0</f>
        <v>-0</v>
      </c>
      <c r="C25" s="54" t="n">
        <v>0</v>
      </c>
      <c r="D25" s="54" t="n">
        <v>0</v>
      </c>
      <c r="G25" s="85"/>
      <c r="H25" s="85"/>
    </row>
    <row r="26" customFormat="false" ht="12.75" hidden="false" customHeight="false" outlineLevel="0" collapsed="false">
      <c r="A26" s="5" t="s">
        <v>108</v>
      </c>
      <c r="B26" s="54" t="n">
        <f aca="false">-($B$7-2)*0</f>
        <v>-0</v>
      </c>
      <c r="C26" s="54" t="n">
        <v>0</v>
      </c>
      <c r="D26" s="54" t="n">
        <v>0</v>
      </c>
    </row>
    <row r="27" customFormat="false" ht="12.75" hidden="false" customHeight="false" outlineLevel="0" collapsed="false">
      <c r="B27" s="85"/>
      <c r="H27" s="85"/>
    </row>
    <row r="28" customFormat="false" ht="12.75" hidden="false" customHeight="false" outlineLevel="0" collapsed="false">
      <c r="B28" s="54" t="n">
        <f aca="false">SUM(B19:B27)</f>
        <v>278595.4368</v>
      </c>
      <c r="C28" s="85" t="n">
        <f aca="false">SUM(C19:C27)</f>
        <v>-12195.4368</v>
      </c>
      <c r="D28" s="54" t="n">
        <f aca="false">SUM(D19:D26)</f>
        <v>-3450</v>
      </c>
    </row>
    <row r="30" customFormat="false" ht="12.75" hidden="false" customHeight="false" outlineLevel="0" collapsed="false">
      <c r="B30" s="5" t="s">
        <v>109</v>
      </c>
      <c r="D30" s="85" t="n">
        <f aca="false">SUM(B28:D28)</f>
        <v>262950</v>
      </c>
    </row>
    <row r="32" customFormat="false" ht="12.75" hidden="false" customHeight="false" outlineLevel="0" collapsed="false">
      <c r="B32" s="5" t="s">
        <v>110</v>
      </c>
      <c r="D32" s="61" t="n">
        <f aca="false">+'Customer Pricing'!L85</f>
        <v>6.1249</v>
      </c>
    </row>
    <row r="34" customFormat="false" ht="12.75" hidden="false" customHeight="false" outlineLevel="0" collapsed="false">
      <c r="B34" s="5" t="s">
        <v>111</v>
      </c>
      <c r="D34" s="105" t="n">
        <f aca="false">(2033982/375000)</f>
        <v>5.423952</v>
      </c>
    </row>
    <row r="35" customFormat="false" ht="12.75" hidden="false" customHeight="false" outlineLevel="0" collapsed="false">
      <c r="D35" s="108"/>
    </row>
    <row r="36" customFormat="false" ht="12.75" hidden="false" customHeight="false" outlineLevel="0" collapsed="false">
      <c r="D36" s="108"/>
    </row>
  </sheetData>
  <mergeCells count="1">
    <mergeCell ref="B17:D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5" activeCellId="0" sqref="D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3.28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9.14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109" t="n">
        <v>3.19</v>
      </c>
      <c r="C5" s="55" t="n">
        <f aca="false">B5-B$7</f>
        <v>-0.15167</v>
      </c>
      <c r="D5" s="110" t="n">
        <v>0.005</v>
      </c>
      <c r="E5" s="56" t="n">
        <v>5750</v>
      </c>
      <c r="F5" s="56" t="n">
        <f aca="false">E5*$B$9</f>
        <v>178250</v>
      </c>
      <c r="L5" s="33"/>
    </row>
    <row r="6" customFormat="false" ht="13.5" hidden="false" customHeight="false" outlineLevel="0" collapsed="false">
      <c r="A6" s="49" t="s">
        <v>81</v>
      </c>
      <c r="B6" s="109" t="n">
        <v>3.2</v>
      </c>
      <c r="C6" s="55" t="n">
        <f aca="false">B6-B$7</f>
        <v>-0.14167</v>
      </c>
      <c r="D6" s="110" t="n">
        <v>0.0075</v>
      </c>
      <c r="E6" s="56" t="n">
        <v>5750</v>
      </c>
      <c r="F6" s="56" t="n">
        <f aca="false">E6*$B$9</f>
        <v>178250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111" t="n">
        <v>3.34167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112" t="n">
        <v>31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+B16</f>
        <v>387500</v>
      </c>
      <c r="L10" s="78" t="n">
        <f aca="false">+B16</f>
        <v>387500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+D35</f>
        <v>4.98409548387097</v>
      </c>
      <c r="L11" s="81" t="n">
        <f aca="false">+D33</f>
        <v>5.5832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1931337</v>
      </c>
      <c r="L12" s="84" t="n">
        <f aca="false">L10*L11</f>
        <v>2163490</v>
      </c>
      <c r="M12" s="82"/>
      <c r="N12" s="72"/>
      <c r="O12" s="67"/>
    </row>
    <row r="13" customFormat="false" ht="12.75" hidden="false" customHeight="false" outlineLevel="0" collapsed="false">
      <c r="A13" s="49"/>
      <c r="B13" s="33"/>
      <c r="G13" s="85"/>
      <c r="H13" s="62"/>
      <c r="I13" s="68"/>
      <c r="J13" s="76" t="s">
        <v>95</v>
      </c>
      <c r="K13" s="83" t="n">
        <f aca="false">+D31</f>
        <v>232310.435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 t="s">
        <v>94</v>
      </c>
      <c r="B14" s="112" t="n">
        <v>387500</v>
      </c>
      <c r="H14" s="62"/>
      <c r="I14" s="68"/>
      <c r="J14" s="76" t="s">
        <v>96</v>
      </c>
      <c r="K14" s="83" t="n">
        <f aca="false">K12+K13</f>
        <v>2163647.435</v>
      </c>
      <c r="L14" s="88" t="n">
        <f aca="false">L12</f>
        <v>2163490</v>
      </c>
      <c r="M14" s="89" t="n">
        <f aca="false">L14-K14</f>
        <v>-157.435000000056</v>
      </c>
      <c r="N14" s="72"/>
      <c r="O14" s="67"/>
    </row>
    <row r="15" customFormat="false" ht="13.5" hidden="false" customHeight="false" outlineLevel="0" collapsed="false">
      <c r="A15" s="49"/>
      <c r="B15" s="56"/>
      <c r="H15" s="91"/>
      <c r="I15" s="68"/>
      <c r="J15" s="92" t="s">
        <v>98</v>
      </c>
      <c r="K15" s="93" t="n">
        <f aca="false">K14/K10</f>
        <v>5.58360628387097</v>
      </c>
      <c r="L15" s="94" t="n">
        <f aca="false">L14/L10</f>
        <v>5.5832</v>
      </c>
      <c r="M15" s="95" t="n">
        <f aca="false">L15-K15</f>
        <v>-0.000406283870968416</v>
      </c>
      <c r="N15" s="72"/>
      <c r="O15" s="67"/>
    </row>
    <row r="16" customFormat="false" ht="13.5" hidden="false" customHeight="false" outlineLevel="0" collapsed="false">
      <c r="A16" s="49" t="s">
        <v>97</v>
      </c>
      <c r="B16" s="90" t="n">
        <f aca="false">SUM(B14:B15)</f>
        <v>387500</v>
      </c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96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07" t="s">
        <v>95</v>
      </c>
      <c r="C18" s="107"/>
      <c r="D18" s="107"/>
      <c r="G18" s="54"/>
      <c r="L18" s="104" t="s">
        <v>100</v>
      </c>
      <c r="M18" s="105" t="n">
        <f aca="false">M15</f>
        <v>-0.000406283870968416</v>
      </c>
    </row>
    <row r="19" customFormat="false" ht="12.75" hidden="false" customHeight="false" outlineLevel="0" collapsed="false">
      <c r="B19" s="11" t="s">
        <v>99</v>
      </c>
      <c r="C19" s="11" t="s">
        <v>77</v>
      </c>
      <c r="D19" s="11" t="s">
        <v>78</v>
      </c>
      <c r="G19" s="106"/>
      <c r="H19" s="33"/>
    </row>
    <row r="20" customFormat="false" ht="12.75" hidden="false" customHeight="false" outlineLevel="0" collapsed="false">
      <c r="A20" s="5" t="s">
        <v>101</v>
      </c>
      <c r="B20" s="54" t="n">
        <v>0</v>
      </c>
      <c r="C20" s="54" t="n">
        <v>0</v>
      </c>
      <c r="D20" s="54" t="n">
        <f aca="false">-($D$5-0)*$E$5*$B$9</f>
        <v>-891.25</v>
      </c>
      <c r="G20" s="54"/>
      <c r="H20" s="54"/>
    </row>
    <row r="21" customFormat="false" ht="12.75" hidden="false" customHeight="false" outlineLevel="0" collapsed="false">
      <c r="A21" s="5" t="s">
        <v>102</v>
      </c>
      <c r="B21" s="54" t="n">
        <v>0</v>
      </c>
      <c r="C21" s="106" t="n">
        <v>0</v>
      </c>
      <c r="D21" s="54" t="n">
        <f aca="false">-(D6-0)*E6*B$9</f>
        <v>-1336.875</v>
      </c>
      <c r="G21" s="54"/>
      <c r="H21" s="106"/>
    </row>
    <row r="22" customFormat="false" ht="12.75" hidden="false" customHeight="false" outlineLevel="0" collapsed="false">
      <c r="A22" s="5" t="s">
        <v>103</v>
      </c>
      <c r="B22" s="54" t="n">
        <f aca="false">(B7-0)*1184*$B$9</f>
        <v>122652.65568</v>
      </c>
      <c r="C22" s="54" t="n">
        <f aca="false">(C5-0)*1184*$B$9</f>
        <v>-5566.89568000001</v>
      </c>
      <c r="D22" s="54" t="n">
        <v>0</v>
      </c>
      <c r="H22" s="54"/>
    </row>
    <row r="23" customFormat="false" ht="12.75" hidden="false" customHeight="false" outlineLevel="0" collapsed="false">
      <c r="A23" s="5" t="s">
        <v>104</v>
      </c>
      <c r="B23" s="54" t="n">
        <f aca="false">(B7-0)*1184*$B$9</f>
        <v>122652.65568</v>
      </c>
      <c r="C23" s="54" t="n">
        <f aca="false">(C6-0)*1184*$B$9</f>
        <v>-5199.85568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105</v>
      </c>
      <c r="B24" s="54" t="n">
        <f aca="false">($B$7-2)*0</f>
        <v>0</v>
      </c>
      <c r="C24" s="54" t="n">
        <v>0</v>
      </c>
      <c r="D24" s="54" t="n">
        <v>0</v>
      </c>
    </row>
    <row r="25" customFormat="false" ht="12.75" hidden="false" customHeight="false" outlineLevel="0" collapsed="false">
      <c r="A25" s="5" t="s">
        <v>106</v>
      </c>
      <c r="B25" s="54" t="n">
        <f aca="false">-($B$7-2)*0</f>
        <v>-0</v>
      </c>
      <c r="C25" s="54" t="n">
        <v>0</v>
      </c>
      <c r="D25" s="54" t="n">
        <v>0</v>
      </c>
      <c r="G25" s="85"/>
      <c r="H25" s="85"/>
    </row>
    <row r="26" customFormat="false" ht="12.75" hidden="false" customHeight="false" outlineLevel="0" collapsed="false">
      <c r="A26" s="5" t="s">
        <v>107</v>
      </c>
      <c r="B26" s="54" t="n">
        <f aca="false">-($B$7-2)*0</f>
        <v>-0</v>
      </c>
      <c r="C26" s="54" t="n">
        <v>0</v>
      </c>
      <c r="D26" s="54" t="n">
        <v>0</v>
      </c>
    </row>
    <row r="27" customFormat="false" ht="12.75" hidden="false" customHeight="false" outlineLevel="0" collapsed="false">
      <c r="A27" s="5" t="s">
        <v>108</v>
      </c>
      <c r="B27" s="54" t="n">
        <f aca="false">-($B$7-2)*0</f>
        <v>-0</v>
      </c>
      <c r="C27" s="54" t="n">
        <v>0</v>
      </c>
      <c r="D27" s="54" t="n">
        <v>0</v>
      </c>
      <c r="H27" s="85"/>
    </row>
    <row r="28" customFormat="false" ht="12.75" hidden="false" customHeight="false" outlineLevel="0" collapsed="false">
      <c r="B28" s="85"/>
    </row>
    <row r="29" customFormat="false" ht="12.75" hidden="false" customHeight="false" outlineLevel="0" collapsed="false">
      <c r="B29" s="54" t="n">
        <f aca="false">SUM(B20:B28)</f>
        <v>245305.31136</v>
      </c>
      <c r="C29" s="85" t="n">
        <f aca="false">SUM(C20:C28)</f>
        <v>-10766.75136</v>
      </c>
      <c r="D29" s="54" t="n">
        <f aca="false">SUM(D20:D27)</f>
        <v>-2228.125</v>
      </c>
    </row>
    <row r="31" customFormat="false" ht="12.75" hidden="false" customHeight="false" outlineLevel="0" collapsed="false">
      <c r="B31" s="5" t="s">
        <v>109</v>
      </c>
      <c r="D31" s="85" t="n">
        <f aca="false">SUM(B29:D29)</f>
        <v>232310.435</v>
      </c>
    </row>
    <row r="33" customFormat="false" ht="12.75" hidden="false" customHeight="false" outlineLevel="0" collapsed="false">
      <c r="B33" s="5" t="s">
        <v>110</v>
      </c>
      <c r="D33" s="61" t="n">
        <f aca="false">+'Customer Pricing'!L86</f>
        <v>5.5832</v>
      </c>
    </row>
    <row r="35" customFormat="false" ht="12.75" hidden="false" customHeight="false" outlineLevel="0" collapsed="false">
      <c r="B35" s="5" t="s">
        <v>111</v>
      </c>
      <c r="D35" s="113" t="n">
        <f aca="false">1931337/387500</f>
        <v>4.98409548387097</v>
      </c>
    </row>
    <row r="36" customFormat="false" ht="12.75" hidden="false" customHeight="false" outlineLevel="0" collapsed="false">
      <c r="D36" s="108"/>
    </row>
    <row r="37" customFormat="false" ht="12.75" hidden="false" customHeight="false" outlineLevel="0" collapsed="false">
      <c r="D37" s="108"/>
    </row>
  </sheetData>
  <mergeCells count="1">
    <mergeCell ref="B18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3.28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9.14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109" t="n">
        <v>3.19</v>
      </c>
      <c r="C5" s="55" t="n">
        <f aca="false">B5-B$7</f>
        <v>-0.000329999999999941</v>
      </c>
      <c r="D5" s="110" t="n">
        <v>0.0025</v>
      </c>
      <c r="E5" s="56" t="n">
        <v>5750</v>
      </c>
      <c r="F5" s="56" t="n">
        <f aca="false">E5*$B$9</f>
        <v>178250</v>
      </c>
      <c r="L5" s="33"/>
    </row>
    <row r="6" customFormat="false" ht="13.5" hidden="false" customHeight="false" outlineLevel="0" collapsed="false">
      <c r="A6" s="49" t="s">
        <v>81</v>
      </c>
      <c r="B6" s="109" t="n">
        <v>3.21</v>
      </c>
      <c r="C6" s="55" t="n">
        <f aca="false">B6-B$7</f>
        <v>0.0196700000000001</v>
      </c>
      <c r="D6" s="110" t="n">
        <v>0.01</v>
      </c>
      <c r="E6" s="56" t="n">
        <v>5750</v>
      </c>
      <c r="F6" s="56" t="n">
        <f aca="false">E6*$B$9</f>
        <v>178250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111" t="n">
        <v>3.19033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112" t="n">
        <v>31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+B16</f>
        <v>387500</v>
      </c>
      <c r="L10" s="78" t="n">
        <f aca="false">+B16</f>
        <v>387500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+D35</f>
        <v>4.11342451612903</v>
      </c>
      <c r="L11" s="81" t="n">
        <f aca="false">+D33</f>
        <v>4.7612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1593952</v>
      </c>
      <c r="L12" s="84" t="n">
        <f aca="false">L10*L11</f>
        <v>1844965</v>
      </c>
      <c r="M12" s="82"/>
      <c r="N12" s="72"/>
      <c r="O12" s="67"/>
    </row>
    <row r="13" customFormat="false" ht="12.75" hidden="false" customHeight="false" outlineLevel="0" collapsed="false">
      <c r="A13" s="49"/>
      <c r="B13" s="33"/>
      <c r="G13" s="85"/>
      <c r="H13" s="62"/>
      <c r="I13" s="68"/>
      <c r="J13" s="76" t="s">
        <v>95</v>
      </c>
      <c r="K13" s="83" t="n">
        <f aca="false">+D31</f>
        <v>232677.475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 t="s">
        <v>94</v>
      </c>
      <c r="B14" s="112" t="n">
        <v>387500</v>
      </c>
      <c r="H14" s="62"/>
      <c r="I14" s="68"/>
      <c r="J14" s="76" t="s">
        <v>96</v>
      </c>
      <c r="K14" s="83" t="n">
        <f aca="false">K12+K13</f>
        <v>1826629.475</v>
      </c>
      <c r="L14" s="88" t="n">
        <f aca="false">L12</f>
        <v>1844965</v>
      </c>
      <c r="M14" s="89" t="n">
        <f aca="false">L14-K14</f>
        <v>18335.5249999997</v>
      </c>
      <c r="N14" s="72"/>
      <c r="O14" s="67"/>
    </row>
    <row r="15" customFormat="false" ht="13.5" hidden="false" customHeight="false" outlineLevel="0" collapsed="false">
      <c r="A15" s="49"/>
      <c r="B15" s="56"/>
      <c r="H15" s="91"/>
      <c r="I15" s="68"/>
      <c r="J15" s="92" t="s">
        <v>98</v>
      </c>
      <c r="K15" s="93" t="n">
        <f aca="false">K14/K10</f>
        <v>4.71388251612903</v>
      </c>
      <c r="L15" s="94" t="n">
        <f aca="false">L14/L10</f>
        <v>4.7612</v>
      </c>
      <c r="M15" s="95" t="n">
        <f aca="false">L15-K15</f>
        <v>0.0473174838709669</v>
      </c>
      <c r="N15" s="72"/>
      <c r="O15" s="67"/>
    </row>
    <row r="16" customFormat="false" ht="13.5" hidden="false" customHeight="false" outlineLevel="0" collapsed="false">
      <c r="A16" s="49" t="s">
        <v>97</v>
      </c>
      <c r="B16" s="90" t="n">
        <f aca="false">SUM(B14:B15)</f>
        <v>387500</v>
      </c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96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07" t="s">
        <v>95</v>
      </c>
      <c r="C18" s="107"/>
      <c r="D18" s="107"/>
      <c r="G18" s="54"/>
      <c r="L18" s="104" t="s">
        <v>100</v>
      </c>
      <c r="M18" s="105" t="n">
        <f aca="false">M15</f>
        <v>0.0473174838709669</v>
      </c>
    </row>
    <row r="19" customFormat="false" ht="12.75" hidden="false" customHeight="false" outlineLevel="0" collapsed="false">
      <c r="B19" s="11" t="s">
        <v>99</v>
      </c>
      <c r="C19" s="11" t="s">
        <v>77</v>
      </c>
      <c r="D19" s="11" t="s">
        <v>78</v>
      </c>
      <c r="G19" s="106"/>
      <c r="H19" s="33"/>
    </row>
    <row r="20" customFormat="false" ht="12.75" hidden="false" customHeight="false" outlineLevel="0" collapsed="false">
      <c r="A20" s="5" t="s">
        <v>101</v>
      </c>
      <c r="B20" s="54" t="n">
        <v>0</v>
      </c>
      <c r="C20" s="54" t="n">
        <v>0</v>
      </c>
      <c r="D20" s="54" t="n">
        <f aca="false">-($D$5-0)*$E$5*$B$9</f>
        <v>-445.625</v>
      </c>
      <c r="G20" s="54"/>
      <c r="H20" s="54"/>
    </row>
    <row r="21" customFormat="false" ht="12.75" hidden="false" customHeight="false" outlineLevel="0" collapsed="false">
      <c r="A21" s="5" t="s">
        <v>102</v>
      </c>
      <c r="B21" s="54" t="n">
        <v>0</v>
      </c>
      <c r="C21" s="106" t="n">
        <v>0</v>
      </c>
      <c r="D21" s="54" t="n">
        <f aca="false">-(D6-0)*E6*B$9</f>
        <v>-1782.5</v>
      </c>
      <c r="G21" s="54"/>
      <c r="H21" s="106"/>
    </row>
    <row r="22" customFormat="false" ht="12.75" hidden="false" customHeight="false" outlineLevel="0" collapsed="false">
      <c r="A22" s="5" t="s">
        <v>103</v>
      </c>
      <c r="B22" s="54" t="n">
        <f aca="false">(B7-0)*1184*$B$9</f>
        <v>117097.87232</v>
      </c>
      <c r="C22" s="54" t="n">
        <f aca="false">(C5-0)*1184*$B$9</f>
        <v>-12.1123199999979</v>
      </c>
      <c r="D22" s="54" t="n">
        <v>0</v>
      </c>
      <c r="H22" s="54"/>
    </row>
    <row r="23" customFormat="false" ht="12.75" hidden="false" customHeight="false" outlineLevel="0" collapsed="false">
      <c r="A23" s="5" t="s">
        <v>104</v>
      </c>
      <c r="B23" s="54" t="n">
        <f aca="false">(B7-0)*1184*$B$9</f>
        <v>117097.87232</v>
      </c>
      <c r="C23" s="54" t="n">
        <f aca="false">(C6-0)*1184*$B$9</f>
        <v>721.967680000003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105</v>
      </c>
      <c r="B24" s="54" t="n">
        <f aca="false">($B$7-2)*0</f>
        <v>0</v>
      </c>
      <c r="C24" s="54" t="n">
        <v>0</v>
      </c>
      <c r="D24" s="54" t="n">
        <v>0</v>
      </c>
    </row>
    <row r="25" customFormat="false" ht="12.75" hidden="false" customHeight="false" outlineLevel="0" collapsed="false">
      <c r="A25" s="5" t="s">
        <v>106</v>
      </c>
      <c r="B25" s="54" t="n">
        <f aca="false">-($B$7-2)*0</f>
        <v>-0</v>
      </c>
      <c r="C25" s="54" t="n">
        <v>0</v>
      </c>
      <c r="D25" s="54" t="n">
        <v>0</v>
      </c>
      <c r="G25" s="85"/>
      <c r="H25" s="85"/>
    </row>
    <row r="26" customFormat="false" ht="12.75" hidden="false" customHeight="false" outlineLevel="0" collapsed="false">
      <c r="A26" s="5" t="s">
        <v>107</v>
      </c>
      <c r="B26" s="54" t="n">
        <f aca="false">-($B$7-2)*0</f>
        <v>-0</v>
      </c>
      <c r="C26" s="54" t="n">
        <v>0</v>
      </c>
      <c r="D26" s="54" t="n">
        <v>0</v>
      </c>
    </row>
    <row r="27" customFormat="false" ht="12.75" hidden="false" customHeight="false" outlineLevel="0" collapsed="false">
      <c r="A27" s="5" t="s">
        <v>108</v>
      </c>
      <c r="B27" s="54" t="n">
        <f aca="false">-($B$7-2)*0</f>
        <v>-0</v>
      </c>
      <c r="C27" s="54" t="n">
        <v>0</v>
      </c>
      <c r="D27" s="54" t="n">
        <v>0</v>
      </c>
      <c r="H27" s="85"/>
    </row>
    <row r="28" customFormat="false" ht="12.75" hidden="false" customHeight="false" outlineLevel="0" collapsed="false">
      <c r="B28" s="85"/>
    </row>
    <row r="29" customFormat="false" ht="12.75" hidden="false" customHeight="false" outlineLevel="0" collapsed="false">
      <c r="B29" s="54" t="n">
        <f aca="false">SUM(B20:B28)</f>
        <v>234195.74464</v>
      </c>
      <c r="C29" s="85" t="n">
        <f aca="false">SUM(C20:C28)</f>
        <v>709.855360000005</v>
      </c>
      <c r="D29" s="54" t="n">
        <f aca="false">SUM(D20:D27)</f>
        <v>-2228.125</v>
      </c>
    </row>
    <row r="31" customFormat="false" ht="12.75" hidden="false" customHeight="false" outlineLevel="0" collapsed="false">
      <c r="B31" s="5" t="s">
        <v>109</v>
      </c>
      <c r="D31" s="85" t="n">
        <f aca="false">SUM(B29:D29)</f>
        <v>232677.475</v>
      </c>
    </row>
    <row r="33" customFormat="false" ht="12.75" hidden="false" customHeight="false" outlineLevel="0" collapsed="false">
      <c r="B33" s="5" t="s">
        <v>110</v>
      </c>
      <c r="D33" s="114" t="n">
        <f aca="false">+'Customer Pricing'!L87</f>
        <v>4.7612</v>
      </c>
    </row>
    <row r="35" customFormat="false" ht="12.75" hidden="false" customHeight="false" outlineLevel="0" collapsed="false">
      <c r="B35" s="5" t="s">
        <v>111</v>
      </c>
      <c r="D35" s="113" t="n">
        <f aca="false">1593952/387500</f>
        <v>4.11342451612903</v>
      </c>
    </row>
    <row r="36" customFormat="false" ht="12.75" hidden="false" customHeight="false" outlineLevel="0" collapsed="false">
      <c r="D36" s="108"/>
    </row>
    <row r="37" customFormat="false" ht="12.75" hidden="false" customHeight="false" outlineLevel="0" collapsed="false">
      <c r="D37" s="108"/>
    </row>
  </sheetData>
  <mergeCells count="1">
    <mergeCell ref="B18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36" activeCellId="0" sqref="D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3.28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9.14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109" t="n">
        <v>2.33</v>
      </c>
      <c r="C5" s="55" t="n">
        <f aca="false">B5-B$7</f>
        <v>-0.0880000000000001</v>
      </c>
      <c r="D5" s="110" t="n">
        <v>0</v>
      </c>
      <c r="E5" s="56" t="n">
        <v>5750</v>
      </c>
      <c r="F5" s="56" t="n">
        <f aca="false">E5*$B$9</f>
        <v>172500</v>
      </c>
      <c r="L5" s="33"/>
    </row>
    <row r="6" customFormat="false" ht="13.5" hidden="false" customHeight="false" outlineLevel="0" collapsed="false">
      <c r="A6" s="49" t="s">
        <v>81</v>
      </c>
      <c r="B6" s="109" t="n">
        <v>2.33</v>
      </c>
      <c r="C6" s="55" t="n">
        <f aca="false">B6-B$7</f>
        <v>-0.0880000000000001</v>
      </c>
      <c r="D6" s="110" t="n">
        <v>0.0025</v>
      </c>
      <c r="E6" s="56" t="n">
        <v>5750</v>
      </c>
      <c r="F6" s="56" t="n">
        <f aca="false">E6*$B$9</f>
        <v>172500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111" t="n">
        <v>2.418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112" t="n">
        <v>30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+B16</f>
        <v>375000</v>
      </c>
      <c r="L10" s="78" t="n">
        <f aca="false">+B16</f>
        <v>375000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+D35</f>
        <v>3.70595245333333</v>
      </c>
      <c r="L11" s="81" t="n">
        <f aca="false">+D33</f>
        <v>4.1462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1389732.17</v>
      </c>
      <c r="L12" s="84" t="n">
        <f aca="false">L10*L11</f>
        <v>1554825</v>
      </c>
      <c r="M12" s="82"/>
      <c r="N12" s="72"/>
      <c r="O12" s="67"/>
    </row>
    <row r="13" customFormat="false" ht="12.75" hidden="false" customHeight="false" outlineLevel="0" collapsed="false">
      <c r="A13" s="49"/>
      <c r="B13" s="33"/>
      <c r="G13" s="85"/>
      <c r="H13" s="62"/>
      <c r="I13" s="68"/>
      <c r="J13" s="76" t="s">
        <v>95</v>
      </c>
      <c r="K13" s="83" t="n">
        <f aca="false">+D31</f>
        <v>165091.95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 t="s">
        <v>94</v>
      </c>
      <c r="B14" s="112" t="n">
        <v>375000</v>
      </c>
      <c r="H14" s="62"/>
      <c r="I14" s="68"/>
      <c r="J14" s="76" t="s">
        <v>96</v>
      </c>
      <c r="K14" s="83" t="n">
        <f aca="false">K12+K13</f>
        <v>1554824.12</v>
      </c>
      <c r="L14" s="88" t="n">
        <f aca="false">L12</f>
        <v>1554825</v>
      </c>
      <c r="M14" s="89" t="n">
        <f aca="false">L14-K14</f>
        <v>0.880000000353903</v>
      </c>
      <c r="N14" s="72"/>
      <c r="O14" s="67"/>
    </row>
    <row r="15" customFormat="false" ht="13.5" hidden="false" customHeight="false" outlineLevel="0" collapsed="false">
      <c r="A15" s="49"/>
      <c r="B15" s="56"/>
      <c r="H15" s="91"/>
      <c r="I15" s="68"/>
      <c r="J15" s="92" t="s">
        <v>98</v>
      </c>
      <c r="K15" s="93" t="n">
        <f aca="false">K14/K10</f>
        <v>4.14619765333333</v>
      </c>
      <c r="L15" s="94" t="n">
        <f aca="false">L14/L10</f>
        <v>4.1462</v>
      </c>
      <c r="M15" s="95" t="n">
        <f aca="false">L15-K15</f>
        <v>2.34666666720784E-006</v>
      </c>
      <c r="N15" s="72"/>
      <c r="O15" s="67"/>
    </row>
    <row r="16" customFormat="false" ht="13.5" hidden="false" customHeight="false" outlineLevel="0" collapsed="false">
      <c r="A16" s="49" t="s">
        <v>97</v>
      </c>
      <c r="B16" s="90" t="n">
        <f aca="false">SUM(B14:B15)</f>
        <v>375000</v>
      </c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96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07" t="s">
        <v>95</v>
      </c>
      <c r="C18" s="107"/>
      <c r="D18" s="107"/>
      <c r="G18" s="54"/>
      <c r="L18" s="104" t="s">
        <v>100</v>
      </c>
      <c r="M18" s="105" t="n">
        <f aca="false">M15</f>
        <v>2.34666666720784E-006</v>
      </c>
    </row>
    <row r="19" customFormat="false" ht="12.75" hidden="false" customHeight="false" outlineLevel="0" collapsed="false">
      <c r="B19" s="11" t="s">
        <v>99</v>
      </c>
      <c r="C19" s="11" t="s">
        <v>77</v>
      </c>
      <c r="D19" s="11" t="s">
        <v>78</v>
      </c>
      <c r="G19" s="106"/>
      <c r="H19" s="33"/>
    </row>
    <row r="20" customFormat="false" ht="12.75" hidden="false" customHeight="false" outlineLevel="0" collapsed="false">
      <c r="A20" s="5" t="s">
        <v>101</v>
      </c>
      <c r="B20" s="54" t="n">
        <v>0</v>
      </c>
      <c r="C20" s="54" t="n">
        <v>0</v>
      </c>
      <c r="D20" s="54" t="n">
        <f aca="false">-($D$5-0)*$E$5*$B$9</f>
        <v>-0</v>
      </c>
      <c r="G20" s="54"/>
      <c r="H20" s="54"/>
    </row>
    <row r="21" customFormat="false" ht="12.75" hidden="false" customHeight="false" outlineLevel="0" collapsed="false">
      <c r="A21" s="5" t="s">
        <v>102</v>
      </c>
      <c r="B21" s="54" t="n">
        <v>0</v>
      </c>
      <c r="C21" s="106" t="n">
        <v>0</v>
      </c>
      <c r="D21" s="54" t="n">
        <f aca="false">-(D6-0)*E6*B$9</f>
        <v>-431.25</v>
      </c>
      <c r="G21" s="54"/>
      <c r="H21" s="106"/>
    </row>
    <row r="22" customFormat="false" ht="12.75" hidden="false" customHeight="false" outlineLevel="0" collapsed="false">
      <c r="A22" s="5" t="s">
        <v>103</v>
      </c>
      <c r="B22" s="54" t="n">
        <f aca="false">(B7-0)*1184*$B$9</f>
        <v>85887.36</v>
      </c>
      <c r="C22" s="54" t="n">
        <f aca="false">(C5-0)*1184*$B$9</f>
        <v>-3125.76</v>
      </c>
      <c r="D22" s="54" t="n">
        <v>0</v>
      </c>
      <c r="H22" s="54"/>
    </row>
    <row r="23" customFormat="false" ht="12.75" hidden="false" customHeight="false" outlineLevel="0" collapsed="false">
      <c r="A23" s="5" t="s">
        <v>104</v>
      </c>
      <c r="B23" s="54" t="n">
        <f aca="false">(B7-0)*1184*$B$9</f>
        <v>85887.36</v>
      </c>
      <c r="C23" s="54" t="n">
        <f aca="false">(C6-0)*1184*$B$9</f>
        <v>-3125.76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105</v>
      </c>
      <c r="B24" s="54" t="n">
        <f aca="false">($B$7-2)*0</f>
        <v>0</v>
      </c>
      <c r="C24" s="54" t="n">
        <v>0</v>
      </c>
      <c r="D24" s="54" t="n">
        <v>0</v>
      </c>
      <c r="J24" s="5" t="s">
        <v>113</v>
      </c>
      <c r="K24" s="5" t="s">
        <v>114</v>
      </c>
    </row>
    <row r="25" customFormat="false" ht="12.75" hidden="false" customHeight="false" outlineLevel="0" collapsed="false">
      <c r="A25" s="5" t="s">
        <v>106</v>
      </c>
      <c r="B25" s="54" t="n">
        <f aca="false">-($B$7-2)*0</f>
        <v>-0</v>
      </c>
      <c r="C25" s="54" t="n">
        <v>0</v>
      </c>
      <c r="D25" s="54" t="n">
        <v>0</v>
      </c>
      <c r="G25" s="85"/>
      <c r="H25" s="85"/>
      <c r="J25" s="115" t="n">
        <v>1.4</v>
      </c>
      <c r="K25" s="116" t="n">
        <v>-21502</v>
      </c>
    </row>
    <row r="26" customFormat="false" ht="12.75" hidden="false" customHeight="false" outlineLevel="0" collapsed="false">
      <c r="A26" s="5" t="s">
        <v>107</v>
      </c>
      <c r="B26" s="54" t="n">
        <f aca="false">-($B$7-2)*0</f>
        <v>-0</v>
      </c>
      <c r="C26" s="54" t="n">
        <v>0</v>
      </c>
      <c r="D26" s="54" t="n">
        <v>0</v>
      </c>
      <c r="J26" s="117" t="n">
        <v>1.365</v>
      </c>
      <c r="K26" s="116" t="n">
        <v>-9427.95</v>
      </c>
    </row>
    <row r="27" customFormat="false" ht="12.75" hidden="false" customHeight="false" outlineLevel="0" collapsed="false">
      <c r="A27" s="5" t="s">
        <v>108</v>
      </c>
      <c r="B27" s="54" t="n">
        <f aca="false">-($B$7-2)*0</f>
        <v>-0</v>
      </c>
      <c r="C27" s="54" t="n">
        <v>0</v>
      </c>
      <c r="D27" s="54" t="n">
        <v>0</v>
      </c>
      <c r="H27" s="85"/>
      <c r="J27" s="118" t="n">
        <f aca="false">J25-J26</f>
        <v>0.0349999999999999</v>
      </c>
      <c r="K27" s="119" t="n">
        <f aca="false">-K25+K26</f>
        <v>12074.05</v>
      </c>
    </row>
    <row r="28" customFormat="false" ht="12.75" hidden="false" customHeight="false" outlineLevel="0" collapsed="false">
      <c r="B28" s="85"/>
      <c r="J28" s="118" t="n">
        <f aca="false">J27/K27</f>
        <v>2.89877878590862E-006</v>
      </c>
      <c r="K28" s="118"/>
    </row>
    <row r="29" customFormat="false" ht="12.75" hidden="false" customHeight="false" outlineLevel="0" collapsed="false">
      <c r="B29" s="54" t="n">
        <f aca="false">SUM(B20:B28)</f>
        <v>171774.72</v>
      </c>
      <c r="C29" s="85" t="n">
        <f aca="false">SUM(C20:C28)</f>
        <v>-6251.52000000001</v>
      </c>
      <c r="D29" s="54" t="n">
        <f aca="false">SUM(D20:D27)</f>
        <v>-431.25</v>
      </c>
      <c r="J29" s="118" t="n">
        <f aca="false">J28*K26</f>
        <v>-0.0273295414546071</v>
      </c>
      <c r="K29" s="118"/>
    </row>
    <row r="31" customFormat="false" ht="12.75" hidden="false" customHeight="false" outlineLevel="0" collapsed="false">
      <c r="B31" s="5" t="s">
        <v>109</v>
      </c>
      <c r="D31" s="85" t="n">
        <f aca="false">SUM(B29:D29)</f>
        <v>165091.95</v>
      </c>
    </row>
    <row r="33" customFormat="false" ht="12.75" hidden="false" customHeight="false" outlineLevel="0" collapsed="false">
      <c r="B33" s="5" t="s">
        <v>110</v>
      </c>
      <c r="D33" s="114" t="n">
        <f aca="false">+'Customer Pricing'!L88</f>
        <v>4.1462</v>
      </c>
    </row>
    <row r="35" customFormat="false" ht="12.75" hidden="false" customHeight="false" outlineLevel="0" collapsed="false">
      <c r="B35" s="5" t="s">
        <v>111</v>
      </c>
      <c r="D35" s="113" t="n">
        <f aca="false">1389732.17/375000</f>
        <v>3.70595245333333</v>
      </c>
    </row>
    <row r="36" customFormat="false" ht="12.75" hidden="false" customHeight="false" outlineLevel="0" collapsed="false">
      <c r="D36" s="108"/>
    </row>
    <row r="37" customFormat="false" ht="12.75" hidden="false" customHeight="false" outlineLevel="0" collapsed="false">
      <c r="D37" s="108"/>
    </row>
  </sheetData>
  <mergeCells count="1">
    <mergeCell ref="B18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7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D35" activeCellId="0" sqref="D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8.56"/>
    <col collapsed="false" customWidth="true" hidden="false" outlineLevel="0" max="2" min="2" style="5" width="15.13"/>
    <col collapsed="false" customWidth="true" hidden="false" outlineLevel="0" max="3" min="3" style="5" width="9.85"/>
    <col collapsed="false" customWidth="true" hidden="false" outlineLevel="0" max="4" min="4" style="5" width="13.28"/>
    <col collapsed="false" customWidth="true" hidden="false" outlineLevel="0" max="5" min="5" style="5" width="7.56"/>
    <col collapsed="false" customWidth="true" hidden="false" outlineLevel="0" max="6" min="6" style="5" width="7.7"/>
    <col collapsed="false" customWidth="true" hidden="false" outlineLevel="0" max="7" min="7" style="5" width="2.7"/>
    <col collapsed="false" customWidth="true" hidden="false" outlineLevel="0" max="9" min="8" style="5" width="3.7"/>
    <col collapsed="false" customWidth="true" hidden="false" outlineLevel="0" max="10" min="10" style="5" width="12.7"/>
    <col collapsed="false" customWidth="true" hidden="false" outlineLevel="0" max="11" min="11" style="5" width="11.42"/>
    <col collapsed="false" customWidth="true" hidden="false" outlineLevel="0" max="12" min="12" style="5" width="12.28"/>
    <col collapsed="false" customWidth="true" hidden="false" outlineLevel="0" max="13" min="13" style="5" width="19.14"/>
    <col collapsed="false" customWidth="true" hidden="false" outlineLevel="0" max="15" min="14" style="5" width="3.7"/>
    <col collapsed="false" customWidth="false" hidden="false" outlineLevel="0" max="257" min="16" style="5" width="9.14"/>
  </cols>
  <sheetData>
    <row r="1" customFormat="false" ht="12.75" hidden="false" customHeight="false" outlineLevel="0" collapsed="false">
      <c r="A1" s="49" t="s">
        <v>73</v>
      </c>
    </row>
    <row r="2" customFormat="false" ht="12.75" hidden="false" customHeight="false" outlineLevel="0" collapsed="false">
      <c r="A2" s="49" t="s">
        <v>112</v>
      </c>
    </row>
    <row r="3" customFormat="false" ht="12.75" hidden="false" customHeight="false" outlineLevel="0" collapsed="false">
      <c r="A3" s="52"/>
      <c r="B3" s="49"/>
      <c r="C3" s="49"/>
      <c r="D3" s="49"/>
      <c r="E3" s="11" t="s">
        <v>74</v>
      </c>
      <c r="F3" s="11" t="s">
        <v>75</v>
      </c>
    </row>
    <row r="4" customFormat="false" ht="12.75" hidden="false" customHeight="false" outlineLevel="0" collapsed="false">
      <c r="A4" s="53"/>
      <c r="B4" s="11" t="s">
        <v>76</v>
      </c>
      <c r="C4" s="11" t="s">
        <v>77</v>
      </c>
      <c r="D4" s="11" t="s">
        <v>78</v>
      </c>
      <c r="E4" s="11" t="s">
        <v>79</v>
      </c>
      <c r="F4" s="11" t="s">
        <v>79</v>
      </c>
      <c r="L4" s="33"/>
    </row>
    <row r="5" customFormat="false" ht="13.5" hidden="false" customHeight="false" outlineLevel="0" collapsed="false">
      <c r="A5" s="49" t="s">
        <v>80</v>
      </c>
      <c r="B5" s="113" t="n">
        <v>1.86</v>
      </c>
      <c r="C5" s="55" t="n">
        <f aca="false">B5-B$7</f>
        <v>-0.02833</v>
      </c>
      <c r="D5" s="110" t="n">
        <v>0</v>
      </c>
      <c r="E5" s="56" t="n">
        <v>5750</v>
      </c>
      <c r="F5" s="56" t="n">
        <f aca="false">E5*$B$9</f>
        <v>178250</v>
      </c>
      <c r="L5" s="33"/>
    </row>
    <row r="6" customFormat="false" ht="13.5" hidden="false" customHeight="false" outlineLevel="0" collapsed="false">
      <c r="A6" s="49" t="s">
        <v>81</v>
      </c>
      <c r="B6" s="113" t="n">
        <v>1.86</v>
      </c>
      <c r="C6" s="55" t="n">
        <f aca="false">B6-B$7</f>
        <v>-0.02833</v>
      </c>
      <c r="D6" s="110" t="n">
        <v>0.0025</v>
      </c>
      <c r="E6" s="56" t="n">
        <v>5750</v>
      </c>
      <c r="F6" s="56" t="n">
        <f aca="false">E6*$B$9</f>
        <v>178250</v>
      </c>
      <c r="H6" s="57"/>
      <c r="I6" s="58"/>
      <c r="J6" s="58"/>
      <c r="K6" s="58"/>
      <c r="L6" s="59"/>
      <c r="M6" s="58"/>
      <c r="N6" s="58"/>
      <c r="O6" s="60"/>
    </row>
    <row r="7" customFormat="false" ht="13.5" hidden="false" customHeight="false" outlineLevel="0" collapsed="false">
      <c r="A7" s="49" t="s">
        <v>82</v>
      </c>
      <c r="B7" s="111" t="n">
        <v>1.88833</v>
      </c>
      <c r="C7" s="55"/>
      <c r="D7" s="33"/>
      <c r="E7" s="56"/>
      <c r="F7" s="33"/>
      <c r="H7" s="62"/>
      <c r="I7" s="63"/>
      <c r="J7" s="64"/>
      <c r="K7" s="64"/>
      <c r="L7" s="65"/>
      <c r="M7" s="64"/>
      <c r="N7" s="66"/>
      <c r="O7" s="67"/>
    </row>
    <row r="8" customFormat="false" ht="12.75" hidden="false" customHeight="false" outlineLevel="0" collapsed="false">
      <c r="A8" s="49"/>
      <c r="B8" s="55"/>
      <c r="C8" s="33"/>
      <c r="H8" s="62"/>
      <c r="I8" s="68"/>
      <c r="J8" s="69"/>
      <c r="K8" s="70" t="s">
        <v>83</v>
      </c>
      <c r="L8" s="70" t="s">
        <v>84</v>
      </c>
      <c r="M8" s="71"/>
      <c r="N8" s="72"/>
      <c r="O8" s="67"/>
    </row>
    <row r="9" customFormat="false" ht="12.75" hidden="false" customHeight="false" outlineLevel="0" collapsed="false">
      <c r="A9" s="49" t="s">
        <v>85</v>
      </c>
      <c r="B9" s="112" t="n">
        <v>31</v>
      </c>
      <c r="H9" s="62"/>
      <c r="I9" s="68"/>
      <c r="J9" s="73"/>
      <c r="K9" s="74" t="s">
        <v>86</v>
      </c>
      <c r="L9" s="74" t="s">
        <v>87</v>
      </c>
      <c r="M9" s="75" t="s">
        <v>88</v>
      </c>
      <c r="N9" s="72"/>
      <c r="O9" s="67"/>
    </row>
    <row r="10" customFormat="false" ht="12.75" hidden="false" customHeight="false" outlineLevel="0" collapsed="false">
      <c r="A10" s="49"/>
      <c r="B10" s="33"/>
      <c r="H10" s="62"/>
      <c r="I10" s="68"/>
      <c r="J10" s="76" t="s">
        <v>89</v>
      </c>
      <c r="K10" s="77" t="n">
        <f aca="false">+B16</f>
        <v>290625</v>
      </c>
      <c r="L10" s="78" t="n">
        <f aca="false">+B16</f>
        <v>290625</v>
      </c>
      <c r="M10" s="79"/>
      <c r="N10" s="72"/>
      <c r="O10" s="67"/>
    </row>
    <row r="11" customFormat="false" ht="12.75" hidden="false" customHeight="false" outlineLevel="0" collapsed="false">
      <c r="A11" s="49" t="s">
        <v>90</v>
      </c>
      <c r="B11" s="33" t="s">
        <v>91</v>
      </c>
      <c r="H11" s="62"/>
      <c r="I11" s="68"/>
      <c r="J11" s="76" t="s">
        <v>92</v>
      </c>
      <c r="K11" s="80" t="n">
        <f aca="false">+D35</f>
        <v>3.17672940310607</v>
      </c>
      <c r="L11" s="81" t="n">
        <f aca="false">+D33</f>
        <v>3.6096</v>
      </c>
      <c r="M11" s="82"/>
      <c r="N11" s="72"/>
      <c r="O11" s="67"/>
    </row>
    <row r="12" customFormat="false" ht="12.75" hidden="false" customHeight="false" outlineLevel="0" collapsed="false">
      <c r="A12" s="49"/>
      <c r="B12" s="33" t="s">
        <v>79</v>
      </c>
      <c r="H12" s="62"/>
      <c r="I12" s="68"/>
      <c r="J12" s="76" t="s">
        <v>93</v>
      </c>
      <c r="K12" s="83" t="n">
        <f aca="false">K10*K11</f>
        <v>923236.982777701</v>
      </c>
      <c r="L12" s="84" t="n">
        <f aca="false">L10*L11</f>
        <v>1049040</v>
      </c>
      <c r="M12" s="82"/>
      <c r="N12" s="72"/>
      <c r="O12" s="67"/>
    </row>
    <row r="13" customFormat="false" ht="12.75" hidden="false" customHeight="false" outlineLevel="0" collapsed="false">
      <c r="A13" s="49"/>
      <c r="B13" s="33"/>
      <c r="G13" s="85"/>
      <c r="H13" s="62"/>
      <c r="I13" s="68"/>
      <c r="J13" s="76" t="s">
        <v>95</v>
      </c>
      <c r="K13" s="83" t="n">
        <f aca="false">+D31</f>
        <v>136093.255</v>
      </c>
      <c r="L13" s="86" t="n">
        <v>0</v>
      </c>
      <c r="M13" s="87"/>
      <c r="N13" s="72"/>
      <c r="O13" s="67"/>
    </row>
    <row r="14" customFormat="false" ht="12.75" hidden="false" customHeight="false" outlineLevel="0" collapsed="false">
      <c r="A14" s="49" t="s">
        <v>94</v>
      </c>
      <c r="B14" s="112" t="n">
        <v>290625</v>
      </c>
      <c r="H14" s="62"/>
      <c r="I14" s="68"/>
      <c r="J14" s="76" t="s">
        <v>96</v>
      </c>
      <c r="K14" s="83" t="n">
        <f aca="false">K12+K13</f>
        <v>1059330.2377777</v>
      </c>
      <c r="L14" s="88" t="n">
        <f aca="false">L12</f>
        <v>1049040</v>
      </c>
      <c r="M14" s="89" t="n">
        <f aca="false">L14-K14</f>
        <v>-10290.2377777006</v>
      </c>
      <c r="N14" s="72"/>
      <c r="O14" s="67"/>
    </row>
    <row r="15" customFormat="false" ht="13.5" hidden="false" customHeight="false" outlineLevel="0" collapsed="false">
      <c r="A15" s="49"/>
      <c r="B15" s="56"/>
      <c r="H15" s="91"/>
      <c r="I15" s="68"/>
      <c r="J15" s="92" t="s">
        <v>98</v>
      </c>
      <c r="K15" s="93" t="n">
        <f aca="false">K14/K10</f>
        <v>3.64500726977273</v>
      </c>
      <c r="L15" s="94" t="n">
        <f aca="false">L14/L10</f>
        <v>3.6096</v>
      </c>
      <c r="M15" s="95" t="n">
        <f aca="false">L15-K15</f>
        <v>-0.0354072697727337</v>
      </c>
      <c r="N15" s="72"/>
      <c r="O15" s="67"/>
    </row>
    <row r="16" customFormat="false" ht="13.5" hidden="false" customHeight="false" outlineLevel="0" collapsed="false">
      <c r="A16" s="49" t="s">
        <v>97</v>
      </c>
      <c r="B16" s="90" t="n">
        <f aca="false">SUM(B14:B15)</f>
        <v>290625</v>
      </c>
      <c r="H16" s="62"/>
      <c r="I16" s="97"/>
      <c r="J16" s="98"/>
      <c r="K16" s="98"/>
      <c r="L16" s="98"/>
      <c r="M16" s="98"/>
      <c r="N16" s="99"/>
      <c r="O16" s="67"/>
    </row>
    <row r="17" customFormat="false" ht="13.5" hidden="false" customHeight="false" outlineLevel="0" collapsed="false">
      <c r="B17" s="96"/>
      <c r="G17" s="33"/>
      <c r="H17" s="101"/>
      <c r="I17" s="102"/>
      <c r="J17" s="102"/>
      <c r="K17" s="102"/>
      <c r="L17" s="102"/>
      <c r="M17" s="102"/>
      <c r="N17" s="102"/>
      <c r="O17" s="103"/>
    </row>
    <row r="18" customFormat="false" ht="12.75" hidden="false" customHeight="false" outlineLevel="0" collapsed="false">
      <c r="B18" s="107" t="s">
        <v>95</v>
      </c>
      <c r="C18" s="107"/>
      <c r="D18" s="107"/>
      <c r="G18" s="54"/>
      <c r="L18" s="104" t="s">
        <v>100</v>
      </c>
      <c r="M18" s="105" t="n">
        <f aca="false">M15</f>
        <v>-0.0354072697727337</v>
      </c>
    </row>
    <row r="19" customFormat="false" ht="12.75" hidden="false" customHeight="false" outlineLevel="0" collapsed="false">
      <c r="B19" s="11" t="s">
        <v>99</v>
      </c>
      <c r="C19" s="11" t="s">
        <v>77</v>
      </c>
      <c r="D19" s="11" t="s">
        <v>78</v>
      </c>
      <c r="G19" s="106"/>
      <c r="H19" s="33"/>
    </row>
    <row r="20" customFormat="false" ht="12.75" hidden="false" customHeight="false" outlineLevel="0" collapsed="false">
      <c r="A20" s="5" t="s">
        <v>101</v>
      </c>
      <c r="B20" s="54" t="n">
        <v>0</v>
      </c>
      <c r="C20" s="54" t="n">
        <v>0</v>
      </c>
      <c r="D20" s="54" t="n">
        <f aca="false">-($D$5-0)*$E$5*$B$9</f>
        <v>-0</v>
      </c>
      <c r="G20" s="54"/>
      <c r="H20" s="54"/>
    </row>
    <row r="21" customFormat="false" ht="12.75" hidden="false" customHeight="false" outlineLevel="0" collapsed="false">
      <c r="A21" s="5" t="s">
        <v>102</v>
      </c>
      <c r="B21" s="54" t="n">
        <v>0</v>
      </c>
      <c r="C21" s="106" t="n">
        <v>0</v>
      </c>
      <c r="D21" s="54" t="n">
        <f aca="false">-(D6-0)*E6*B$9</f>
        <v>-445.625</v>
      </c>
      <c r="G21" s="54"/>
      <c r="H21" s="106"/>
    </row>
    <row r="22" customFormat="false" ht="12.75" hidden="false" customHeight="false" outlineLevel="0" collapsed="false">
      <c r="A22" s="5" t="s">
        <v>103</v>
      </c>
      <c r="B22" s="54" t="n">
        <f aca="false">(B7-0)*1184*$B$9</f>
        <v>69309.26432</v>
      </c>
      <c r="C22" s="54" t="n">
        <f aca="false">(C5-0)*1184*$B$9</f>
        <v>-1039.82432</v>
      </c>
      <c r="D22" s="54" t="n">
        <v>0</v>
      </c>
      <c r="H22" s="54"/>
    </row>
    <row r="23" customFormat="false" ht="12.75" hidden="false" customHeight="false" outlineLevel="0" collapsed="false">
      <c r="A23" s="5" t="s">
        <v>104</v>
      </c>
      <c r="B23" s="54" t="n">
        <f aca="false">(B7-0)*1184*$B$9</f>
        <v>69309.26432</v>
      </c>
      <c r="C23" s="54" t="n">
        <f aca="false">(C6-0)*1184*$B$9</f>
        <v>-1039.82432</v>
      </c>
      <c r="D23" s="54" t="n">
        <v>0</v>
      </c>
      <c r="G23" s="85"/>
      <c r="H23" s="54"/>
    </row>
    <row r="24" customFormat="false" ht="12.75" hidden="false" customHeight="false" outlineLevel="0" collapsed="false">
      <c r="A24" s="5" t="s">
        <v>105</v>
      </c>
      <c r="B24" s="54" t="n">
        <f aca="false">($B$7-2)*0</f>
        <v>-0</v>
      </c>
      <c r="C24" s="54" t="n">
        <v>0</v>
      </c>
      <c r="D24" s="54" t="n">
        <v>0</v>
      </c>
      <c r="J24" s="120" t="s">
        <v>113</v>
      </c>
      <c r="K24" s="120" t="s">
        <v>115</v>
      </c>
    </row>
    <row r="25" customFormat="false" ht="12.75" hidden="false" customHeight="false" outlineLevel="0" collapsed="false">
      <c r="A25" s="5" t="s">
        <v>106</v>
      </c>
      <c r="B25" s="54" t="n">
        <f aca="false">-($B$7-2)*0</f>
        <v>0</v>
      </c>
      <c r="C25" s="54" t="n">
        <v>0</v>
      </c>
      <c r="D25" s="54" t="n">
        <v>0</v>
      </c>
      <c r="G25" s="85"/>
      <c r="H25" s="85"/>
      <c r="J25" s="121" t="n">
        <v>-0.1173</v>
      </c>
      <c r="K25" s="116" t="n">
        <v>-12744.25</v>
      </c>
      <c r="M25" s="5" t="n">
        <f aca="false">1.2688+0.0055</f>
        <v>1.2743</v>
      </c>
    </row>
    <row r="26" customFormat="false" ht="12.75" hidden="false" customHeight="false" outlineLevel="0" collapsed="false">
      <c r="A26" s="5" t="s">
        <v>107</v>
      </c>
      <c r="B26" s="54" t="n">
        <f aca="false">-($B$7-2)*0</f>
        <v>0</v>
      </c>
      <c r="C26" s="54" t="n">
        <v>0</v>
      </c>
      <c r="D26" s="54" t="n">
        <v>0</v>
      </c>
      <c r="J26" s="117" t="n">
        <v>1.3707</v>
      </c>
      <c r="K26" s="116" t="n">
        <v>-159301.42</v>
      </c>
      <c r="M26" s="5" t="n">
        <f aca="false">1.2627-0.0009+0.0194+0.0976+0.4359-0.4111-0.0329-0.0026</f>
        <v>1.3681</v>
      </c>
    </row>
    <row r="27" customFormat="false" ht="12.75" hidden="false" customHeight="false" outlineLevel="0" collapsed="false">
      <c r="A27" s="5" t="s">
        <v>108</v>
      </c>
      <c r="B27" s="54" t="n">
        <f aca="false">-($B$7-2)*0</f>
        <v>0</v>
      </c>
      <c r="C27" s="54" t="n">
        <v>0</v>
      </c>
      <c r="D27" s="54" t="n">
        <v>0</v>
      </c>
      <c r="H27" s="85"/>
      <c r="J27" s="118" t="n">
        <f aca="false">J25-J26</f>
        <v>-1.488</v>
      </c>
      <c r="K27" s="119" t="n">
        <f aca="false">-K25+K26</f>
        <v>-146557.17</v>
      </c>
    </row>
    <row r="28" customFormat="false" ht="12.75" hidden="false" customHeight="false" outlineLevel="0" collapsed="false">
      <c r="B28" s="85"/>
      <c r="J28" s="118" t="n">
        <f aca="false">J27/K27</f>
        <v>1.01530344779447E-005</v>
      </c>
      <c r="K28" s="118"/>
    </row>
    <row r="29" customFormat="false" ht="12.75" hidden="false" customHeight="false" outlineLevel="0" collapsed="false">
      <c r="B29" s="54" t="n">
        <f aca="false">SUM(B20:B28)</f>
        <v>138618.52864</v>
      </c>
      <c r="C29" s="85" t="n">
        <f aca="false">SUM(C20:C28)</f>
        <v>-2079.64864</v>
      </c>
      <c r="D29" s="54" t="n">
        <f aca="false">SUM(D20:D27)</f>
        <v>-445.625</v>
      </c>
      <c r="J29" s="118" t="n">
        <f aca="false">J28*K26</f>
        <v>-1.61739280964555</v>
      </c>
      <c r="K29" s="118"/>
    </row>
    <row r="31" customFormat="false" ht="12.75" hidden="false" customHeight="false" outlineLevel="0" collapsed="false">
      <c r="B31" s="5" t="s">
        <v>109</v>
      </c>
      <c r="D31" s="85" t="n">
        <f aca="false">SUM(B29:D29)</f>
        <v>136093.255</v>
      </c>
    </row>
    <row r="33" customFormat="false" ht="12.75" hidden="false" customHeight="false" outlineLevel="0" collapsed="false">
      <c r="B33" s="5" t="s">
        <v>110</v>
      </c>
      <c r="D33" s="114" t="n">
        <f aca="false">+'Customer Pricing'!L89</f>
        <v>3.6096</v>
      </c>
    </row>
    <row r="35" customFormat="false" ht="12.75" hidden="false" customHeight="false" outlineLevel="0" collapsed="false">
      <c r="B35" s="5" t="s">
        <v>111</v>
      </c>
      <c r="D35" s="113" t="n">
        <f aca="false">1191298.94/375008</f>
        <v>3.17672940310607</v>
      </c>
    </row>
    <row r="36" customFormat="false" ht="12.75" hidden="false" customHeight="false" outlineLevel="0" collapsed="false">
      <c r="D36" s="108"/>
    </row>
    <row r="37" customFormat="false" ht="12.75" hidden="false" customHeight="false" outlineLevel="0" collapsed="false">
      <c r="D37" s="108"/>
    </row>
  </sheetData>
  <mergeCells count="1">
    <mergeCell ref="B18:D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1998-04-08T18:00:15Z</dcterms:created>
  <dc:creator>Lake, Romona D.</dc:creator>
  <dc:description/>
  <dc:language>en-US</dc:language>
  <cp:lastModifiedBy>Alejandra Chavez</cp:lastModifiedBy>
  <cp:lastPrinted>2001-01-08T14:20:26Z</cp:lastPrinted>
  <dcterms:modified xsi:type="dcterms:W3CDTF">2001-11-13T14:44:21Z</dcterms:modified>
  <cp:revision>0</cp:revision>
  <dc:subject/>
  <dc:title/>
</cp:coreProperties>
</file>