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s" sheetId="1" state="visible" r:id="rId3"/>
    <sheet name="assumptions" sheetId="2" state="visible" r:id="rId4"/>
    <sheet name="loan" sheetId="3" state="visible" r:id="rId5"/>
    <sheet name="DCF" sheetId="4" state="visible" r:id="rId6"/>
    <sheet name="EARNINGS" sheetId="5" state="visible" r:id="rId7"/>
    <sheet name="revenues" sheetId="6" state="visible" r:id="rId8"/>
  </sheets>
  <externalReferences>
    <externalReference r:id="rId9"/>
    <externalReference r:id="rId10"/>
  </externalReferences>
  <definedNames>
    <definedName function="false" hidden="false" localSheetId="1" name="_xlnm.Print_Area" vbProcedure="false">assumptions!$A$1:$V$48</definedName>
    <definedName function="false" hidden="false" localSheetId="2" name="_xlnm.Print_Area" vbProcedure="false">loan!$A$1:$M$15</definedName>
    <definedName function="false" hidden="false" localSheetId="2" name="_xlnm.Print_Titles" vbProcedure="false">loan!$A:$B,loan!$1:$3</definedName>
    <definedName function="false" hidden="false" localSheetId="5" name="_xlnm.Print_Area" vbProcedure="false">revenues!$A$1:$S$61</definedName>
    <definedName function="false" hidden="false" name="AVG" vbProcedure="false">#REF!</definedName>
    <definedName function="false" hidden="false" name="AVGLIFE" vbProcedure="false">#REF!</definedName>
    <definedName function="false" hidden="false" name="bin" vbProcedure="false">#REF!</definedName>
    <definedName function="false" hidden="false" name="Bscrptold" vbProcedure="false">{#N/A,#N/A,FALSE,"Valuation";#N/A,#N/A,FALSE,"Inputs";#N/A,#N/A,FALSE,"Financial Statements";#N/A,#N/A,FALSE,"MLP Impact";#N/A,#N/A,FALSE,"Revenues"}</definedName>
    <definedName function="false" hidden="false" name="CapPrice" vbProcedure="false">#REF!</definedName>
    <definedName function="false" hidden="false" name="CapPrice_Initial" vbProcedure="false">#REF!</definedName>
    <definedName function="false" hidden="false" name="CapPrice_Prior" vbProcedure="false">#REF!</definedName>
    <definedName function="false" hidden="false" name="CapPrice_PV_Fees" vbProcedure="false">#REF!</definedName>
    <definedName function="false" hidden="false" name="CapPrice_PV_Ongoing" vbProcedure="false">#REF!</definedName>
    <definedName function="false" hidden="false" name="CapPrice_PV_Outflows" vbProcedure="false">#REF!</definedName>
    <definedName function="false" hidden="false" name="CapPrice_PV_Tot" vbProcedure="false">#REF!</definedName>
    <definedName function="false" hidden="false" name="CapPrice_PV_TV" vbProcedure="false">#REF!</definedName>
    <definedName function="false" hidden="false" name="compltold" vbProcedure="false">{#N/A,#N/A,FALSE,"VOLUMES";#N/A,#N/A,FALSE,"REVENUES";#N/A,#N/A,FALSE,"VALUATION"}</definedName>
    <definedName function="false" hidden="false" name="Countryprem" vbProcedure="false">#REF!</definedName>
    <definedName function="false" hidden="false" name="Credit" vbProcedure="false">#REF!</definedName>
    <definedName function="false" hidden="false" name="Deal_Name" vbProcedure="false">#REF!</definedName>
    <definedName function="false" hidden="false" name="ECashFlow" vbProcedure="false">#REF!</definedName>
    <definedName function="false" hidden="false" name="EqPrem" vbProcedure="false">#REF!</definedName>
    <definedName function="false" hidden="false" name="ESTQVAR" vbProcedure="false">#REF!</definedName>
    <definedName function="false" hidden="false" name="EXCESSRETURN" vbProcedure="false">#REF!</definedName>
    <definedName function="false" hidden="false" name="exitdatecalc" vbProcedure="false">#REF!</definedName>
    <definedName function="false" hidden="false" name="Expected_Exit_Year" vbProcedure="false">#REF!</definedName>
    <definedName function="false" hidden="false" name="FEES_CUM" vbProcedure="false">#REF!</definedName>
    <definedName function="false" hidden="false" name="INFLOWS" vbProcedure="false">#REF!</definedName>
    <definedName function="false" hidden="false" name="IRRbin" vbProcedure="false">#REF!</definedName>
    <definedName function="false" hidden="false" name="IRRDates" vbProcedure="false">#REF!</definedName>
    <definedName function="false" hidden="false" name="IRRERR" vbProcedure="false">#REF!</definedName>
    <definedName function="false" hidden="false" name="IRREXP" vbProcedure="false">#REF!</definedName>
    <definedName function="false" hidden="false" name="IRRP5" vbProcedure="false">#REF!</definedName>
    <definedName function="false" hidden="false" name="IRRP95" vbProcedure="false">#REF!</definedName>
    <definedName function="false" hidden="false" name="IRRs" vbProcedure="false">#REF!</definedName>
    <definedName function="false" hidden="false" name="IRRSKEWNESS" vbProcedure="false">#REF!</definedName>
    <definedName function="false" hidden="false" name="IRRSTD" vbProcedure="false">#REF!</definedName>
    <definedName function="false" hidden="false" name="IRR_Cum_Fees" vbProcedure="false">#REF!</definedName>
    <definedName function="false" hidden="false" name="IRR_Cum_Ongoing" vbProcedure="false">#REF!</definedName>
    <definedName function="false" hidden="false" name="IRR_Cum_Total" vbProcedure="false">#REF!</definedName>
    <definedName function="false" hidden="false" name="IRR_Cum_TV" vbProcedure="false">#REF!</definedName>
    <definedName function="false" hidden="false" name="IRR_EXPECTED" vbProcedure="false">#REF!</definedName>
    <definedName function="false" hidden="false" name="IRR_NPV" vbProcedure="false">#REF!</definedName>
    <definedName function="false" hidden="false" name="IRR_PV" vbProcedure="false">#REF!</definedName>
    <definedName function="false" hidden="false" name="Leg_Description" vbProcedure="false">#REF!</definedName>
    <definedName function="false" hidden="false" name="Margin" vbProcedure="false">#REF!</definedName>
    <definedName function="false" hidden="false" name="Model" vbProcedure="false">#REF!</definedName>
    <definedName function="false" hidden="false" name="N" vbProcedure="false">#REF!</definedName>
    <definedName function="false" hidden="false" name="NPVCOV" vbProcedure="false">#REF!</definedName>
    <definedName function="false" hidden="false" name="NPVEXPP5" vbProcedure="false">#REF!</definedName>
    <definedName function="false" hidden="false" name="NPVEXPP95" vbProcedure="false">#REF!</definedName>
    <definedName function="false" hidden="false" name="NPVKURTOSIS" vbProcedure="false">#REF!</definedName>
    <definedName function="false" hidden="false" name="NPVRf" vbProcedure="false">#REF!</definedName>
    <definedName function="false" hidden="false" name="NPVRFEXP" vbProcedure="false">#REF!</definedName>
    <definedName function="false" hidden="false" name="NPVRFP5" vbProcedure="false">#REF!</definedName>
    <definedName function="false" hidden="false" name="NPVRFP95" vbProcedure="false">#REF!</definedName>
    <definedName function="false" hidden="false" name="NPVRfSP" vbProcedure="false">#REF!</definedName>
    <definedName function="false" hidden="false" name="NPVRFSTD" vbProcedure="false">#REF!</definedName>
    <definedName function="false" hidden="false" name="NPVSKEWNESS" vbProcedure="false">#REF!</definedName>
    <definedName function="false" hidden="false" name="NPV_RACCapPrice" vbProcedure="false">#REF!</definedName>
    <definedName function="false" hidden="false" name="NPV_Rf_SP_Eq_Sec_avg" vbProcedure="false">#REF!</definedName>
    <definedName function="false" hidden="false" name="NPV_Rf_SP_Eq_Sec_Cr_avg" vbProcedure="false">#REF!</definedName>
    <definedName function="false" hidden="false" name="ONGOING_CUM" vbProcedure="false">#REF!</definedName>
    <definedName function="false" hidden="false" name="Other" vbProcedure="false">#REF!</definedName>
    <definedName function="false" hidden="false" name="OTHER_RAV" vbProcedure="false">#REF!</definedName>
    <definedName function="false" hidden="false" name="OUTFLOWS" vbProcedure="false">#REF!</definedName>
    <definedName function="false" hidden="false" name="outstanding" vbProcedure="false">#REF!</definedName>
    <definedName function="false" hidden="false" name="PEXP" vbProcedure="false">#REF!</definedName>
    <definedName function="false" hidden="false" name="PHI" vbProcedure="false">#REF!</definedName>
    <definedName function="false" hidden="false" name="PIEXP" vbProcedure="false">#REF!</definedName>
    <definedName function="false" hidden="false" name="PIHI" vbProcedure="false">#REF!</definedName>
    <definedName function="false" hidden="false" name="PILO" vbProcedure="false">#REF!</definedName>
    <definedName function="false" hidden="false" name="PLO" vbProcedure="false">#REF!</definedName>
    <definedName function="false" hidden="false" name="prtallold1" vbProcedure="false">{#N/A,#N/A,FALSE,"Valuation";#N/A,#N/A,FALSE,"Financial Statements";#N/A,#N/A,FALSE,"MLP Impact";#N/A,#N/A,FALSE,"Inputs";#N/A,#N/A,FALSE,"Contracts";#N/A,#N/A,FALSE,"Financing";#N/A,#N/A,FALSE,"Depreciation";#N/A,#N/A,FALSE,"Income Taxes";#N/A,#N/A,FALSE,"Revenues"}</definedName>
    <definedName function="false" hidden="false" name="Prtnold" vbProcedure="false">{#N/A,#N/A,FALSE,"Valuation";#N/A,#N/A,FALSE,"Financial Statements";#N/A,#N/A,FALSE,"MLP Impact";#N/A,#N/A,FALSE,"Inputs";#N/A,#N/A,FALSE,"Contracts";#N/A,#N/A,FALSE,"Financing";#N/A,#N/A,FALSE,"Depreciation";#N/A,#N/A,FALSE,"Income Taxes";#N/A,#N/A,FALSE,"Revenues"}</definedName>
    <definedName function="false" hidden="false" name="PVCapPrice" vbProcedure="false">#REF!</definedName>
    <definedName function="false" hidden="false" name="PVCr" vbProcedure="false">#REF!</definedName>
    <definedName function="false" hidden="false" name="PVEq" vbProcedure="false">#REF!</definedName>
    <definedName function="false" hidden="false" name="PVMargin" vbProcedure="false">#REF!</definedName>
    <definedName function="false" hidden="false" name="PVRf" vbProcedure="false">#REF!</definedName>
    <definedName function="false" hidden="false" name="PVRfSP" vbProcedure="false">#REF!</definedName>
    <definedName function="false" hidden="false" name="PVUn" vbProcedure="false">#REF!</definedName>
    <definedName function="false" hidden="false" name="PV_RACCapPrice" vbProcedure="false">#REF!</definedName>
    <definedName function="false" hidden="false" name="PV_Rf_SP_avg" vbProcedure="false">#REF!</definedName>
    <definedName function="false" hidden="false" name="PV_Rf_SP_Eq_Sect_avg" vbProcedure="false">#REF!</definedName>
    <definedName function="false" hidden="false" name="PV_Rf_SP_Eq_Sec_avg" vbProcedure="false">#REF!</definedName>
    <definedName function="false" hidden="false" name="PV_Rf_SP_Eq_Sec_Cr_avg" vbProcedure="false">#REF!</definedName>
    <definedName function="false" hidden="false" name="RACCapPrice" vbProcedure="false">#REF!</definedName>
    <definedName function="false" hidden="false" name="RADR" vbProcedure="false">#REF!</definedName>
    <definedName function="false" hidden="false" name="RAROCINDP10" vbProcedure="false">#REF!</definedName>
    <definedName function="false" hidden="false" name="RAV" vbProcedure="false">#REF!</definedName>
    <definedName function="false" hidden="false" name="rho" vbProcedure="false">#REF!</definedName>
    <definedName function="false" hidden="false" name="RISKPREMIUM" vbProcedure="false">#REF!</definedName>
    <definedName function="false" hidden="false" name="Run_file" vbProcedure="false">#REF!</definedName>
    <definedName function="false" hidden="false" name="Sector" vbProcedure="false">#REF!</definedName>
    <definedName function="false" hidden="false" name="SHARPEINDEX" vbProcedure="false">#REF!</definedName>
    <definedName function="false" hidden="false" name="ShiftCapPrice" vbProcedure="false">#REF!</definedName>
    <definedName function="false" hidden="false" name="ShiftCP" vbProcedure="false">#REF!</definedName>
    <definedName function="false" hidden="false" name="ShiftSwitch3" vbProcedure="false">#REF!</definedName>
    <definedName function="false" hidden="false" name="StgcPrice" vbProcedure="false">#REF!</definedName>
    <definedName function="false" hidden="false" name="switch" vbProcedure="false">#REF!</definedName>
    <definedName function="false" hidden="false" name="Template_file" vbProcedure="false">#REF!</definedName>
    <definedName function="false" hidden="false" name="TERMINAL_CUM" vbProcedure="false">#REF!</definedName>
    <definedName function="false" hidden="false" name="test" vbProcedure="false">{#N/A,#N/A,FALSE,"Valuation";#N/A,#N/A,FALSE,"MLP Impact"}</definedName>
    <definedName function="false" hidden="false" name="test2" vbProcedure="false">{"Income Statement",#N/A,FALSE,"CFMODEL";"Balance Sheet",#N/A,FALSE,"CFMODEL"}</definedName>
    <definedName function="false" hidden="false" name="test3" vbProcedure="false">{"Income Statement",#N/A,FALSE,"CFMODEL";"Balance Sheet",#N/A,FALSE,"CFMODEL"}</definedName>
    <definedName function="false" hidden="false" name="tst" vbProcedure="false">{"Income Statement",#N/A,FALSE,"CFMODEL";"Balance Sheet",#N/A,FALSE,"CFMODEL"}</definedName>
    <definedName function="false" hidden="false" name="tst2" vbProcedure="false">{"SourcesUses",#N/A,TRUE,"CFMODEL";"TransOverview",#N/A,TRUE,"CFMODEL"}</definedName>
    <definedName function="false" hidden="false" name="tst3" vbProcedure="false">{"SourcesUses",#N/A,TRUE,#N/A;"TransOverview",#N/A,TRUE,"CFMODEL"}</definedName>
    <definedName function="false" hidden="false" name="tst4" vbProcedure="false">{"SourcesUses",#N/A,TRUE,"FundsFlow";"TransOverview",#N/A,TRUE,"FundsFlow"}</definedName>
    <definedName function="false" hidden="false" name="UNDISCOUNTED" vbProcedure="false">#REF!</definedName>
    <definedName function="false" hidden="false" name="UNDISCOUNTED_NPV" vbProcedure="false">#REF!</definedName>
    <definedName function="false" hidden="false" name="UNDISCOUNTED_PV" vbProcedure="false">#REF!</definedName>
    <definedName function="false" hidden="false" name="ValDate" vbProcedure="false">#REF!</definedName>
    <definedName function="false" hidden="false" name="ValDateLocal" vbProcedure="false">#REF!</definedName>
    <definedName function="false" hidden="false" name="VDATE" vbProcedure="false">#REF!</definedName>
    <definedName function="false" hidden="false" name="WAVGRF" vbProcedure="false">#REF!</definedName>
    <definedName function="false" hidden="false" name="WAVGRF_NPV" vbProcedure="false">#REF!</definedName>
    <definedName function="false" hidden="false" name="WAVGRF_PV" vbProcedure="false">#REF!</definedName>
    <definedName function="false" hidden="false" name="wrn_Basic___Print___Value___MLP_" vbProcedure="false">{#N/A,#N/A,FALSE,"Valuation";#N/A,#N/A,FALSE,"MLP Impact"}</definedName>
    <definedName function="false" hidden="false" name="wrn_Basic___Report_" vbProcedure="false">{#N/A,#N/A,FALSE,"Valuation";#N/A,#N/A,FALSE,"Inputs";#N/A,#N/A,FALSE,"Financial Statements";#N/A,#N/A,FALSE,"MLP Impact";#N/A,#N/A,FALSE,"Revenues"}</definedName>
    <definedName function="false" hidden="false" name="wrn_COMPLETE_" vbProcedure="false">{#N/A,#N/A,FALSE,"VOLUMES";#N/A,#N/A,FALSE,"REVENUES";#N/A,#N/A,FALSE,"VALUATION"}</definedName>
    <definedName function="false" hidden="false" name="wrn_Print___All_" vbProcedure="false">{#N/A,#N/A,FALSE,"Valuation";#N/A,#N/A,FALSE,"Financial Statements";#N/A,#N/A,FALSE,"MLP Impact";#N/A,#N/A,FALSE,"Inputs";#N/A,#N/A,FALSE,"Contracts";#N/A,#N/A,FALSE,"Financing";#N/A,#N/A,FALSE,"Depreciation";#N/A,#N/A,FALSE,"Income Taxes";#N/A,#N/A,FALSE,"Revenues"}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name="_Order1" vbProcedure="false">255</definedName>
    <definedName function="false" hidden="false" name="_Order2" vbProcedure="false">0</definedName>
    <definedName function="false" hidden="false" name="_Table2_In1" vbProcedure="false">DCF!$B$68</definedName>
    <definedName function="false" hidden="false" name="_Table2_In2" vbProcedure="false">DCF!$C$19</definedName>
    <definedName function="false" hidden="false" name="_Table2_Out" vbProcedure="false">DCF!$C$72:$D$75</definedName>
    <definedName function="false" hidden="false" localSheetId="0" name="ZA0" vbProcedure="false">"Crystal Ball Data : Ver. 4.0.3"</definedName>
    <definedName function="false" hidden="false" localSheetId="0" name="ZA0A" vbProcedure="false">1+103</definedName>
    <definedName function="false" hidden="false" localSheetId="0" name="ZA0C" vbProcedure="false">0+0</definedName>
    <definedName function="false" hidden="false" localSheetId="0" name="ZA0D" vbProcedure="false">0+0</definedName>
    <definedName function="false" hidden="false" localSheetId="0" name="ZA0F" vbProcedure="false">0+0</definedName>
    <definedName function="false" hidden="false" localSheetId="0" name="ZA0T" vbProcedure="false">23058921+0</definedName>
    <definedName function="false" hidden="false" localSheetId="0" name="ZA102" vbProcedure="false">inputs!$B$19+"aMonthly Storage Rate"+553+0.11+0.0075</definedName>
    <definedName function="false" hidden="false" localSheetId="1" name="ZA0" vbProcedure="false">"Crystal Ball Data : Ver. 5.1"</definedName>
    <definedName function="false" hidden="false" localSheetId="1" name="ZA0A" vbProcedure="false">20+119</definedName>
    <definedName function="false" hidden="false" localSheetId="1" name="ZA0C" vbProcedure="false">0+0</definedName>
    <definedName function="false" hidden="false" localSheetId="1" name="ZA0D" vbProcedure="false">0+0</definedName>
    <definedName function="false" hidden="false" localSheetId="1" name="ZA0F" vbProcedure="false">0+0</definedName>
    <definedName function="false" hidden="false" localSheetId="1" name="ZA0T" vbProcedure="false">12712499+0</definedName>
    <definedName function="false" hidden="false" localSheetId="1" name="ZA100" vbProcedure="false">assumptions!$C$32+"AC36"+16389+0.9+0.02+"-"+"+"</definedName>
    <definedName function="false" hidden="false" localSheetId="1" name="ZA101" vbProcedure="false">assumptions!$D$32+"AD36"+16389+0.9+0.02+"-"+"+"</definedName>
    <definedName function="false" hidden="false" localSheetId="1" name="ZA102" vbProcedure="false">assumptions!$E$32+"AE36"+16389+0.9+0.02+"-"+"+"</definedName>
    <definedName function="false" hidden="false" localSheetId="1" name="ZA103" vbProcedure="false">assumptions!$F$32+"AF36"+16389+0.9+0.02+"-"+"+"</definedName>
    <definedName function="false" hidden="false" localSheetId="1" name="ZA104" vbProcedure="false">assumptions!$G$32+"AG36"+16389+0.9+0.02+"-"+"+"</definedName>
    <definedName function="false" hidden="false" localSheetId="1" name="ZA105" vbProcedure="false">assumptions!$H$32+"AH36"+16389+0.9+0.02+"-"+"+"</definedName>
    <definedName function="false" hidden="false" localSheetId="1" name="ZA106" vbProcedure="false">assumptions!$I$32+"AI36"+16389+0.9+0.02+"-"+"+"</definedName>
    <definedName function="false" hidden="false" localSheetId="1" name="ZA107" vbProcedure="false">assumptions!$J$32+"AJ36"+16389+0.9+0.02+"-"+"+"</definedName>
    <definedName function="false" hidden="false" localSheetId="1" name="ZA108" vbProcedure="false">assumptions!$K$32+"AK36"+16389+0.9+0.02+"-"+"+"</definedName>
    <definedName function="false" hidden="false" localSheetId="1" name="ZA109" vbProcedure="false">assumptions!$L$32+"AL36"+16389+0.9+0.02+"-"+"+"</definedName>
    <definedName function="false" hidden="false" localSheetId="1" name="ZA110" vbProcedure="false">assumptions!$M$32+"AM36"+16389+0.9+0.02+"-"+"+"</definedName>
    <definedName function="false" hidden="false" localSheetId="1" name="ZA111" vbProcedure="false">assumptions!$N$32+"AN36"+16389+0.9+0.02+"-"+"+"</definedName>
    <definedName function="false" hidden="false" localSheetId="1" name="ZA112" vbProcedure="false">assumptions!$O$32+"AO36"+16389+0.9+0.02+"-"+"+"</definedName>
    <definedName function="false" hidden="false" localSheetId="1" name="ZA113" vbProcedure="false">assumptions!$P$32+"AP36"+16389+0.9+0.02+"-"+"+"</definedName>
    <definedName function="false" hidden="false" localSheetId="1" name="ZA114" vbProcedure="false">assumptions!$Q$32+"AQ36"+16389+0.9+0.02+"-"+"+"</definedName>
    <definedName function="false" hidden="false" localSheetId="1" name="ZA115" vbProcedure="false">assumptions!$R$32+"AR36"+16389+0.9+0.02+"-"+"+"</definedName>
    <definedName function="false" hidden="false" localSheetId="1" name="ZA116" vbProcedure="false">assumptions!$S$32+"AS36"+16389+0.9+0.02+"-"+"+"</definedName>
    <definedName function="false" hidden="false" localSheetId="1" name="ZA117" vbProcedure="false">assumptions!$T$32+"AT36"+16389+0.9+0.02+"-"+"+"</definedName>
    <definedName function="false" hidden="false" localSheetId="1" name="ZA118" vbProcedure="false">assumptions!$U$32+"AU36"+16389+0.9+0.02+"-"+"+"</definedName>
    <definedName function="false" hidden="false" localSheetId="1" name="ZA119" vbProcedure="false">assumptions!$V$32+"AV36"+16389+0.9+0.02+"-"+"+"</definedName>
    <definedName function="false" hidden="false" localSheetId="2" name="solver_adj" vbProcedure="false">#REF!</definedName>
    <definedName function="false" hidden="false" localSheetId="2" name="solver_cvg" vbProcedure="false">0.001</definedName>
    <definedName function="false" hidden="false" localSheetId="2" name="solver_drv" vbProcedure="false">1</definedName>
    <definedName function="false" hidden="false" localSheetId="2" name="solver_est" vbProcedure="false">1</definedName>
    <definedName function="false" hidden="false" localSheetId="2" name="solver_itr" vbProcedure="false">100</definedName>
    <definedName function="false" hidden="false" localSheetId="2" name="solver_lhs1" vbProcedure="false">#REF!</definedName>
    <definedName function="false" hidden="false" localSheetId="2" name="solver_lhs10" vbProcedure="false">#REF!</definedName>
    <definedName function="false" hidden="false" localSheetId="2" name="solver_lhs11" vbProcedure="false">#REF!</definedName>
    <definedName function="false" hidden="false" localSheetId="2" name="solver_lhs12" vbProcedure="false">#REF!</definedName>
    <definedName function="false" hidden="false" localSheetId="2" name="solver_lhs13" vbProcedure="false">#REF!</definedName>
    <definedName function="false" hidden="false" localSheetId="2" name="solver_lhs14" vbProcedure="false">#REF!</definedName>
    <definedName function="false" hidden="false" localSheetId="2" name="solver_lhs15" vbProcedure="false">#REF!</definedName>
    <definedName function="false" hidden="false" localSheetId="2" name="solver_lhs16" vbProcedure="false">#REF!</definedName>
    <definedName function="false" hidden="false" localSheetId="2" name="solver_lhs17" vbProcedure="false">#REF!</definedName>
    <definedName function="false" hidden="false" localSheetId="2" name="solver_lhs18" vbProcedure="false">#REF!</definedName>
    <definedName function="false" hidden="false" localSheetId="2" name="solver_lhs19" vbProcedure="false">#REF!</definedName>
    <definedName function="false" hidden="false" localSheetId="2" name="solver_lhs2" vbProcedure="false">#REF!</definedName>
    <definedName function="false" hidden="false" localSheetId="2" name="solver_lhs20" vbProcedure="false">#REF!</definedName>
    <definedName function="false" hidden="false" localSheetId="2" name="solver_lhs21" vbProcedure="false">loan!$X$4</definedName>
    <definedName function="false" hidden="false" localSheetId="2" name="solver_lhs3" vbProcedure="false">#REF!</definedName>
    <definedName function="false" hidden="false" localSheetId="2" name="solver_lhs4" vbProcedure="false">#REF!</definedName>
    <definedName function="false" hidden="false" localSheetId="2" name="solver_lhs5" vbProcedure="false">#REF!</definedName>
    <definedName function="false" hidden="false" localSheetId="2" name="solver_lhs6" vbProcedure="false">#REF!</definedName>
    <definedName function="false" hidden="false" localSheetId="2" name="solver_lhs7" vbProcedure="false">#REF!</definedName>
    <definedName function="false" hidden="false" localSheetId="2" name="solver_lhs8" vbProcedure="false">#REF!</definedName>
    <definedName function="false" hidden="false" localSheetId="2" name="solver_lhs9" vbProcedure="false">#REF!</definedName>
    <definedName function="false" hidden="false" localSheetId="2" name="solver_lin" vbProcedure="false">2</definedName>
    <definedName function="false" hidden="false" localSheetId="2" name="solver_neg" vbProcedure="false">2</definedName>
    <definedName function="false" hidden="false" localSheetId="2" name="solver_num" vbProcedure="false">20</definedName>
    <definedName function="false" hidden="false" localSheetId="2" name="solver_nwt" vbProcedure="false">1</definedName>
    <definedName function="false" hidden="false" localSheetId="2" name="solver_opt" vbProcedure="false">#REF!</definedName>
    <definedName function="false" hidden="false" localSheetId="2" name="solver_pre" vbProcedure="false">0.000001</definedName>
    <definedName function="false" hidden="false" localSheetId="2" name="solver_rel1" vbProcedure="false">2</definedName>
    <definedName function="false" hidden="false" localSheetId="2" name="solver_rel10" vbProcedure="false">2</definedName>
    <definedName function="false" hidden="false" localSheetId="2" name="solver_rel11" vbProcedure="false">2</definedName>
    <definedName function="false" hidden="false" localSheetId="2" name="solver_rel12" vbProcedure="false">2</definedName>
    <definedName function="false" hidden="false" localSheetId="2" name="solver_rel13" vbProcedure="false">2</definedName>
    <definedName function="false" hidden="false" localSheetId="2" name="solver_rel14" vbProcedure="false">2</definedName>
    <definedName function="false" hidden="false" localSheetId="2" name="solver_rel15" vbProcedure="false">2</definedName>
    <definedName function="false" hidden="false" localSheetId="2" name="solver_rel16" vbProcedure="false">2</definedName>
    <definedName function="false" hidden="false" localSheetId="2" name="solver_rel17" vbProcedure="false">2</definedName>
    <definedName function="false" hidden="false" localSheetId="2" name="solver_rel18" vbProcedure="false">2</definedName>
    <definedName function="false" hidden="false" localSheetId="2" name="solver_rel19" vbProcedure="false">2</definedName>
    <definedName function="false" hidden="false" localSheetId="2" name="solver_rel2" vbProcedure="false">2</definedName>
    <definedName function="false" hidden="false" localSheetId="2" name="solver_rel20" vbProcedure="false">2</definedName>
    <definedName function="false" hidden="false" localSheetId="2" name="solver_rel21" vbProcedure="false">2</definedName>
    <definedName function="false" hidden="false" localSheetId="2" name="solver_rel3" vbProcedure="false">2</definedName>
    <definedName function="false" hidden="false" localSheetId="2" name="solver_rel4" vbProcedure="false">2</definedName>
    <definedName function="false" hidden="false" localSheetId="2" name="solver_rel5" vbProcedure="false">2</definedName>
    <definedName function="false" hidden="false" localSheetId="2" name="solver_rel6" vbProcedure="false">2</definedName>
    <definedName function="false" hidden="false" localSheetId="2" name="solver_rel7" vbProcedure="false">2</definedName>
    <definedName function="false" hidden="false" localSheetId="2" name="solver_rel8" vbProcedure="false">2</definedName>
    <definedName function="false" hidden="false" localSheetId="2" name="solver_rel9" vbProcedure="false">2</definedName>
    <definedName function="false" hidden="false" localSheetId="2" name="solver_rhs1" vbProcedure="false">#REF!</definedName>
    <definedName function="false" hidden="false" localSheetId="2" name="solver_rhs10" vbProcedure="false">#REF!</definedName>
    <definedName function="false" hidden="false" localSheetId="2" name="solver_rhs11" vbProcedure="false">#REF!</definedName>
    <definedName function="false" hidden="false" localSheetId="2" name="solver_rhs12" vbProcedure="false">#REF!</definedName>
    <definedName function="false" hidden="false" localSheetId="2" name="solver_rhs13" vbProcedure="false">#REF!</definedName>
    <definedName function="false" hidden="false" localSheetId="2" name="solver_rhs14" vbProcedure="false">#REF!</definedName>
    <definedName function="false" hidden="false" localSheetId="2" name="solver_rhs15" vbProcedure="false">#REF!</definedName>
    <definedName function="false" hidden="false" localSheetId="2" name="solver_rhs16" vbProcedure="false">#REF!</definedName>
    <definedName function="false" hidden="false" localSheetId="2" name="solver_rhs17" vbProcedure="false">#REF!</definedName>
    <definedName function="false" hidden="false" localSheetId="2" name="solver_rhs18" vbProcedure="false">#REF!</definedName>
    <definedName function="false" hidden="false" localSheetId="2" name="solver_rhs19" vbProcedure="false">#REF!</definedName>
    <definedName function="false" hidden="false" localSheetId="2" name="solver_rhs2" vbProcedure="false">#REF!</definedName>
    <definedName function="false" hidden="false" localSheetId="2" name="solver_rhs20" vbProcedure="false">#REF!</definedName>
    <definedName function="false" hidden="false" localSheetId="2" name="solver_rhs21" vbProcedure="false">#REF!</definedName>
    <definedName function="false" hidden="false" localSheetId="2" name="solver_rhs3" vbProcedure="false">#REF!</definedName>
    <definedName function="false" hidden="false" localSheetId="2" name="solver_rhs4" vbProcedure="false">#REF!</definedName>
    <definedName function="false" hidden="false" localSheetId="2" name="solver_rhs5" vbProcedure="false">#REF!</definedName>
    <definedName function="false" hidden="false" localSheetId="2" name="solver_rhs6" vbProcedure="false">#REF!</definedName>
    <definedName function="false" hidden="false" localSheetId="2" name="solver_rhs7" vbProcedure="false">#REF!</definedName>
    <definedName function="false" hidden="false" localSheetId="2" name="solver_rhs8" vbProcedure="false">#REF!</definedName>
    <definedName function="false" hidden="false" localSheetId="2" name="solver_rhs9" vbProcedure="false">#REF!</definedName>
    <definedName function="false" hidden="false" localSheetId="2" name="solver_scl" vbProcedure="false">2</definedName>
    <definedName function="false" hidden="false" localSheetId="2" name="solver_sho" vbProcedure="false">2</definedName>
    <definedName function="false" hidden="false" localSheetId="2" name="solver_tim" vbProcedure="false">100</definedName>
    <definedName function="false" hidden="false" localSheetId="2" name="solver_tol" vbProcedure="false">0.05</definedName>
    <definedName function="false" hidden="false" localSheetId="2" name="solver_typ" vbProcedure="false">3</definedName>
    <definedName function="false" hidden="false" localSheetId="2" name="solver_val" vbProcedure="false">0.1019</definedName>
    <definedName function="false" hidden="false" localSheetId="3" name="ZA0" vbProcedure="false">"Crystal Ball Data : Ver. 5.1"</definedName>
    <definedName function="false" hidden="false" localSheetId="3" name="ZA0A" vbProcedure="false">0+108</definedName>
    <definedName function="false" hidden="false" localSheetId="3" name="ZA0C" vbProcedure="false">0+0</definedName>
    <definedName function="false" hidden="false" localSheetId="3" name="ZA0D" vbProcedure="false">0+0</definedName>
    <definedName function="false" hidden="false" localSheetId="3" name="ZA0F" vbProcedure="false">0+272</definedName>
    <definedName function="false" hidden="false" localSheetId="3" name="ZA0T" vbProcedure="false">14401748+0</definedName>
    <definedName function="false" hidden="false" localSheetId="5" name="solver_adj" vbProcedure="false">revenues!$C$67:$C$81,revenues!$C$83:$C$97,revenues!$C$99:$C$113,revenues!$C$115:$C$129</definedName>
    <definedName function="false" hidden="false" localSheetId="5" name="solver_cvg" vbProcedure="false">0.001</definedName>
    <definedName function="false" hidden="false" localSheetId="5" name="solver_drv" vbProcedure="false">1</definedName>
    <definedName function="false" hidden="false" localSheetId="5" name="solver_est" vbProcedure="false">1</definedName>
    <definedName function="false" hidden="false" localSheetId="5" name="solver_itr" vbProcedure="false">100</definedName>
    <definedName function="false" hidden="false" localSheetId="5" name="solver_lhs1" vbProcedure="false">revenues!$B$67</definedName>
    <definedName function="false" hidden="false" localSheetId="5" name="solver_lhs10" vbProcedure="false">revenues!$B$67</definedName>
    <definedName function="false" hidden="false" localSheetId="5" name="solver_lhs11" vbProcedure="false">revenues!$B$67</definedName>
    <definedName function="false" hidden="false" localSheetId="5" name="solver_lhs12" vbProcedure="false">revenues!$B$67</definedName>
    <definedName function="false" hidden="false" localSheetId="5" name="solver_lhs13" vbProcedure="false">revenues!$B$67</definedName>
    <definedName function="false" hidden="false" localSheetId="5" name="solver_lhs14" vbProcedure="false">revenues!$B$67</definedName>
    <definedName function="false" hidden="false" localSheetId="5" name="solver_lhs15" vbProcedure="false">revenues!$B$67</definedName>
    <definedName function="false" hidden="false" localSheetId="5" name="solver_lhs16" vbProcedure="false">revenues!$B$67</definedName>
    <definedName function="false" hidden="false" localSheetId="5" name="solver_lhs17" vbProcedure="false">revenues!$B$67</definedName>
    <definedName function="false" hidden="false" localSheetId="5" name="solver_lhs18" vbProcedure="false">revenues!$B$67</definedName>
    <definedName function="false" hidden="false" localSheetId="5" name="solver_lhs19" vbProcedure="false">revenues!$B$67</definedName>
    <definedName function="false" hidden="false" localSheetId="5" name="solver_lhs2" vbProcedure="false">revenues!$B$67</definedName>
    <definedName function="false" hidden="false" localSheetId="5" name="solver_lhs20" vbProcedure="false">revenues!$B$67</definedName>
    <definedName function="false" hidden="false" localSheetId="5" name="solver_lhs21" vbProcedure="false">revenues!$B$67</definedName>
    <definedName function="false" hidden="false" localSheetId="5" name="solver_lhs22" vbProcedure="false">revenues!$B$67</definedName>
    <definedName function="false" hidden="false" localSheetId="5" name="solver_lhs23" vbProcedure="false">revenues!$B$67</definedName>
    <definedName function="false" hidden="false" localSheetId="5" name="solver_lhs24" vbProcedure="false">revenues!$B$67</definedName>
    <definedName function="false" hidden="false" localSheetId="5" name="solver_lhs25" vbProcedure="false">revenues!$B$67</definedName>
    <definedName function="false" hidden="false" localSheetId="5" name="solver_lhs26" vbProcedure="false">revenues!$B$67</definedName>
    <definedName function="false" hidden="false" localSheetId="5" name="solver_lhs27" vbProcedure="false">revenues!$B$67</definedName>
    <definedName function="false" hidden="false" localSheetId="5" name="solver_lhs28" vbProcedure="false">revenues!$B$67</definedName>
    <definedName function="false" hidden="false" localSheetId="5" name="solver_lhs29" vbProcedure="false">revenues!$B$67</definedName>
    <definedName function="false" hidden="false" localSheetId="5" name="solver_lhs3" vbProcedure="false">revenues!$B$67</definedName>
    <definedName function="false" hidden="false" localSheetId="5" name="solver_lhs30" vbProcedure="false">revenues!$B$67</definedName>
    <definedName function="false" hidden="false" localSheetId="5" name="solver_lhs31" vbProcedure="false">revenues!$B$67</definedName>
    <definedName function="false" hidden="false" localSheetId="5" name="solver_lhs32" vbProcedure="false">revenues!$B$67</definedName>
    <definedName function="false" hidden="false" localSheetId="5" name="solver_lhs33" vbProcedure="false">revenues!$B$67</definedName>
    <definedName function="false" hidden="false" localSheetId="5" name="solver_lhs34" vbProcedure="false">revenues!$B$67</definedName>
    <definedName function="false" hidden="false" localSheetId="5" name="solver_lhs35" vbProcedure="false">revenues!$B$67</definedName>
    <definedName function="false" hidden="false" localSheetId="5" name="solver_lhs36" vbProcedure="false">revenues!$B$67</definedName>
    <definedName function="false" hidden="false" localSheetId="5" name="solver_lhs37" vbProcedure="false">revenues!$B$67</definedName>
    <definedName function="false" hidden="false" localSheetId="5" name="solver_lhs38" vbProcedure="false">revenues!$B$67</definedName>
    <definedName function="false" hidden="false" localSheetId="5" name="solver_lhs39" vbProcedure="false">revenues!$B$67</definedName>
    <definedName function="false" hidden="false" localSheetId="5" name="solver_lhs4" vbProcedure="false">revenues!$B$67</definedName>
    <definedName function="false" hidden="false" localSheetId="5" name="solver_lhs40" vbProcedure="false">revenues!$B$67</definedName>
    <definedName function="false" hidden="false" localSheetId="5" name="solver_lhs41" vbProcedure="false">revenues!$B$67</definedName>
    <definedName function="false" hidden="false" localSheetId="5" name="solver_lhs42" vbProcedure="false">revenues!$B$67</definedName>
    <definedName function="false" hidden="false" localSheetId="5" name="solver_lhs43" vbProcedure="false">revenues!$B$67</definedName>
    <definedName function="false" hidden="false" localSheetId="5" name="solver_lhs44" vbProcedure="false">revenues!$B$67</definedName>
    <definedName function="false" hidden="false" localSheetId="5" name="solver_lhs45" vbProcedure="false">revenues!$B$67</definedName>
    <definedName function="false" hidden="false" localSheetId="5" name="solver_lhs46" vbProcedure="false">revenues!$B$67</definedName>
    <definedName function="false" hidden="false" localSheetId="5" name="solver_lhs47" vbProcedure="false">revenues!$B$67</definedName>
    <definedName function="false" hidden="false" localSheetId="5" name="solver_lhs48" vbProcedure="false">revenues!$B$67</definedName>
    <definedName function="false" hidden="false" localSheetId="5" name="solver_lhs49" vbProcedure="false">revenues!$B$67</definedName>
    <definedName function="false" hidden="false" localSheetId="5" name="solver_lhs5" vbProcedure="false">revenues!$B$67</definedName>
    <definedName function="false" hidden="false" localSheetId="5" name="solver_lhs50" vbProcedure="false">revenues!$B$67</definedName>
    <definedName function="false" hidden="false" localSheetId="5" name="solver_lhs51" vbProcedure="false">revenues!$B$67</definedName>
    <definedName function="false" hidden="false" localSheetId="5" name="solver_lhs52" vbProcedure="false">revenues!$B$67</definedName>
    <definedName function="false" hidden="false" localSheetId="5" name="solver_lhs53" vbProcedure="false">revenues!$B$67</definedName>
    <definedName function="false" hidden="false" localSheetId="5" name="solver_lhs54" vbProcedure="false">revenues!$B$67</definedName>
    <definedName function="false" hidden="false" localSheetId="5" name="solver_lhs55" vbProcedure="false">revenues!$B$67</definedName>
    <definedName function="false" hidden="false" localSheetId="5" name="solver_lhs56" vbProcedure="false">revenues!$B$67</definedName>
    <definedName function="false" hidden="false" localSheetId="5" name="solver_lhs57" vbProcedure="false">revenues!$B$67</definedName>
    <definedName function="false" hidden="false" localSheetId="5" name="solver_lhs58" vbProcedure="false">revenues!$B$67</definedName>
    <definedName function="false" hidden="false" localSheetId="5" name="solver_lhs59" vbProcedure="false">revenues!$B$67</definedName>
    <definedName function="false" hidden="false" localSheetId="5" name="solver_lhs6" vbProcedure="false">revenues!$B$67</definedName>
    <definedName function="false" hidden="false" localSheetId="5" name="solver_lhs60" vbProcedure="false">revenues!$B$67</definedName>
    <definedName function="false" hidden="false" localSheetId="5" name="solver_lhs7" vbProcedure="false">revenues!$B$67</definedName>
    <definedName function="false" hidden="false" localSheetId="5" name="solver_lhs8" vbProcedure="false">revenues!$B$67</definedName>
    <definedName function="false" hidden="false" localSheetId="5" name="solver_lhs9" vbProcedure="false">revenues!$B$67</definedName>
    <definedName function="false" hidden="false" localSheetId="5" name="solver_lin" vbProcedure="false">2</definedName>
    <definedName function="false" hidden="false" localSheetId="5" name="solver_neg" vbProcedure="false">2</definedName>
    <definedName function="false" hidden="false" localSheetId="5" name="solver_num" vbProcedure="false">60</definedName>
    <definedName function="false" hidden="false" localSheetId="5" name="solver_nwt" vbProcedure="false">1</definedName>
    <definedName function="false" hidden="false" localSheetId="5" name="solver_opt" vbProcedure="false">revenues!$B$130</definedName>
    <definedName function="false" hidden="false" localSheetId="5" name="solver_pre" vbProcedure="false">0.000001</definedName>
    <definedName function="false" hidden="false" localSheetId="5" name="solver_rel1" vbProcedure="false">2</definedName>
    <definedName function="false" hidden="false" localSheetId="5" name="solver_rel10" vbProcedure="false">2</definedName>
    <definedName function="false" hidden="false" localSheetId="5" name="solver_rel11" vbProcedure="false">2</definedName>
    <definedName function="false" hidden="false" localSheetId="5" name="solver_rel12" vbProcedure="false">2</definedName>
    <definedName function="false" hidden="false" localSheetId="5" name="solver_rel13" vbProcedure="false">2</definedName>
    <definedName function="false" hidden="false" localSheetId="5" name="solver_rel14" vbProcedure="false">2</definedName>
    <definedName function="false" hidden="false" localSheetId="5" name="solver_rel15" vbProcedure="false">2</definedName>
    <definedName function="false" hidden="false" localSheetId="5" name="solver_rel16" vbProcedure="false">2</definedName>
    <definedName function="false" hidden="false" localSheetId="5" name="solver_rel17" vbProcedure="false">2</definedName>
    <definedName function="false" hidden="false" localSheetId="5" name="solver_rel18" vbProcedure="false">2</definedName>
    <definedName function="false" hidden="false" localSheetId="5" name="solver_rel19" vbProcedure="false">2</definedName>
    <definedName function="false" hidden="false" localSheetId="5" name="solver_rel2" vbProcedure="false">2</definedName>
    <definedName function="false" hidden="false" localSheetId="5" name="solver_rel20" vbProcedure="false">2</definedName>
    <definedName function="false" hidden="false" localSheetId="5" name="solver_rel21" vbProcedure="false">2</definedName>
    <definedName function="false" hidden="false" localSheetId="5" name="solver_rel22" vbProcedure="false">2</definedName>
    <definedName function="false" hidden="false" localSheetId="5" name="solver_rel23" vbProcedure="false">2</definedName>
    <definedName function="false" hidden="false" localSheetId="5" name="solver_rel24" vbProcedure="false">2</definedName>
    <definedName function="false" hidden="false" localSheetId="5" name="solver_rel25" vbProcedure="false">2</definedName>
    <definedName function="false" hidden="false" localSheetId="5" name="solver_rel26" vbProcedure="false">2</definedName>
    <definedName function="false" hidden="false" localSheetId="5" name="solver_rel27" vbProcedure="false">2</definedName>
    <definedName function="false" hidden="false" localSheetId="5" name="solver_rel28" vbProcedure="false">2</definedName>
    <definedName function="false" hidden="false" localSheetId="5" name="solver_rel29" vbProcedure="false">2</definedName>
    <definedName function="false" hidden="false" localSheetId="5" name="solver_rel3" vbProcedure="false">2</definedName>
    <definedName function="false" hidden="false" localSheetId="5" name="solver_rel30" vbProcedure="false">2</definedName>
    <definedName function="false" hidden="false" localSheetId="5" name="solver_rel31" vbProcedure="false">2</definedName>
    <definedName function="false" hidden="false" localSheetId="5" name="solver_rel32" vbProcedure="false">2</definedName>
    <definedName function="false" hidden="false" localSheetId="5" name="solver_rel33" vbProcedure="false">2</definedName>
    <definedName function="false" hidden="false" localSheetId="5" name="solver_rel34" vbProcedure="false">2</definedName>
    <definedName function="false" hidden="false" localSheetId="5" name="solver_rel35" vbProcedure="false">2</definedName>
    <definedName function="false" hidden="false" localSheetId="5" name="solver_rel36" vbProcedure="false">2</definedName>
    <definedName function="false" hidden="false" localSheetId="5" name="solver_rel37" vbProcedure="false">2</definedName>
    <definedName function="false" hidden="false" localSheetId="5" name="solver_rel38" vbProcedure="false">2</definedName>
    <definedName function="false" hidden="false" localSheetId="5" name="solver_rel39" vbProcedure="false">2</definedName>
    <definedName function="false" hidden="false" localSheetId="5" name="solver_rel4" vbProcedure="false">2</definedName>
    <definedName function="false" hidden="false" localSheetId="5" name="solver_rel40" vbProcedure="false">2</definedName>
    <definedName function="false" hidden="false" localSheetId="5" name="solver_rel41" vbProcedure="false">2</definedName>
    <definedName function="false" hidden="false" localSheetId="5" name="solver_rel42" vbProcedure="false">2</definedName>
    <definedName function="false" hidden="false" localSheetId="5" name="solver_rel43" vbProcedure="false">2</definedName>
    <definedName function="false" hidden="false" localSheetId="5" name="solver_rel44" vbProcedure="false">2</definedName>
    <definedName function="false" hidden="false" localSheetId="5" name="solver_rel45" vbProcedure="false">2</definedName>
    <definedName function="false" hidden="false" localSheetId="5" name="solver_rel46" vbProcedure="false">2</definedName>
    <definedName function="false" hidden="false" localSheetId="5" name="solver_rel47" vbProcedure="false">2</definedName>
    <definedName function="false" hidden="false" localSheetId="5" name="solver_rel48" vbProcedure="false">2</definedName>
    <definedName function="false" hidden="false" localSheetId="5" name="solver_rel49" vbProcedure="false">2</definedName>
    <definedName function="false" hidden="false" localSheetId="5" name="solver_rel5" vbProcedure="false">2</definedName>
    <definedName function="false" hidden="false" localSheetId="5" name="solver_rel50" vbProcedure="false">2</definedName>
    <definedName function="false" hidden="false" localSheetId="5" name="solver_rel51" vbProcedure="false">2</definedName>
    <definedName function="false" hidden="false" localSheetId="5" name="solver_rel52" vbProcedure="false">2</definedName>
    <definedName function="false" hidden="false" localSheetId="5" name="solver_rel53" vbProcedure="false">2</definedName>
    <definedName function="false" hidden="false" localSheetId="5" name="solver_rel54" vbProcedure="false">2</definedName>
    <definedName function="false" hidden="false" localSheetId="5" name="solver_rel55" vbProcedure="false">2</definedName>
    <definedName function="false" hidden="false" localSheetId="5" name="solver_rel56" vbProcedure="false">2</definedName>
    <definedName function="false" hidden="false" localSheetId="5" name="solver_rel57" vbProcedure="false">2</definedName>
    <definedName function="false" hidden="false" localSheetId="5" name="solver_rel58" vbProcedure="false">2</definedName>
    <definedName function="false" hidden="false" localSheetId="5" name="solver_rel59" vbProcedure="false">2</definedName>
    <definedName function="false" hidden="false" localSheetId="5" name="solver_rel6" vbProcedure="false">2</definedName>
    <definedName function="false" hidden="false" localSheetId="5" name="solver_rel60" vbProcedure="false">2</definedName>
    <definedName function="false" hidden="false" localSheetId="5" name="solver_rel7" vbProcedure="false">2</definedName>
    <definedName function="false" hidden="false" localSheetId="5" name="solver_rel8" vbProcedure="false">2</definedName>
    <definedName function="false" hidden="false" localSheetId="5" name="solver_rel9" vbProcedure="false">2</definedName>
    <definedName function="false" hidden="false" localSheetId="5" name="solver_rhs1" vbProcedure="false">revenues!$B$68</definedName>
    <definedName function="false" hidden="false" localSheetId="5" name="solver_rhs10" vbProcedure="false">revenues!$B$77</definedName>
    <definedName function="false" hidden="false" localSheetId="5" name="solver_rhs11" vbProcedure="false">revenues!$B$83</definedName>
    <definedName function="false" hidden="false" localSheetId="5" name="solver_rhs12" vbProcedure="false">revenues!$B$84</definedName>
    <definedName function="false" hidden="false" localSheetId="5" name="solver_rhs13" vbProcedure="false">revenues!$B$85</definedName>
    <definedName function="false" hidden="false" localSheetId="5" name="solver_rhs14" vbProcedure="false">revenues!$B$86</definedName>
    <definedName function="false" hidden="false" localSheetId="5" name="solver_rhs15" vbProcedure="false">revenues!$B$93</definedName>
    <definedName function="false" hidden="false" localSheetId="5" name="solver_rhs16" vbProcedure="false">revenues!$B$87</definedName>
    <definedName function="false" hidden="false" localSheetId="5" name="solver_rhs17" vbProcedure="false">revenues!$B$88</definedName>
    <definedName function="false" hidden="false" localSheetId="5" name="solver_rhs18" vbProcedure="false">revenues!$B$89</definedName>
    <definedName function="false" hidden="false" localSheetId="5" name="solver_rhs19" vbProcedure="false">revenues!$B$90</definedName>
    <definedName function="false" hidden="false" localSheetId="5" name="solver_rhs2" vbProcedure="false">revenues!$B$69</definedName>
    <definedName function="false" hidden="false" localSheetId="5" name="solver_rhs20" vbProcedure="false">revenues!$B$91</definedName>
    <definedName function="false" hidden="false" localSheetId="5" name="solver_rhs21" vbProcedure="false">revenues!$B$92</definedName>
    <definedName function="false" hidden="false" localSheetId="5" name="solver_rhs22" vbProcedure="false">revenues!$B$99</definedName>
    <definedName function="false" hidden="false" localSheetId="5" name="solver_rhs23" vbProcedure="false">revenues!$B$100</definedName>
    <definedName function="false" hidden="false" localSheetId="5" name="solver_rhs24" vbProcedure="false">revenues!$B$124</definedName>
    <definedName function="false" hidden="false" localSheetId="5" name="solver_rhs25" vbProcedure="false">revenues!$B$123</definedName>
    <definedName function="false" hidden="false" localSheetId="5" name="solver_rhs26" vbProcedure="false">revenues!$B$102</definedName>
    <definedName function="false" hidden="false" localSheetId="5" name="solver_rhs27" vbProcedure="false">revenues!$B$104</definedName>
    <definedName function="false" hidden="false" localSheetId="5" name="solver_rhs28" vbProcedure="false">revenues!$B$105</definedName>
    <definedName function="false" hidden="false" localSheetId="5" name="solver_rhs29" vbProcedure="false">revenues!$B$106</definedName>
    <definedName function="false" hidden="false" localSheetId="5" name="solver_rhs3" vbProcedure="false">revenues!$B$70</definedName>
    <definedName function="false" hidden="false" localSheetId="5" name="solver_rhs30" vbProcedure="false">revenues!$B$107</definedName>
    <definedName function="false" hidden="false" localSheetId="5" name="solver_rhs31" vbProcedure="false">revenues!$B$108</definedName>
    <definedName function="false" hidden="false" localSheetId="5" name="solver_rhs32" vbProcedure="false">revenues!$B$103</definedName>
    <definedName function="false" hidden="false" localSheetId="5" name="solver_rhs33" vbProcedure="false">revenues!$B$115</definedName>
    <definedName function="false" hidden="false" localSheetId="5" name="solver_rhs34" vbProcedure="false">revenues!$B$116</definedName>
    <definedName function="false" hidden="false" localSheetId="5" name="solver_rhs35" vbProcedure="false">revenues!$B$117</definedName>
    <definedName function="false" hidden="false" localSheetId="5" name="solver_rhs36" vbProcedure="false">revenues!$B$118</definedName>
    <definedName function="false" hidden="false" localSheetId="5" name="solver_rhs37" vbProcedure="false">revenues!$B$109</definedName>
    <definedName function="false" hidden="false" localSheetId="5" name="solver_rhs38" vbProcedure="false">revenues!$B$119</definedName>
    <definedName function="false" hidden="false" localSheetId="5" name="solver_rhs39" vbProcedure="false">revenues!$B$120</definedName>
    <definedName function="false" hidden="false" localSheetId="5" name="solver_rhs4" vbProcedure="false">revenues!$B$71</definedName>
    <definedName function="false" hidden="false" localSheetId="5" name="solver_rhs40" vbProcedure="false">revenues!$B$121</definedName>
    <definedName function="false" hidden="false" localSheetId="5" name="solver_rhs41" vbProcedure="false">revenues!$B$122</definedName>
    <definedName function="false" hidden="false" localSheetId="5" name="solver_rhs42" vbProcedure="false">revenues!$B$67</definedName>
    <definedName function="false" hidden="false" localSheetId="5" name="solver_rhs43" vbProcedure="false">revenues!$B$78</definedName>
    <definedName function="false" hidden="false" localSheetId="5" name="solver_rhs44" vbProcedure="false">revenues!$B$79</definedName>
    <definedName function="false" hidden="false" localSheetId="5" name="solver_rhs45" vbProcedure="false">revenues!$B$80</definedName>
    <definedName function="false" hidden="false" localSheetId="5" name="solver_rhs46" vbProcedure="false">revenues!$B$81</definedName>
    <definedName function="false" hidden="false" localSheetId="5" name="solver_rhs47" vbProcedure="false">revenues!$B$94</definedName>
    <definedName function="false" hidden="false" localSheetId="5" name="solver_rhs48" vbProcedure="false">revenues!$B$95</definedName>
    <definedName function="false" hidden="false" localSheetId="5" name="solver_rhs49" vbProcedure="false">revenues!$B$96</definedName>
    <definedName function="false" hidden="false" localSheetId="5" name="solver_rhs5" vbProcedure="false">revenues!$B$72</definedName>
    <definedName function="false" hidden="false" localSheetId="5" name="solver_rhs50" vbProcedure="false">revenues!$B$97</definedName>
    <definedName function="false" hidden="false" localSheetId="5" name="solver_rhs51" vbProcedure="false">revenues!$B$101</definedName>
    <definedName function="false" hidden="false" localSheetId="5" name="solver_rhs52" vbProcedure="false">revenues!$B$110</definedName>
    <definedName function="false" hidden="false" localSheetId="5" name="solver_rhs53" vbProcedure="false">revenues!$B$111</definedName>
    <definedName function="false" hidden="false" localSheetId="5" name="solver_rhs54" vbProcedure="false">revenues!$B$112</definedName>
    <definedName function="false" hidden="false" localSheetId="5" name="solver_rhs55" vbProcedure="false">revenues!$B$113</definedName>
    <definedName function="false" hidden="false" localSheetId="5" name="solver_rhs56" vbProcedure="false">revenues!$B$129</definedName>
    <definedName function="false" hidden="false" localSheetId="5" name="solver_rhs57" vbProcedure="false">revenues!$B$128</definedName>
    <definedName function="false" hidden="false" localSheetId="5" name="solver_rhs58" vbProcedure="false">revenues!$B$127</definedName>
    <definedName function="false" hidden="false" localSheetId="5" name="solver_rhs59" vbProcedure="false">revenues!$B$126</definedName>
    <definedName function="false" hidden="false" localSheetId="5" name="solver_rhs6" vbProcedure="false">revenues!$B$73</definedName>
    <definedName function="false" hidden="false" localSheetId="5" name="solver_rhs60" vbProcedure="false">revenues!$B$125</definedName>
    <definedName function="false" hidden="false" localSheetId="5" name="solver_rhs7" vbProcedure="false">revenues!$B$74</definedName>
    <definedName function="false" hidden="false" localSheetId="5" name="solver_rhs8" vbProcedure="false">revenues!$B$75</definedName>
    <definedName function="false" hidden="false" localSheetId="5" name="solver_rhs9" vbProcedure="false">revenues!$B$76</definedName>
    <definedName function="false" hidden="false" localSheetId="5" name="solver_scl" vbProcedure="false">2</definedName>
    <definedName function="false" hidden="false" localSheetId="5" name="solver_sho" vbProcedure="false">2</definedName>
    <definedName function="false" hidden="false" localSheetId="5" name="solver_tim" vbProcedure="false">100</definedName>
    <definedName function="false" hidden="false" localSheetId="5" name="solver_tol" vbProcedure="false">0.05</definedName>
    <definedName function="false" hidden="false" localSheetId="5" name="solver_typ" vbProcedure="false">3</definedName>
    <definedName function="false" hidden="false" localSheetId="5" name="solver_val" vbProcedure="false">6632760</definedName>
    <definedName function="false" hidden="false" localSheetId="5" name="ZA0" vbProcedure="false">"Crystal Ball Data : Ver. 4.0.3"</definedName>
    <definedName function="false" hidden="false" localSheetId="5" name="ZA0A" vbProcedure="false">0+131</definedName>
    <definedName function="false" hidden="false" localSheetId="5" name="ZA0C" vbProcedure="false">0+0</definedName>
    <definedName function="false" hidden="false" localSheetId="5" name="ZA0D" vbProcedure="false">0+0</definedName>
    <definedName function="false" hidden="false" localSheetId="5" name="ZA0F" vbProcedure="false">25+149</definedName>
    <definedName function="false" hidden="false" localSheetId="5" name="ZA0T" vbProcedure="false">13870467+0</definedName>
    <definedName function="false" hidden="false" localSheetId="5" name="ZF125" vbProcedure="false">revenues!$C$58+"rev1"+""+41+41+440+0+0+0+0+4+3+"-"+"+"+2.6+50+2+4+95+0+5</definedName>
    <definedName function="false" hidden="false" localSheetId="5" name="ZF126" vbProcedure="false">revenues!$D$58+"rev2"+""+41+41+440+0+0+0+0+4+3+"-"+"+"+2.6+50+2+4+95+0+5</definedName>
    <definedName function="false" hidden="false" localSheetId="5" name="ZF127" vbProcedure="false">revenues!$E$58+"rev3"+""+41+41+440+0+0+0+0+4+3+"-"+"+"+2.6+50+2+4+95+0+5</definedName>
    <definedName function="false" hidden="false" localSheetId="5" name="ZF128" vbProcedure="false">revenues!$F$58+"rev4"+""+41+41+440+0+0+0+0+4+3+"-"+"+"+2.6+50+2+4+95+0+5</definedName>
    <definedName function="false" hidden="false" localSheetId="5" name="ZF129" vbProcedure="false">revenues!$G$58+"rev5"+""+41+41+440+0+0+0+0+4+3+"-"+"+"+2.6+50+2+4+95+0+5</definedName>
    <definedName function="false" hidden="false" localSheetId="5" name="ZF130" vbProcedure="false">revenues!$H$58+"rev6"+""+41+41+440+0+0+0+0+4+3+"-"+"+"+2.6+50+2+4+95+0+5</definedName>
    <definedName function="false" hidden="false" localSheetId="5" name="ZF131" vbProcedure="false">revenues!$I$58+"rev7"+""+41+41+440+0+0+0+0+4+3+"-"+"+"+2.6+50+2+4+95+0+5</definedName>
    <definedName function="false" hidden="false" localSheetId="5" name="ZF132" vbProcedure="false">revenues!$J$58+"rev8"+""+41+41+440+0+0+0+0+4+3+"-"+"+"+2.6+50+2+4+95+0+5</definedName>
    <definedName function="false" hidden="false" localSheetId="5" name="ZF133" vbProcedure="false">revenues!$K$58+"rev9"+""+41+41+440+0+0+0+0+4+3+"-"+"+"+2.6+50+2+4+95+0+5</definedName>
    <definedName function="false" hidden="false" localSheetId="5" name="ZF134" vbProcedure="false">revenues!$L$58+"rev10"+""+41+41+440+0+0+0+0+4+3+"-"+"+"+2.6+50+2+4+95+0+5</definedName>
    <definedName function="false" hidden="false" localSheetId="5" name="ZF135" vbProcedure="false">revenues!$M$58+"rev11"+""+41+41+440+0+0+0+0+4+3+"-"+"+"+2.6+50+2+4+95+0+5</definedName>
    <definedName function="false" hidden="false" localSheetId="5" name="ZF136" vbProcedure="false">revenues!$N$58+"rev12"+""+41+41+440+0+0+0+0+4+3+"-"+"+"+2.6+50+2+4+95+0+5</definedName>
    <definedName function="false" hidden="false" localSheetId="5" name="ZF137" vbProcedure="false">revenues!$O$58+"rev13"+""+41+41+440+0+0+0+0+4+3+"-"+"+"+2.6+50+2+4+95+0+5</definedName>
    <definedName function="false" hidden="false" localSheetId="5" name="ZF138" vbProcedure="false">revenues!$P$58+"rev14"+""+41+41+440+0+0+0+0+4+3+"-"+"+"+2.6+50+2+4+95+0+5</definedName>
    <definedName function="false" hidden="false" localSheetId="5" name="ZF139" vbProcedure="false">revenues!$Q$58+"rev15"+""+41+41+440+0+0+0+0+4+3+"-"+"+"+2.6+50+2+4+95+0+5</definedName>
    <definedName function="false" hidden="false" localSheetId="5" name="ZF140" vbProcedure="false">revenues!$R$58+"rev16"+""+41+41+440+0+0+0+0+4+3+"-"+"+"+2.6+50+2+4+95+0+5</definedName>
    <definedName function="false" hidden="false" localSheetId="5" name="ZF141" vbProcedure="false">revenues!$S$58+"rev17"+""+41+41+440+0+0+0+0+4+3+"-"+"+"+2.6+50+2+4+95+0+5</definedName>
    <definedName function="false" hidden="false" localSheetId="5" name="ZF142" vbProcedure="false">revenues!$T$58+"rev18"+""+41+41+440+0+0+0+0+4+3+"-"+"+"+2.6+50+2+4+95+0+5</definedName>
    <definedName function="false" hidden="false" localSheetId="5" name="ZF143" vbProcedure="false">revenues!$U$58+"rev19"+""+41+41+440+0+0+0+0+4+3+"-"+"+"+2.6+50+2+4+95+0+5</definedName>
    <definedName function="false" hidden="false" localSheetId="5" name="ZF144" vbProcedure="false">revenues!$V$58+"rev20"+""+41+41+440+0+0+0+0+4+3+"-"+"+"+2.6+50+2+4+95+0+5</definedName>
    <definedName function="false" hidden="false" localSheetId="5" name="ZF145" vbProcedure="false">revenues!$W$58+"rev21"+""+41+41+440+0+0+0+0+4+3+"-"+"+"+2.6+50+2+4+95+0+5</definedName>
    <definedName function="false" hidden="false" localSheetId="5" name="ZF146" vbProcedure="false">revenues!$X$58+"rev22"+""+41+41+440+0+0+0+0+4+3+"-"+"+"+2.6+50+2+4+95+0+5</definedName>
    <definedName function="false" hidden="false" localSheetId="5" name="ZF147" vbProcedure="false">revenues!$Y$58+"rev23"+""+41+41+440+0+0+0+0+4+3+"-"+"+"+2.6+50+2+4+95+0+5</definedName>
    <definedName function="false" hidden="false" localSheetId="5" name="ZF148" vbProcedure="false">revenues!$Z$58+"rev24"+""+41+41+440+0+0+0+0+4+3+"-"+"+"+2.6+50+2+4+95+0+5</definedName>
    <definedName function="false" hidden="false" localSheetId="5" name="ZF149" vbProcedure="false">revenues!$AA$58+"rev25"+""+41+41+440+0+0+0+0+4+3+"-"+"+"+2.6+50+2+4+95+0+5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<sst xmlns="http://schemas.openxmlformats.org/spreadsheetml/2006/main" count="242" uniqueCount="172">
  <si>
    <t xml:space="preserve">Enron Transportation Services</t>
  </si>
  <si>
    <t xml:space="preserve">INPUTS</t>
  </si>
  <si>
    <t xml:space="preserve">Analysis Description:</t>
  </si>
  <si>
    <t xml:space="preserve">Monetize Asset based on project life (y or n)</t>
  </si>
  <si>
    <t xml:space="preserve">n</t>
  </si>
  <si>
    <t xml:space="preserve">PROJECT LIFE (1-15)</t>
  </si>
  <si>
    <t xml:space="preserve">LEVERAGED (y or n)</t>
  </si>
  <si>
    <t xml:space="preserve">y</t>
  </si>
  <si>
    <t xml:space="preserve">Equity Percentage</t>
  </si>
  <si>
    <t xml:space="preserve">LOAN INTEREST</t>
  </si>
  <si>
    <t xml:space="preserve">LOAN TERM, YEARS</t>
  </si>
  <si>
    <t xml:space="preserve">Fuel Tracker (y or n)</t>
  </si>
  <si>
    <t xml:space="preserve">Monthly Storage Rate</t>
  </si>
  <si>
    <t xml:space="preserve">Storage Service Target Rate</t>
  </si>
  <si>
    <t xml:space="preserve">Base Gas Purchased (y or n)</t>
  </si>
  <si>
    <t xml:space="preserve">Horsepower Requirements</t>
  </si>
  <si>
    <t xml:space="preserve">Kw/bhphr</t>
  </si>
  <si>
    <t xml:space="preserve">?</t>
  </si>
  <si>
    <t xml:space="preserve">$/kw</t>
  </si>
  <si>
    <t xml:space="preserve">Construction Cost</t>
  </si>
  <si>
    <t xml:space="preserve">Residual Value (y or n)</t>
  </si>
  <si>
    <t xml:space="preserve">Contract(k) or COS Rates(cos)</t>
  </si>
  <si>
    <t xml:space="preserve">k</t>
  </si>
  <si>
    <t xml:space="preserve">Design Capacity</t>
  </si>
  <si>
    <t xml:space="preserve">Transwestern Pipeline</t>
  </si>
  <si>
    <t xml:space="preserve">TransPecos Project</t>
  </si>
  <si>
    <t xml:space="preserve">ASSUMPTIONS</t>
  </si>
  <si>
    <t xml:space="preserve">PROJECT CONTRACT TERM </t>
  </si>
  <si>
    <t xml:space="preserve">TAX LIFE</t>
  </si>
  <si>
    <t xml:space="preserve">INSERVICE DATE</t>
  </si>
  <si>
    <t xml:space="preserve">INVESTMENT(000'S)</t>
  </si>
  <si>
    <t xml:space="preserve">Equity</t>
  </si>
  <si>
    <t xml:space="preserve">  CONSTRUCTION &amp; ROW</t>
  </si>
  <si>
    <t xml:space="preserve">  AFUDC</t>
  </si>
  <si>
    <t xml:space="preserve">  OVERHEAD</t>
  </si>
  <si>
    <t xml:space="preserve">  CONTINGENCY</t>
  </si>
  <si>
    <t xml:space="preserve">  REIMBURSEMENT (000'S)</t>
  </si>
  <si>
    <t xml:space="preserve">TOTAL INVESTMENT</t>
  </si>
  <si>
    <t xml:space="preserve">Phase II</t>
  </si>
  <si>
    <t xml:space="preserve">CAPITAL REQUIREMENTS</t>
  </si>
  <si>
    <t xml:space="preserve">Incremental </t>
  </si>
  <si>
    <t xml:space="preserve">Design Rated HP</t>
  </si>
  <si>
    <t xml:space="preserve">Site Rated HP</t>
  </si>
  <si>
    <t xml:space="preserve">Required HP</t>
  </si>
  <si>
    <t xml:space="preserve">BTU/bhphr</t>
  </si>
  <si>
    <t xml:space="preserve">Fuel</t>
  </si>
  <si>
    <t xml:space="preserve">HP INSTALLED</t>
  </si>
  <si>
    <t xml:space="preserve">HP INSTALLED </t>
  </si>
  <si>
    <t xml:space="preserve">Incremental HP &amp; Fuel</t>
  </si>
  <si>
    <t xml:space="preserve">MILES OF PIPE</t>
  </si>
  <si>
    <t xml:space="preserve">BTU FACTOR</t>
  </si>
  <si>
    <t xml:space="preserve">O &amp; M ESCALATORS</t>
  </si>
  <si>
    <t xml:space="preserve">DEPRECIATION</t>
  </si>
  <si>
    <t xml:space="preserve">INCOME TAX RATE</t>
  </si>
  <si>
    <t xml:space="preserve">AD VALOREM RATE</t>
  </si>
  <si>
    <t xml:space="preserve">YEAR</t>
  </si>
  <si>
    <t xml:space="preserve">LOAD FACTOR</t>
  </si>
  <si>
    <t xml:space="preserve">COMPRESSOR VOLUMES (MMMBTU/D) (100%)</t>
  </si>
  <si>
    <t xml:space="preserve">Unaccounted For Gas</t>
  </si>
  <si>
    <t xml:space="preserve">GAS PRICE</t>
  </si>
  <si>
    <t xml:space="preserve">EXPENSES:</t>
  </si>
  <si>
    <t xml:space="preserve">  ADMINISTRATIVE AND GENERAL EXPENSES</t>
  </si>
  <si>
    <t xml:space="preserve">  O&amp;M (CALCULATED =1,INPUT =2)</t>
  </si>
  <si>
    <t xml:space="preserve">  FUEL EXPENSE</t>
  </si>
  <si>
    <t xml:space="preserve">Tracker</t>
  </si>
  <si>
    <t xml:space="preserve">  AD VALOREM</t>
  </si>
  <si>
    <t xml:space="preserve">Tax Depreciation Code</t>
  </si>
  <si>
    <t xml:space="preserve">TAX DEPRECIATION 3Yrs</t>
  </si>
  <si>
    <t xml:space="preserve">TAX DEPRECIATION 5Yrs</t>
  </si>
  <si>
    <t xml:space="preserve">TAX DEPRECIATION 7Yrs</t>
  </si>
  <si>
    <t xml:space="preserve">TAX DEPRECIATION 15Yrs</t>
  </si>
  <si>
    <t xml:space="preserve">Project Analysis</t>
  </si>
  <si>
    <t xml:space="preserve">Depreciation Expense</t>
  </si>
  <si>
    <t xml:space="preserve">Rate Base</t>
  </si>
  <si>
    <t xml:space="preserve">Plant In Service</t>
  </si>
  <si>
    <t xml:space="preserve">Working Capital</t>
  </si>
  <si>
    <t xml:space="preserve">Acc. Depr. Exp</t>
  </si>
  <si>
    <t xml:space="preserve">Acc.Def. Inc. Tax</t>
  </si>
  <si>
    <t xml:space="preserve">Total Rate Base</t>
  </si>
  <si>
    <t xml:space="preserve">% Financed</t>
  </si>
  <si>
    <t xml:space="preserve">Principal Payment</t>
  </si>
  <si>
    <t xml:space="preserve">Principal Balance</t>
  </si>
  <si>
    <t xml:space="preserve">PAYMENTS-REMAINING BALANCE-PRIN &amp; INT PAID</t>
  </si>
  <si>
    <t xml:space="preserve">PRINCIPAL</t>
  </si>
  <si>
    <t xml:space="preserve">Investment</t>
  </si>
  <si>
    <t xml:space="preserve">INTEREST</t>
  </si>
  <si>
    <t xml:space="preserve">Capital Requirement</t>
  </si>
  <si>
    <t xml:space="preserve">TERM, YEARS</t>
  </si>
  <si>
    <t xml:space="preserve">PAYMENTS</t>
  </si>
  <si>
    <t xml:space="preserve">Loan</t>
  </si>
  <si>
    <t xml:space="preserve">Years</t>
  </si>
  <si>
    <t xml:space="preserve">BEGINNING</t>
  </si>
  <si>
    <t xml:space="preserve">TOTAL</t>
  </si>
  <si>
    <t xml:space="preserve">ENDING</t>
  </si>
  <si>
    <t xml:space="preserve">BALANCE</t>
  </si>
  <si>
    <t xml:space="preserve">PAID</t>
  </si>
  <si>
    <t xml:space="preserve">SIMPLE DCF ($'S IN THOUSANDS)</t>
  </si>
  <si>
    <t xml:space="preserve">UNREGULATED PROJECT ANALYSIS</t>
  </si>
  <si>
    <t xml:space="preserve">TOTALS</t>
  </si>
  <si>
    <t xml:space="preserve">TAX LIFE (1=PROJ  0=TAX LIFE)</t>
  </si>
  <si>
    <t xml:space="preserve">INVESTMENT</t>
  </si>
  <si>
    <t xml:space="preserve">  REIMBURSEMENT </t>
  </si>
  <si>
    <t xml:space="preserve">Leveraged</t>
  </si>
  <si>
    <t xml:space="preserve">Future</t>
  </si>
  <si>
    <t xml:space="preserve">Residual</t>
  </si>
  <si>
    <t xml:space="preserve">Capital Cost for future project</t>
  </si>
  <si>
    <t xml:space="preserve">FUEL (1=YEA,0=NEA)</t>
  </si>
  <si>
    <t xml:space="preserve">RATE - DEMAND</t>
  </si>
  <si>
    <t xml:space="preserve">RATE - COMMODITY</t>
  </si>
  <si>
    <t xml:space="preserve">MMMBTU FACTOR</t>
  </si>
  <si>
    <t xml:space="preserve">VOLUMES - DEMAND (MMCF/D)</t>
  </si>
  <si>
    <t xml:space="preserve">RATES - DEMAND</t>
  </si>
  <si>
    <t xml:space="preserve">RATES - COMMODITY</t>
  </si>
  <si>
    <t xml:space="preserve">Resubscription Variable</t>
  </si>
  <si>
    <t xml:space="preserve">REVENUE</t>
  </si>
  <si>
    <t xml:space="preserve">FUEL RETENTION VOLUMES (MMMBTU/D)</t>
  </si>
  <si>
    <t xml:space="preserve">FUEL RETENTION DOLLARS</t>
  </si>
  <si>
    <t xml:space="preserve">COMPRESSOR VOLUMES USED (MMMBTU/D)</t>
  </si>
  <si>
    <t xml:space="preserve">FUEL EXPENSE</t>
  </si>
  <si>
    <t xml:space="preserve">COMPRESSOR VOLUMES USED (KW/D)</t>
  </si>
  <si>
    <t xml:space="preserve">ELECTRICITY PRICE</t>
  </si>
  <si>
    <t xml:space="preserve">  ADMINSTRATIVE AND GENERAL</t>
  </si>
  <si>
    <t xml:space="preserve">  O&amp;M</t>
  </si>
  <si>
    <t xml:space="preserve">  INTEREST EXPENSE</t>
  </si>
  <si>
    <t xml:space="preserve">  NET FUEL EXPENSE</t>
  </si>
  <si>
    <t xml:space="preserve">  Residual Value</t>
  </si>
  <si>
    <t xml:space="preserve">NET REVENUES</t>
  </si>
  <si>
    <t xml:space="preserve">TAX DEPRECIATION CALC:</t>
  </si>
  <si>
    <t xml:space="preserve">  BALANCE</t>
  </si>
  <si>
    <t xml:space="preserve">PREMATURE DEPR EXP</t>
  </si>
  <si>
    <t xml:space="preserve">NORMAL  DEPRECIATION EXP</t>
  </si>
  <si>
    <t xml:space="preserve">DEPRECIATION EXP</t>
  </si>
  <si>
    <t xml:space="preserve">TAX REIMBURSEMENT</t>
  </si>
  <si>
    <t xml:space="preserve">TAXABLE INCOME</t>
  </si>
  <si>
    <t xml:space="preserve">INCOME TAX EXPENSE</t>
  </si>
  <si>
    <t xml:space="preserve">CASH FLOW</t>
  </si>
  <si>
    <t xml:space="preserve">DCF</t>
  </si>
  <si>
    <t xml:space="preserve">NPV   @   </t>
  </si>
  <si>
    <t xml:space="preserve">GUESS  =  </t>
  </si>
  <si>
    <t xml:space="preserve">Cash Out Flows</t>
  </si>
  <si>
    <t xml:space="preserve">EARNINGS ANALYSIS (Model Inputs)</t>
  </si>
  <si>
    <t xml:space="preserve">Days</t>
  </si>
  <si>
    <t xml:space="preserve">REVENUES</t>
  </si>
  <si>
    <t xml:space="preserve">  TRANSPORTATION </t>
  </si>
  <si>
    <t xml:space="preserve">TOTAL REVENUES</t>
  </si>
  <si>
    <t xml:space="preserve">EXPENSES</t>
  </si>
  <si>
    <t xml:space="preserve">  O &amp; M</t>
  </si>
  <si>
    <t xml:space="preserve">  LOAN INTEREST EXPENSE</t>
  </si>
  <si>
    <t xml:space="preserve">  NET FUEL</t>
  </si>
  <si>
    <t xml:space="preserve">  BOOK DEPRECIATION</t>
  </si>
  <si>
    <t xml:space="preserve">TOTAL EXPENSES</t>
  </si>
  <si>
    <t xml:space="preserve">INCOME TAX</t>
  </si>
  <si>
    <t xml:space="preserve">NET INCOME </t>
  </si>
  <si>
    <t xml:space="preserve">Transwestern Pipeline Company</t>
  </si>
  <si>
    <t xml:space="preserve">Year</t>
  </si>
  <si>
    <t xml:space="preserve">Customers</t>
  </si>
  <si>
    <t xml:space="preserve">Total</t>
  </si>
  <si>
    <t xml:space="preserve">Mainline</t>
  </si>
  <si>
    <t xml:space="preserve">Vol(MMbtu/d)</t>
  </si>
  <si>
    <t xml:space="preserve">COS Rate</t>
  </si>
  <si>
    <t xml:space="preserve">Rate Adder</t>
  </si>
  <si>
    <t xml:space="preserve">Distribution</t>
  </si>
  <si>
    <t xml:space="preserve">Revenues ($000's)</t>
  </si>
  <si>
    <t xml:space="preserve">Fuel Retainage</t>
  </si>
  <si>
    <t xml:space="preserve">San Juan To California</t>
  </si>
  <si>
    <t xml:space="preserve">Rate</t>
  </si>
  <si>
    <t xml:space="preserve">Permian to California</t>
  </si>
  <si>
    <t xml:space="preserve">La Plata to Bloomfield</t>
  </si>
  <si>
    <t xml:space="preserve">Commodity Rate</t>
  </si>
  <si>
    <t xml:space="preserve">Total Project</t>
  </si>
  <si>
    <t xml:space="preserve">Composite Rate</t>
  </si>
  <si>
    <t xml:space="preserve">Fuel Retainage Revenues</t>
  </si>
</sst>
</file>

<file path=xl/styles.xml><?xml version="1.0" encoding="utf-8"?>
<styleSheet xmlns="http://schemas.openxmlformats.org/spreadsheetml/2006/main">
  <numFmts count="50">
    <numFmt numFmtId="164" formatCode="General"/>
    <numFmt numFmtId="165" formatCode="0.000000"/>
    <numFmt numFmtId="166" formatCode="0.0000000"/>
    <numFmt numFmtId="167" formatCode="\$#,##0_);[RED]&quot;($&quot;#,##0\)"/>
    <numFmt numFmtId="168" formatCode="_-* #,##0_-;\-* #,##0_-;_-* \-_-;_-@_-"/>
    <numFmt numFmtId="169" formatCode="_-* #,##0.00_-;\-* #,##0.00_-;_-* \-??_-;_-@_-"/>
    <numFmt numFmtId="170" formatCode="_ \\* #,##0.00_ ;_ \\* &quot;\\\\\-&quot;#,##0.00_ ;_ \\* \-??_ ;_ @_ "/>
    <numFmt numFmtId="171" formatCode="[$-409]#,##0_);\(#,##0\)"/>
    <numFmt numFmtId="172" formatCode="yy&quot;\\\-&quot;mm&quot;\\\-&quot;dd&quot;\\\\ &quot;h:mm"/>
    <numFmt numFmtId="173" formatCode="0.00_)"/>
    <numFmt numFmtId="174" formatCode="0.0%"/>
    <numFmt numFmtId="175" formatCode="0.00%"/>
    <numFmt numFmtId="176" formatCode="[$-409]d\-mmm\-yy"/>
    <numFmt numFmtId="177" formatCode="#,##0.00"/>
    <numFmt numFmtId="178" formatCode="#,##0"/>
    <numFmt numFmtId="179" formatCode="_(\$* #,##0.000000000_);_(\$* \(#,##0.000000000\);_(\$* \-??_);_(@_)"/>
    <numFmt numFmtId="180" formatCode="_(\$* #,##0.00_);_(\$* \(#,##0.00\);_(\$* \-??_);_(@_)"/>
    <numFmt numFmtId="181" formatCode="_(\$* #,##0_);_(\$* \(#,##0\);_(\$* \-??_);_(@_)"/>
    <numFmt numFmtId="182" formatCode="0%"/>
    <numFmt numFmtId="183" formatCode="General_)"/>
    <numFmt numFmtId="184" formatCode="_(* #,##0.00_);_(* \(#,##0.00\);_(* \-??_);_(@_)"/>
    <numFmt numFmtId="185" formatCode="_(* #,##0_);_(* \(#,##0\);_(* \-??_);_(@_)"/>
    <numFmt numFmtId="186" formatCode="[$-409]mmm\-yy"/>
    <numFmt numFmtId="187" formatCode="m/d"/>
    <numFmt numFmtId="188" formatCode="0"/>
    <numFmt numFmtId="189" formatCode="0.0000"/>
    <numFmt numFmtId="190" formatCode="0.000"/>
    <numFmt numFmtId="191" formatCode="\$#,##0.0000_);&quot;($&quot;#,##0.0000\)"/>
    <numFmt numFmtId="192" formatCode="\$#,##0_);&quot;($&quot;#,##0\)"/>
    <numFmt numFmtId="193" formatCode="\$#,##0.00_);[RED]&quot;($&quot;#,##0.00\)"/>
    <numFmt numFmtId="194" formatCode="_(* #,##0_);_(* \(#,##0\);_(* \-_);_(@_)"/>
    <numFmt numFmtId="195" formatCode="_(* #,##0.0000_);_(* \(#,##0.0000\);_(* \-_);_(@_)"/>
    <numFmt numFmtId="196" formatCode="_(* #,##0.00000_);_(* \(#,##0.00000\);_(* \-_);_(@_)"/>
    <numFmt numFmtId="197" formatCode="_(\$* #,##0_);_(\$* \(#,##0\);_(\$* \-_);_(@_)"/>
    <numFmt numFmtId="198" formatCode="_(\$* #,##0.000_);_(\$* \(#,##0.000\);_(\$* \-??_);_(@_)"/>
    <numFmt numFmtId="199" formatCode="\$#,##0.00_);&quot;($&quot;#,##0.00\)"/>
    <numFmt numFmtId="200" formatCode="dd\-mmm\-yy_)"/>
    <numFmt numFmtId="201" formatCode="hh:mm\ AM/PM_)"/>
    <numFmt numFmtId="202" formatCode=";;;"/>
    <numFmt numFmtId="203" formatCode="0.0_)"/>
    <numFmt numFmtId="204" formatCode="#,##0.0_);\(#,##0.0\)"/>
    <numFmt numFmtId="205" formatCode="_(\$* #,##0.0000_);_(\$* \(#,##0.0000\);_(\$* \-????_);_(@_)"/>
    <numFmt numFmtId="206" formatCode="\$#,##0.000_);&quot;($&quot;#,##0.000\)"/>
    <numFmt numFmtId="207" formatCode="[$-409]#,##0.00_);\(#,##0.00\)"/>
    <numFmt numFmtId="208" formatCode="0_)"/>
    <numFmt numFmtId="209" formatCode="yyyy"/>
    <numFmt numFmtId="210" formatCode="0.0"/>
    <numFmt numFmtId="211" formatCode="_(\$* #,##0.00000_);_(\$* \(#,##0.00000\);_(\$* \-??_);_(@_)"/>
    <numFmt numFmtId="212" formatCode="_(\$* #,##0.0000_);_(\$* \(#,##0.0000\);_(\$* \-??_);_(@_)"/>
    <numFmt numFmtId="213" formatCode="0.0000%"/>
  </numFmts>
  <fonts count="3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1"/>
      <name val="??"/>
      <family val="3"/>
      <charset val="129"/>
    </font>
    <font>
      <sz val="8"/>
      <name val="Arial"/>
      <family val="0"/>
    </font>
    <font>
      <sz val="8"/>
      <name val="Arial"/>
      <family val="2"/>
    </font>
    <font>
      <b val="true"/>
      <sz val="11"/>
      <name val="Arial"/>
      <family val="2"/>
    </font>
    <font>
      <b val="true"/>
      <sz val="12"/>
      <name val="Arial"/>
      <family val="2"/>
    </font>
    <font>
      <sz val="10"/>
      <color rgb="FF0000FF"/>
      <name val="Arial"/>
      <family val="2"/>
    </font>
    <font>
      <b val="true"/>
      <i val="true"/>
      <sz val="16"/>
      <name val="Arial"/>
      <family val="0"/>
    </font>
    <font>
      <b val="true"/>
      <sz val="10"/>
      <name val="MS Sans Serif"/>
      <family val="0"/>
    </font>
    <font>
      <b val="true"/>
      <sz val="8"/>
      <name val="Times New Roman"/>
      <family val="0"/>
    </font>
    <font>
      <sz val="8"/>
      <color rgb="FF0000FF"/>
      <name val="Arial"/>
      <family val="2"/>
    </font>
    <font>
      <b val="true"/>
      <sz val="10"/>
      <name val="Arial"/>
      <family val="2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color rgb="FF3333CC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2"/>
      <name val="Arial"/>
      <family val="0"/>
    </font>
    <font>
      <sz val="12"/>
      <color rgb="FF0000FF"/>
      <name val="Arial"/>
      <family val="0"/>
    </font>
    <font>
      <sz val="12"/>
      <name val="Arial"/>
      <family val="0"/>
    </font>
    <font>
      <u val="single"/>
      <sz val="12"/>
      <name val="Arial"/>
      <family val="0"/>
    </font>
    <font>
      <b val="true"/>
      <sz val="8"/>
      <name val="Arial"/>
      <family val="2"/>
    </font>
    <font>
      <b val="true"/>
      <i val="true"/>
      <sz val="8"/>
      <color rgb="FF0000FF"/>
      <name val="Arial"/>
      <family val="2"/>
    </font>
    <font>
      <b val="true"/>
      <sz val="8"/>
      <color rgb="FFFF0000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3333CC"/>
      <name val="Arial"/>
      <family val="2"/>
    </font>
    <font>
      <sz val="8"/>
      <color rgb="FF000000"/>
      <name val="Arial"/>
      <family val="2"/>
    </font>
    <font>
      <sz val="8"/>
      <color rgb="FFFFFFFF"/>
      <name val="Arial"/>
      <family val="2"/>
    </font>
    <font>
      <sz val="10"/>
      <color rgb="FFFFFFFF"/>
      <name val="Arial"/>
      <family val="2"/>
    </font>
    <font>
      <u val="single"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DFDFDF"/>
      </patternFill>
    </fill>
    <fill>
      <patternFill patternType="solid">
        <fgColor rgb="FFFFFFC0"/>
        <bgColor rgb="FFFFFF99"/>
      </patternFill>
    </fill>
    <fill>
      <patternFill patternType="solid">
        <fgColor rgb="FFDFDFDF"/>
        <bgColor rgb="FFCCFFCC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0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FFFF"/>
        <bgColor rgb="FFFFFFC0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2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7" fontId="5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5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applyFont="true" applyBorder="false" applyAlignment="false" applyProtection="false"/>
    <xf numFmtId="164" fontId="8" fillId="0" borderId="0" applyFont="true" applyBorder="false" applyAlignment="true" applyProtection="false">
      <alignment horizontal="right" vertical="bottom" textRotation="0" wrapText="false" indent="0" shrinkToFit="false"/>
    </xf>
    <xf numFmtId="164" fontId="9" fillId="0" borderId="1" applyFont="true" applyBorder="true" applyAlignment="false" applyProtection="false"/>
    <xf numFmtId="164" fontId="9" fillId="0" borderId="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5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5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3" applyFont="true" applyBorder="true" applyAlignment="false" applyProtection="false"/>
    <xf numFmtId="164" fontId="7" fillId="3" borderId="0" applyFont="true" applyBorder="false" applyAlignment="false" applyProtection="false"/>
    <xf numFmtId="173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12" fillId="0" borderId="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0" applyFont="true" applyBorder="false" applyAlignment="false" applyProtection="false"/>
    <xf numFmtId="164" fontId="7" fillId="6" borderId="0" applyFont="true" applyBorder="false" applyAlignment="false" applyProtection="false"/>
    <xf numFmtId="171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0" applyFont="true" applyBorder="false" applyAlignment="false" applyProtection="false"/>
    <xf numFmtId="178" fontId="14" fillId="0" borderId="3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</cellStyleXfs>
  <cellXfs count="2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5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3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8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6" fontId="1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7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2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1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21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1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8" fontId="1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8" fontId="2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4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17" fillId="0" borderId="0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9" fontId="17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2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1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90" fontId="2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8" fontId="1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7" borderId="0" xfId="19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2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9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77" fontId="2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91" fontId="22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92" fontId="22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71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1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2" fontId="21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5" fontId="15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9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3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25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2" fontId="0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9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9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3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9" fontId="2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2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1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82" fontId="7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1" fontId="31" fillId="0" borderId="0" xfId="17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14" fillId="0" borderId="0" xfId="17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1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2" fontId="3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1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32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0" fontId="3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82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7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31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202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91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81" fontId="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03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28" fillId="0" borderId="0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20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205" fontId="14" fillId="0" borderId="0" xfId="17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90" fontId="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2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9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3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91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1" fontId="33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92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4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06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08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34" fillId="9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8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4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0000" xfId="20"/>
    <cellStyle name="000000" xfId="21"/>
    <cellStyle name="blank" xfId="22"/>
    <cellStyle name="Date" xfId="23"/>
    <cellStyle name="Dezimal [0]_Compiling Utility Macros" xfId="24"/>
    <cellStyle name="Dezimal_Compiling Utility Macros" xfId="25"/>
    <cellStyle name="Fixed" xfId="26"/>
    <cellStyle name="general" xfId="27"/>
    <cellStyle name="Grey" xfId="28"/>
    <cellStyle name="Header" xfId="29"/>
    <cellStyle name="Header1" xfId="30"/>
    <cellStyle name="Header2" xfId="31"/>
    <cellStyle name="Heading 1" xfId="32"/>
    <cellStyle name="Heading2" xfId="33"/>
    <cellStyle name="HIGHLIGHT" xfId="34"/>
    <cellStyle name="Input [yellow]" xfId="35"/>
    <cellStyle name="Normal - Style1" xfId="36"/>
    <cellStyle name="Percent (0)" xfId="37"/>
    <cellStyle name="Percent [2]" xfId="38"/>
    <cellStyle name="PSChar" xfId="39"/>
    <cellStyle name="PSDate" xfId="40"/>
    <cellStyle name="PSDec" xfId="41"/>
    <cellStyle name="PSHeading" xfId="42"/>
    <cellStyle name="PSInt" xfId="43"/>
    <cellStyle name="PSSpacer" xfId="44"/>
    <cellStyle name="Standard_Anpassen der Amortisation" xfId="45"/>
    <cellStyle name="taples Plaza" xfId="46"/>
    <cellStyle name="Total" xfId="47"/>
    <cellStyle name="uk" xfId="48"/>
    <cellStyle name="Un" xfId="49"/>
    <cellStyle name="Unprot" xfId="50"/>
    <cellStyle name="Unprot$" xfId="51"/>
    <cellStyle name="Unprot_CASH_Northern_Header_120199" xfId="52"/>
    <cellStyle name="Unprotect" xfId="53"/>
    <cellStyle name="Währung [0]_Compiling Utility Macros" xfId="54"/>
    <cellStyle name="Währung_Compiling Utility Macros" xfId="5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ata1in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ta1cf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1int"/>
    </sheetNames>
    <sheetDataSet>
      <sheetData sheetId="0">
        <row r="2">
          <cell r="F2">
            <v>-4665.07752264729</v>
          </cell>
        </row>
        <row r="3">
          <cell r="F3">
            <v>-1441.52192407547</v>
          </cell>
        </row>
        <row r="4">
          <cell r="F4">
            <v>-4413.6499955137</v>
          </cell>
        </row>
        <row r="5">
          <cell r="F5">
            <v>-4974.94348996562</v>
          </cell>
        </row>
        <row r="6">
          <cell r="F6">
            <v>-2408.14230733675</v>
          </cell>
        </row>
        <row r="7">
          <cell r="F7">
            <v>-2391.28877043938</v>
          </cell>
        </row>
        <row r="8">
          <cell r="F8">
            <v>-4556.95034583309</v>
          </cell>
        </row>
        <row r="9">
          <cell r="F9">
            <v>-3933.42110104098</v>
          </cell>
        </row>
        <row r="10">
          <cell r="F10">
            <v>-3481.45381620164</v>
          </cell>
        </row>
        <row r="11">
          <cell r="F11">
            <v>-3924.39958071609</v>
          </cell>
        </row>
        <row r="12">
          <cell r="F12">
            <v>-4731.69402714903</v>
          </cell>
        </row>
        <row r="13">
          <cell r="F13">
            <v>-3465.49701204771</v>
          </cell>
        </row>
        <row r="14">
          <cell r="F14">
            <v>-3774.93022472206</v>
          </cell>
        </row>
        <row r="15">
          <cell r="F15">
            <v>-4212.24636414123</v>
          </cell>
        </row>
        <row r="16">
          <cell r="F16">
            <v>-1828.00721299247</v>
          </cell>
        </row>
        <row r="17">
          <cell r="F17">
            <v>-3818.57540160755</v>
          </cell>
        </row>
        <row r="18">
          <cell r="F18">
            <v>-4139.40340018415</v>
          </cell>
        </row>
        <row r="19">
          <cell r="F19">
            <v>-3094.02500162867</v>
          </cell>
        </row>
        <row r="20">
          <cell r="F20">
            <v>-3342.23681650023</v>
          </cell>
        </row>
        <row r="21">
          <cell r="F21">
            <v>-1474.02729769812</v>
          </cell>
        </row>
        <row r="22">
          <cell r="F22">
            <v>-4145.77195336381</v>
          </cell>
        </row>
        <row r="23">
          <cell r="F23">
            <v>-2029.98678487263</v>
          </cell>
        </row>
        <row r="24">
          <cell r="F24">
            <v>-1596.08909537192</v>
          </cell>
        </row>
        <row r="25">
          <cell r="F25">
            <v>-2449.84405919163</v>
          </cell>
        </row>
        <row r="26">
          <cell r="F26">
            <v>-3897.70764632961</v>
          </cell>
        </row>
        <row r="27">
          <cell r="F27">
            <v>-2828.42210331549</v>
          </cell>
        </row>
        <row r="28">
          <cell r="F28">
            <v>-1696.12101205224</v>
          </cell>
        </row>
        <row r="29">
          <cell r="F29">
            <v>-4618.48488571957</v>
          </cell>
        </row>
        <row r="30">
          <cell r="F30">
            <v>-3621.06673111378</v>
          </cell>
        </row>
        <row r="31">
          <cell r="F31">
            <v>-4890.52661026013</v>
          </cell>
        </row>
        <row r="32">
          <cell r="F32">
            <v>-2907.3599541194</v>
          </cell>
        </row>
        <row r="33">
          <cell r="F33">
            <v>-2220.30407087841</v>
          </cell>
        </row>
        <row r="34">
          <cell r="F34">
            <v>-4049.30921219606</v>
          </cell>
        </row>
        <row r="35">
          <cell r="F35">
            <v>-2601.6297031758</v>
          </cell>
        </row>
        <row r="36">
          <cell r="F36">
            <v>-1682.65264673931</v>
          </cell>
        </row>
        <row r="37">
          <cell r="F37">
            <v>-2701.77765233846</v>
          </cell>
        </row>
        <row r="38">
          <cell r="F38">
            <v>-2983.65616117638</v>
          </cell>
        </row>
        <row r="39">
          <cell r="F39">
            <v>-4654.78716921917</v>
          </cell>
        </row>
        <row r="40">
          <cell r="F40">
            <v>-1501.59588706088</v>
          </cell>
        </row>
        <row r="41">
          <cell r="F41">
            <v>-4259.50627410926</v>
          </cell>
        </row>
        <row r="42">
          <cell r="F42">
            <v>-3650.85081762699</v>
          </cell>
        </row>
        <row r="43">
          <cell r="F43">
            <v>-3439.821020961</v>
          </cell>
        </row>
        <row r="44">
          <cell r="F44">
            <v>-4950.94452642883</v>
          </cell>
        </row>
        <row r="45">
          <cell r="F45">
            <v>-3598.73257972851</v>
          </cell>
        </row>
        <row r="46">
          <cell r="F46">
            <v>-1566.0256333799</v>
          </cell>
        </row>
        <row r="47">
          <cell r="F47">
            <v>-1920.12146728424</v>
          </cell>
        </row>
        <row r="48">
          <cell r="F48">
            <v>-3047.4415452285</v>
          </cell>
        </row>
        <row r="49">
          <cell r="F49">
            <v>-1430.49423159996</v>
          </cell>
        </row>
        <row r="50">
          <cell r="F50">
            <v>-2597.4810726405</v>
          </cell>
        </row>
        <row r="51">
          <cell r="F51">
            <v>-4573.8157737652</v>
          </cell>
        </row>
        <row r="52">
          <cell r="F52">
            <v>-1908.91361493533</v>
          </cell>
        </row>
        <row r="53">
          <cell r="F53">
            <v>-1797.86261694525</v>
          </cell>
        </row>
        <row r="54">
          <cell r="F54">
            <v>-1627.39841068022</v>
          </cell>
        </row>
        <row r="55">
          <cell r="F55">
            <v>-2010.51115576718</v>
          </cell>
        </row>
        <row r="56">
          <cell r="F56">
            <v>-3190.33679635893</v>
          </cell>
        </row>
        <row r="57">
          <cell r="F57">
            <v>-3789.33535063768</v>
          </cell>
        </row>
        <row r="58">
          <cell r="F58">
            <v>-3794.38694929071</v>
          </cell>
        </row>
        <row r="59">
          <cell r="F59">
            <v>-1673.74394804134</v>
          </cell>
        </row>
        <row r="60">
          <cell r="F60">
            <v>-2094.17669357587</v>
          </cell>
        </row>
        <row r="61">
          <cell r="F61">
            <v>-3319.44865257215</v>
          </cell>
        </row>
        <row r="62">
          <cell r="F62">
            <v>-2675.59872155235</v>
          </cell>
        </row>
        <row r="63">
          <cell r="F63">
            <v>-4815.91198047141</v>
          </cell>
        </row>
        <row r="64">
          <cell r="F64">
            <v>-4377.23434345482</v>
          </cell>
        </row>
        <row r="65">
          <cell r="F65">
            <v>-5060.53041505289</v>
          </cell>
        </row>
        <row r="66">
          <cell r="F66">
            <v>-3503.19805701126</v>
          </cell>
        </row>
        <row r="67">
          <cell r="F67">
            <v>-2440.77137049514</v>
          </cell>
        </row>
        <row r="68">
          <cell r="F68">
            <v>-3868.00982330375</v>
          </cell>
        </row>
        <row r="69">
          <cell r="F69">
            <v>-4745.10131201916</v>
          </cell>
        </row>
        <row r="70">
          <cell r="F70">
            <v>-2789.51965148747</v>
          </cell>
        </row>
        <row r="71">
          <cell r="F71">
            <v>-3021.12619018124</v>
          </cell>
        </row>
        <row r="72">
          <cell r="F72">
            <v>-3087.83819908472</v>
          </cell>
        </row>
        <row r="73">
          <cell r="F73">
            <v>-2500.59168107733</v>
          </cell>
        </row>
        <row r="74">
          <cell r="F74">
            <v>-2853.25053381346</v>
          </cell>
        </row>
        <row r="75">
          <cell r="F75">
            <v>-1821.1960069004</v>
          </cell>
        </row>
        <row r="76">
          <cell r="F76">
            <v>-4330.9658165893</v>
          </cell>
        </row>
        <row r="77">
          <cell r="F77">
            <v>-4612.07851483962</v>
          </cell>
        </row>
        <row r="78">
          <cell r="F78">
            <v>-4768.94622178334</v>
          </cell>
        </row>
        <row r="79">
          <cell r="F79">
            <v>-3895.21594142233</v>
          </cell>
        </row>
        <row r="80">
          <cell r="F80">
            <v>-2148.98088882199</v>
          </cell>
        </row>
        <row r="81">
          <cell r="F81">
            <v>-3778.86883667141</v>
          </cell>
        </row>
        <row r="82">
          <cell r="F82">
            <v>-2243.93819773156</v>
          </cell>
        </row>
        <row r="83">
          <cell r="F83">
            <v>-2240.54034835791</v>
          </cell>
        </row>
        <row r="84">
          <cell r="F84">
            <v>-3026.38265555872</v>
          </cell>
        </row>
        <row r="85">
          <cell r="F85">
            <v>-1921.76871893785</v>
          </cell>
        </row>
        <row r="86">
          <cell r="F86">
            <v>-3750.42694639091</v>
          </cell>
        </row>
        <row r="87">
          <cell r="F87">
            <v>-2551.04519481653</v>
          </cell>
        </row>
        <row r="88">
          <cell r="F88">
            <v>-1721.62501964597</v>
          </cell>
        </row>
        <row r="89">
          <cell r="F89">
            <v>-4227.07929642923</v>
          </cell>
        </row>
        <row r="90">
          <cell r="F90">
            <v>-2472.07254738051</v>
          </cell>
        </row>
        <row r="91">
          <cell r="F91">
            <v>-4906.69807071062</v>
          </cell>
        </row>
        <row r="92">
          <cell r="F92">
            <v>-2208.38048935011</v>
          </cell>
        </row>
        <row r="93">
          <cell r="F93">
            <v>-2837.4298882185</v>
          </cell>
        </row>
        <row r="94">
          <cell r="F94">
            <v>-4794.9065176417</v>
          </cell>
        </row>
        <row r="95">
          <cell r="F95">
            <v>-3318.9893811968</v>
          </cell>
        </row>
        <row r="96">
          <cell r="F96">
            <v>-4636.18149905026</v>
          </cell>
        </row>
        <row r="97">
          <cell r="F97">
            <v>-4246.516988786</v>
          </cell>
        </row>
        <row r="98">
          <cell r="F98">
            <v>-3726.2031298055</v>
          </cell>
        </row>
        <row r="99">
          <cell r="F99">
            <v>-1672.44903471737</v>
          </cell>
        </row>
        <row r="100">
          <cell r="F100">
            <v>-4372.67208710642</v>
          </cell>
        </row>
        <row r="101">
          <cell r="F101">
            <v>-1547.1669923166</v>
          </cell>
        </row>
        <row r="102">
          <cell r="F102">
            <v>-3604.46587697926</v>
          </cell>
        </row>
        <row r="103">
          <cell r="F103">
            <v>-4336.70704694766</v>
          </cell>
        </row>
        <row r="104">
          <cell r="F104">
            <v>-2456.82541129094</v>
          </cell>
        </row>
        <row r="105">
          <cell r="F105">
            <v>-4030.95305189204</v>
          </cell>
        </row>
        <row r="106">
          <cell r="F106">
            <v>-3332.9056772334</v>
          </cell>
        </row>
        <row r="107">
          <cell r="F107">
            <v>-3107.77254400645</v>
          </cell>
        </row>
        <row r="108">
          <cell r="F108">
            <v>-4436.66036582074</v>
          </cell>
        </row>
        <row r="109">
          <cell r="F109">
            <v>-4799.37832138025</v>
          </cell>
        </row>
        <row r="110">
          <cell r="F110">
            <v>-3768.42932425675</v>
          </cell>
        </row>
        <row r="111">
          <cell r="F111">
            <v>-3698.78755211071</v>
          </cell>
        </row>
        <row r="112">
          <cell r="F112">
            <v>-1875.69439275253</v>
          </cell>
        </row>
        <row r="113">
          <cell r="F113">
            <v>-1926.85253139089</v>
          </cell>
        </row>
        <row r="114">
          <cell r="F114">
            <v>-3771.74573591555</v>
          </cell>
        </row>
        <row r="115">
          <cell r="F115">
            <v>-2503.71899215731</v>
          </cell>
        </row>
        <row r="116">
          <cell r="F116">
            <v>-1874.56991011668</v>
          </cell>
        </row>
        <row r="117">
          <cell r="F117">
            <v>-2750.73566486939</v>
          </cell>
        </row>
        <row r="118">
          <cell r="F118">
            <v>-3046.11157129558</v>
          </cell>
        </row>
        <row r="119">
          <cell r="F119">
            <v>-4043.82477090681</v>
          </cell>
        </row>
        <row r="120">
          <cell r="F120">
            <v>-4303.20706383902</v>
          </cell>
        </row>
        <row r="121">
          <cell r="F121">
            <v>-1687.25709452178</v>
          </cell>
        </row>
        <row r="122">
          <cell r="F122">
            <v>-2831.28497689967</v>
          </cell>
        </row>
        <row r="123">
          <cell r="F123">
            <v>-3996.80256776117</v>
          </cell>
        </row>
        <row r="124">
          <cell r="F124">
            <v>-3920.46241287528</v>
          </cell>
        </row>
        <row r="125">
          <cell r="F125">
            <v>-1839.50306751399</v>
          </cell>
        </row>
        <row r="126">
          <cell r="F126">
            <v>-2125.50530334756</v>
          </cell>
        </row>
        <row r="127">
          <cell r="F127">
            <v>-5079.45591989454</v>
          </cell>
        </row>
        <row r="128">
          <cell r="F128">
            <v>-4140.42710750833</v>
          </cell>
        </row>
        <row r="129">
          <cell r="F129">
            <v>-2113.05541758237</v>
          </cell>
        </row>
        <row r="130">
          <cell r="F130">
            <v>-4372.26462075267</v>
          </cell>
        </row>
        <row r="131">
          <cell r="F131">
            <v>-2246.48531016778</v>
          </cell>
        </row>
        <row r="132">
          <cell r="F132">
            <v>-4991.59098518284</v>
          </cell>
        </row>
        <row r="133">
          <cell r="F133">
            <v>-3375.30745941031</v>
          </cell>
        </row>
        <row r="134">
          <cell r="F134">
            <v>-5064.82402580427</v>
          </cell>
        </row>
        <row r="135">
          <cell r="F135">
            <v>-3144.81709067024</v>
          </cell>
        </row>
        <row r="136">
          <cell r="F136">
            <v>-3255.17503560825</v>
          </cell>
        </row>
        <row r="137">
          <cell r="F137">
            <v>-3169.65196185779</v>
          </cell>
        </row>
        <row r="138">
          <cell r="F138">
            <v>-2503.54090614111</v>
          </cell>
        </row>
        <row r="139">
          <cell r="F139">
            <v>-1804.53033178863</v>
          </cell>
        </row>
        <row r="140">
          <cell r="F140">
            <v>-3473.24162640926</v>
          </cell>
        </row>
        <row r="141">
          <cell r="F141">
            <v>-3384.25401549139</v>
          </cell>
        </row>
        <row r="142">
          <cell r="F142">
            <v>-4667.07137415385</v>
          </cell>
        </row>
        <row r="143">
          <cell r="F143">
            <v>-4033.2038494735</v>
          </cell>
        </row>
        <row r="144">
          <cell r="F144">
            <v>-4402.41471890521</v>
          </cell>
        </row>
        <row r="145">
          <cell r="F145">
            <v>-4736.83161150988</v>
          </cell>
        </row>
        <row r="146">
          <cell r="F146">
            <v>-4556.277211817</v>
          </cell>
        </row>
        <row r="147">
          <cell r="F147">
            <v>-3132.75306484148</v>
          </cell>
        </row>
        <row r="148">
          <cell r="F148">
            <v>-2109.89206590103</v>
          </cell>
        </row>
        <row r="149">
          <cell r="F149">
            <v>-2990.44981884794</v>
          </cell>
        </row>
        <row r="150">
          <cell r="F150">
            <v>-2153.01829021808</v>
          </cell>
        </row>
        <row r="151">
          <cell r="F151">
            <v>-2494.0380904916</v>
          </cell>
        </row>
        <row r="152">
          <cell r="F152">
            <v>-1440.68850781386</v>
          </cell>
        </row>
        <row r="153">
          <cell r="F153">
            <v>-3468.81896549462</v>
          </cell>
        </row>
        <row r="154">
          <cell r="F154">
            <v>-1957.51863868391</v>
          </cell>
        </row>
        <row r="155">
          <cell r="F155">
            <v>-3834.77349783782</v>
          </cell>
        </row>
        <row r="156">
          <cell r="F156">
            <v>-1891.13667845864</v>
          </cell>
        </row>
        <row r="157">
          <cell r="F157">
            <v>-3071.96723916083</v>
          </cell>
        </row>
        <row r="158">
          <cell r="F158">
            <v>-1598.75668993913</v>
          </cell>
        </row>
        <row r="159">
          <cell r="F159">
            <v>-4425.32229697957</v>
          </cell>
        </row>
        <row r="160">
          <cell r="F160">
            <v>-3879.73259437905</v>
          </cell>
        </row>
        <row r="161">
          <cell r="F161">
            <v>-1664.21743486394</v>
          </cell>
        </row>
        <row r="162">
          <cell r="F162">
            <v>-2867.75572420118</v>
          </cell>
        </row>
        <row r="163">
          <cell r="F163">
            <v>-1797.13036764721</v>
          </cell>
        </row>
        <row r="164">
          <cell r="F164">
            <v>-3182.32385558799</v>
          </cell>
        </row>
        <row r="165">
          <cell r="F165">
            <v>-1434.02659528474</v>
          </cell>
        </row>
        <row r="166">
          <cell r="F166">
            <v>-2199.88455034518</v>
          </cell>
        </row>
        <row r="167">
          <cell r="F167">
            <v>-3616.87096604887</v>
          </cell>
        </row>
        <row r="168">
          <cell r="F168">
            <v>-3845.50972538583</v>
          </cell>
        </row>
        <row r="169">
          <cell r="F169">
            <v>-2488.14823945242</v>
          </cell>
        </row>
        <row r="170">
          <cell r="F170">
            <v>-3444.51924780646</v>
          </cell>
        </row>
        <row r="171">
          <cell r="F171">
            <v>-4194.87304133682</v>
          </cell>
        </row>
        <row r="172">
          <cell r="F172">
            <v>-4396.17522106483</v>
          </cell>
        </row>
        <row r="173">
          <cell r="F173">
            <v>-3438.466329825</v>
          </cell>
        </row>
        <row r="174">
          <cell r="F174">
            <v>-3222.74091157505</v>
          </cell>
        </row>
        <row r="175">
          <cell r="F175">
            <v>-2661.90707324905</v>
          </cell>
        </row>
        <row r="176">
          <cell r="F176">
            <v>-4965.59400172105</v>
          </cell>
        </row>
        <row r="177">
          <cell r="F177">
            <v>-5017.00722306847</v>
          </cell>
        </row>
        <row r="178">
          <cell r="F178">
            <v>-1571.61386759833</v>
          </cell>
        </row>
        <row r="179">
          <cell r="F179">
            <v>-1825.87625571597</v>
          </cell>
        </row>
        <row r="180">
          <cell r="F180">
            <v>-4957.07952222581</v>
          </cell>
        </row>
        <row r="181">
          <cell r="F181">
            <v>-4614.05760607307</v>
          </cell>
        </row>
        <row r="182">
          <cell r="F182">
            <v>-2967.9451487823</v>
          </cell>
        </row>
        <row r="183">
          <cell r="F183">
            <v>-4098.50495052814</v>
          </cell>
        </row>
        <row r="184">
          <cell r="F184">
            <v>-4952.20400129464</v>
          </cell>
        </row>
        <row r="185">
          <cell r="F185">
            <v>-4307.94208353356</v>
          </cell>
        </row>
        <row r="186">
          <cell r="F186">
            <v>-3221.04594222733</v>
          </cell>
        </row>
        <row r="187">
          <cell r="F187">
            <v>-4637.97159322521</v>
          </cell>
        </row>
        <row r="188">
          <cell r="F188">
            <v>-4929.6528195467</v>
          </cell>
        </row>
        <row r="189">
          <cell r="F189">
            <v>-2190.78001016983</v>
          </cell>
        </row>
        <row r="190">
          <cell r="F190">
            <v>-3824.62757769335</v>
          </cell>
        </row>
        <row r="191">
          <cell r="F191">
            <v>-4297.4044873357</v>
          </cell>
        </row>
        <row r="192">
          <cell r="F192">
            <v>-4198.09361905418</v>
          </cell>
        </row>
        <row r="193">
          <cell r="F193">
            <v>-1866.1982041292</v>
          </cell>
        </row>
        <row r="194">
          <cell r="F194">
            <v>-3286.19501505709</v>
          </cell>
        </row>
        <row r="195">
          <cell r="F195">
            <v>-2331.00735789741</v>
          </cell>
        </row>
        <row r="196">
          <cell r="F196">
            <v>-2197.46489903522</v>
          </cell>
        </row>
        <row r="197">
          <cell r="F197">
            <v>-5077.61459868648</v>
          </cell>
        </row>
        <row r="198">
          <cell r="F198">
            <v>-2250.84564494505</v>
          </cell>
        </row>
        <row r="199">
          <cell r="F199">
            <v>-4078.57921159615</v>
          </cell>
        </row>
        <row r="200">
          <cell r="F200">
            <v>-3567.72715351214</v>
          </cell>
        </row>
        <row r="201">
          <cell r="F201">
            <v>-2261.85530072916</v>
          </cell>
        </row>
        <row r="202">
          <cell r="F202">
            <v>-3645.28895348618</v>
          </cell>
        </row>
        <row r="203">
          <cell r="F203">
            <v>-4933.04699049809</v>
          </cell>
        </row>
        <row r="204">
          <cell r="F204">
            <v>-2090.25763144003</v>
          </cell>
        </row>
        <row r="205">
          <cell r="F205">
            <v>-1718.45833633548</v>
          </cell>
        </row>
        <row r="206">
          <cell r="F206">
            <v>-3532.01307767883</v>
          </cell>
        </row>
        <row r="207">
          <cell r="F207">
            <v>-2822.87687834171</v>
          </cell>
        </row>
        <row r="208">
          <cell r="F208">
            <v>-2612.72090537109</v>
          </cell>
        </row>
        <row r="209">
          <cell r="F209">
            <v>-3483.95454117995</v>
          </cell>
        </row>
        <row r="210">
          <cell r="F210">
            <v>-3111.01818054396</v>
          </cell>
        </row>
        <row r="211">
          <cell r="F211">
            <v>-2986.89245155384</v>
          </cell>
        </row>
        <row r="212">
          <cell r="F212">
            <v>-2926.88094410621</v>
          </cell>
        </row>
        <row r="213">
          <cell r="F213">
            <v>-1771.46867099211</v>
          </cell>
        </row>
        <row r="214">
          <cell r="F214">
            <v>-4103.85596274435</v>
          </cell>
        </row>
        <row r="215">
          <cell r="F215">
            <v>-1502.77141556931</v>
          </cell>
        </row>
        <row r="216">
          <cell r="F216">
            <v>-1599.79227277001</v>
          </cell>
        </row>
        <row r="217">
          <cell r="F217">
            <v>-4912.6560053426</v>
          </cell>
        </row>
        <row r="218">
          <cell r="F218">
            <v>-4485.10110453789</v>
          </cell>
        </row>
        <row r="219">
          <cell r="F219">
            <v>-2988.9330062553</v>
          </cell>
        </row>
        <row r="220">
          <cell r="F220">
            <v>-4328.44841966255</v>
          </cell>
        </row>
        <row r="221">
          <cell r="F221">
            <v>-3863.66305486517</v>
          </cell>
        </row>
        <row r="222">
          <cell r="F222">
            <v>-2174.76607659886</v>
          </cell>
        </row>
        <row r="223">
          <cell r="F223">
            <v>-1799.22395926218</v>
          </cell>
        </row>
        <row r="224">
          <cell r="F224">
            <v>-1779.28642591442</v>
          </cell>
        </row>
        <row r="225">
          <cell r="F225">
            <v>-1876.20295533094</v>
          </cell>
        </row>
        <row r="226">
          <cell r="F226">
            <v>-3597.96465732627</v>
          </cell>
        </row>
        <row r="227">
          <cell r="F227">
            <v>-2697.48881042343</v>
          </cell>
        </row>
        <row r="228">
          <cell r="F228">
            <v>-4559.861465065</v>
          </cell>
        </row>
        <row r="229">
          <cell r="F229">
            <v>-2893.62111607568</v>
          </cell>
        </row>
        <row r="230">
          <cell r="F230">
            <v>-4387.604393731</v>
          </cell>
        </row>
        <row r="231">
          <cell r="F231">
            <v>-4757.33793038545</v>
          </cell>
        </row>
        <row r="232">
          <cell r="F232">
            <v>-1733.32218496871</v>
          </cell>
        </row>
        <row r="233">
          <cell r="F233">
            <v>-3584.53477569441</v>
          </cell>
        </row>
        <row r="234">
          <cell r="F234">
            <v>-1824.12838230584</v>
          </cell>
        </row>
        <row r="235">
          <cell r="F235">
            <v>-4558.47816608701</v>
          </cell>
        </row>
        <row r="236">
          <cell r="F236">
            <v>-4531.49872987616</v>
          </cell>
        </row>
        <row r="237">
          <cell r="F237">
            <v>-2328.63820897831</v>
          </cell>
        </row>
        <row r="238">
          <cell r="F238">
            <v>-3810.95848646902</v>
          </cell>
        </row>
        <row r="239">
          <cell r="F239">
            <v>-3212.79985988037</v>
          </cell>
        </row>
        <row r="240">
          <cell r="F240">
            <v>-3405.19619807138</v>
          </cell>
        </row>
        <row r="241">
          <cell r="F241">
            <v>-2183.46004998674</v>
          </cell>
        </row>
        <row r="242">
          <cell r="F242">
            <v>-4213.53227637288</v>
          </cell>
        </row>
        <row r="243">
          <cell r="F243">
            <v>-1890.35436845647</v>
          </cell>
        </row>
        <row r="244">
          <cell r="F244">
            <v>-5010.53428171779</v>
          </cell>
        </row>
        <row r="245">
          <cell r="F245">
            <v>-3735.59466110495</v>
          </cell>
        </row>
        <row r="246">
          <cell r="F246">
            <v>-2186.14800527667</v>
          </cell>
        </row>
        <row r="247">
          <cell r="F247">
            <v>-2475.58453653986</v>
          </cell>
        </row>
        <row r="248">
          <cell r="F248">
            <v>-3226.98775011797</v>
          </cell>
        </row>
        <row r="249">
          <cell r="F249">
            <v>-4451.89909433455</v>
          </cell>
        </row>
        <row r="250">
          <cell r="F250">
            <v>-4221.10659462275</v>
          </cell>
        </row>
        <row r="251">
          <cell r="F251">
            <v>-2567.74098054035</v>
          </cell>
        </row>
        <row r="252">
          <cell r="F252">
            <v>-1689.55000072105</v>
          </cell>
        </row>
        <row r="253">
          <cell r="F253">
            <v>-3889.93022982753</v>
          </cell>
        </row>
        <row r="254">
          <cell r="F254">
            <v>-4429.61274863568</v>
          </cell>
        </row>
        <row r="255">
          <cell r="F255">
            <v>-1812.45386723034</v>
          </cell>
        </row>
        <row r="256">
          <cell r="F256">
            <v>-3414.11436715382</v>
          </cell>
        </row>
        <row r="257">
          <cell r="F257">
            <v>-3567.41601627208</v>
          </cell>
        </row>
        <row r="258">
          <cell r="F258">
            <v>-1496.22751966208</v>
          </cell>
        </row>
        <row r="259">
          <cell r="F259">
            <v>-1554.38178102487</v>
          </cell>
        </row>
        <row r="260">
          <cell r="F260">
            <v>-3335.30048021453</v>
          </cell>
        </row>
        <row r="261">
          <cell r="F261">
            <v>-3572.35010727816</v>
          </cell>
        </row>
        <row r="262">
          <cell r="F262">
            <v>-4052.88258890853</v>
          </cell>
        </row>
        <row r="263">
          <cell r="F263">
            <v>-4437.54496770736</v>
          </cell>
        </row>
        <row r="264">
          <cell r="F264">
            <v>-3079.44597709404</v>
          </cell>
        </row>
        <row r="265">
          <cell r="F265">
            <v>-1495.28517068715</v>
          </cell>
        </row>
        <row r="266">
          <cell r="F266">
            <v>-4787.60229082276</v>
          </cell>
        </row>
        <row r="267">
          <cell r="F267">
            <v>-2740.43260087061</v>
          </cell>
        </row>
        <row r="268">
          <cell r="F268">
            <v>-5081.50964410678</v>
          </cell>
        </row>
        <row r="269">
          <cell r="F269">
            <v>-3863.49739128807</v>
          </cell>
        </row>
        <row r="270">
          <cell r="F270">
            <v>-3759.61810547341</v>
          </cell>
        </row>
        <row r="271">
          <cell r="F271">
            <v>-4543.47692700292</v>
          </cell>
        </row>
        <row r="272">
          <cell r="F272">
            <v>-2899.13761070843</v>
          </cell>
        </row>
        <row r="273">
          <cell r="F273">
            <v>-3721.31682723241</v>
          </cell>
        </row>
        <row r="274">
          <cell r="F274">
            <v>-3976.34362323726</v>
          </cell>
        </row>
        <row r="275">
          <cell r="F275">
            <v>-2532.9712274695</v>
          </cell>
        </row>
        <row r="276">
          <cell r="F276">
            <v>-1993.27843944506</v>
          </cell>
        </row>
        <row r="277">
          <cell r="F277">
            <v>-4181.02824161311</v>
          </cell>
        </row>
        <row r="278">
          <cell r="F278">
            <v>-5057.81006997842</v>
          </cell>
        </row>
        <row r="279">
          <cell r="F279">
            <v>-3319.66121258212</v>
          </cell>
        </row>
        <row r="280">
          <cell r="F280">
            <v>-3145.72717581035</v>
          </cell>
        </row>
        <row r="281">
          <cell r="F281">
            <v>-3391.40798083231</v>
          </cell>
        </row>
        <row r="282">
          <cell r="F282">
            <v>-4534.44084654426</v>
          </cell>
        </row>
        <row r="283">
          <cell r="F283">
            <v>-3646.99125724897</v>
          </cell>
        </row>
        <row r="284">
          <cell r="F284">
            <v>-2268.29031568322</v>
          </cell>
        </row>
        <row r="285">
          <cell r="F285">
            <v>-3444.92030797738</v>
          </cell>
        </row>
        <row r="286">
          <cell r="F286">
            <v>-3893.1345790085</v>
          </cell>
        </row>
        <row r="287">
          <cell r="F287">
            <v>-1961.81499272392</v>
          </cell>
        </row>
        <row r="288">
          <cell r="F288">
            <v>-2436.98340132365</v>
          </cell>
        </row>
        <row r="289">
          <cell r="F289">
            <v>-2364.6679096578</v>
          </cell>
        </row>
        <row r="290">
          <cell r="F290">
            <v>-2098.53269775286</v>
          </cell>
        </row>
        <row r="291">
          <cell r="F291">
            <v>-3254.9717303154</v>
          </cell>
        </row>
        <row r="292">
          <cell r="F292">
            <v>-4617.86805813394</v>
          </cell>
        </row>
        <row r="293">
          <cell r="F293">
            <v>-4637.64201901518</v>
          </cell>
        </row>
        <row r="294">
          <cell r="F294">
            <v>-1544.24653727665</v>
          </cell>
        </row>
        <row r="295">
          <cell r="F295">
            <v>-3481.36141568431</v>
          </cell>
        </row>
        <row r="296">
          <cell r="F296">
            <v>-3082.90693935955</v>
          </cell>
        </row>
        <row r="297">
          <cell r="F297">
            <v>-2499.42565228412</v>
          </cell>
        </row>
        <row r="298">
          <cell r="F298">
            <v>-2547.43656770785</v>
          </cell>
        </row>
        <row r="299">
          <cell r="F299">
            <v>-2855.75587924898</v>
          </cell>
        </row>
        <row r="300">
          <cell r="F300">
            <v>-5026.92215485968</v>
          </cell>
        </row>
        <row r="301">
          <cell r="F301">
            <v>-1513.36194688569</v>
          </cell>
        </row>
        <row r="302">
          <cell r="F302">
            <v>-4048.24883969788</v>
          </cell>
        </row>
        <row r="303">
          <cell r="F303">
            <v>-3966.12478855143</v>
          </cell>
        </row>
        <row r="304">
          <cell r="F304">
            <v>-4749.46015610371</v>
          </cell>
        </row>
        <row r="305">
          <cell r="F305">
            <v>-3308.1810655447</v>
          </cell>
        </row>
        <row r="306">
          <cell r="F306">
            <v>-2378.11435971779</v>
          </cell>
        </row>
        <row r="307">
          <cell r="F307">
            <v>-2265.9410185119</v>
          </cell>
        </row>
        <row r="308">
          <cell r="F308">
            <v>-2854.43947165474</v>
          </cell>
        </row>
        <row r="309">
          <cell r="F309">
            <v>-4156.90568515955</v>
          </cell>
        </row>
        <row r="310">
          <cell r="F310">
            <v>-2421.21193996074</v>
          </cell>
        </row>
        <row r="311">
          <cell r="F311">
            <v>-4527.15521887716</v>
          </cell>
        </row>
        <row r="312">
          <cell r="F312">
            <v>-4177.33276957792</v>
          </cell>
        </row>
        <row r="313">
          <cell r="F313">
            <v>-2313.3714902938</v>
          </cell>
        </row>
        <row r="314">
          <cell r="F314">
            <v>-4366.08901393194</v>
          </cell>
        </row>
        <row r="315">
          <cell r="F315">
            <v>-4160.68915982357</v>
          </cell>
        </row>
        <row r="316">
          <cell r="F316">
            <v>-1491.24757087709</v>
          </cell>
        </row>
        <row r="317">
          <cell r="F317">
            <v>-3269.72117173541</v>
          </cell>
        </row>
        <row r="318">
          <cell r="F318">
            <v>-3719.80444185905</v>
          </cell>
        </row>
        <row r="319">
          <cell r="F319">
            <v>-3220.64959395659</v>
          </cell>
        </row>
        <row r="320">
          <cell r="F320">
            <v>-3613.47459011451</v>
          </cell>
        </row>
        <row r="321">
          <cell r="F321">
            <v>-3439.24347933893</v>
          </cell>
        </row>
        <row r="322">
          <cell r="F322">
            <v>-1428.81628099377</v>
          </cell>
        </row>
        <row r="323">
          <cell r="F323">
            <v>-2431.63433356422</v>
          </cell>
        </row>
        <row r="324">
          <cell r="F324">
            <v>-1416.50051961317</v>
          </cell>
        </row>
        <row r="325">
          <cell r="F325">
            <v>-4562.74013757621</v>
          </cell>
        </row>
        <row r="326">
          <cell r="F326">
            <v>-4798.55029162626</v>
          </cell>
        </row>
        <row r="327">
          <cell r="F327">
            <v>-4357.33697771875</v>
          </cell>
        </row>
        <row r="328">
          <cell r="F328">
            <v>-4309.07872118097</v>
          </cell>
        </row>
        <row r="329">
          <cell r="F329">
            <v>-2207.60108826908</v>
          </cell>
        </row>
        <row r="330">
          <cell r="F330">
            <v>-4400.87672950463</v>
          </cell>
        </row>
        <row r="331">
          <cell r="F331">
            <v>-3801.92473349232</v>
          </cell>
        </row>
        <row r="332">
          <cell r="F332">
            <v>-3878.07425914924</v>
          </cell>
        </row>
        <row r="333">
          <cell r="F333">
            <v>-2205.91808587102</v>
          </cell>
        </row>
        <row r="334">
          <cell r="F334">
            <v>-2499.9015283197</v>
          </cell>
        </row>
        <row r="335">
          <cell r="F335">
            <v>-4194.49375666641</v>
          </cell>
        </row>
        <row r="336">
          <cell r="F336">
            <v>-3571.00832857744</v>
          </cell>
        </row>
        <row r="337">
          <cell r="F337">
            <v>-1622.09909306396</v>
          </cell>
        </row>
        <row r="338">
          <cell r="F338">
            <v>-4990.86558720501</v>
          </cell>
        </row>
        <row r="339">
          <cell r="F339">
            <v>-3539.07696480841</v>
          </cell>
        </row>
        <row r="340">
          <cell r="F340">
            <v>-2208.55752981102</v>
          </cell>
        </row>
        <row r="341">
          <cell r="F341">
            <v>-3345.56657020367</v>
          </cell>
        </row>
        <row r="342">
          <cell r="F342">
            <v>-3615.08874977069</v>
          </cell>
        </row>
        <row r="343">
          <cell r="F343">
            <v>-4190.23769101181</v>
          </cell>
        </row>
        <row r="344">
          <cell r="F344">
            <v>-2443.47776102973</v>
          </cell>
        </row>
        <row r="345">
          <cell r="F345">
            <v>-3662.25601594865</v>
          </cell>
        </row>
        <row r="346">
          <cell r="F346">
            <v>-3732.77219322923</v>
          </cell>
        </row>
        <row r="347">
          <cell r="F347">
            <v>-4623.43452892924</v>
          </cell>
        </row>
        <row r="348">
          <cell r="F348">
            <v>-2167.98382169119</v>
          </cell>
        </row>
        <row r="349">
          <cell r="F349">
            <v>-4182.06621058749</v>
          </cell>
        </row>
        <row r="350">
          <cell r="F350">
            <v>-1683.93535501689</v>
          </cell>
        </row>
        <row r="351">
          <cell r="F351">
            <v>-2419.12245120136</v>
          </cell>
        </row>
        <row r="352">
          <cell r="F352">
            <v>-2315.69213303898</v>
          </cell>
        </row>
        <row r="353">
          <cell r="F353">
            <v>-4893.82514050803</v>
          </cell>
        </row>
        <row r="354">
          <cell r="F354">
            <v>-4717.02405138163</v>
          </cell>
        </row>
        <row r="355">
          <cell r="F355">
            <v>-2884.44407889094</v>
          </cell>
        </row>
        <row r="356">
          <cell r="F356">
            <v>-4536.33681095623</v>
          </cell>
        </row>
        <row r="357">
          <cell r="F357">
            <v>-3770.86202775443</v>
          </cell>
        </row>
        <row r="358">
          <cell r="F358">
            <v>-4411.66830592008</v>
          </cell>
        </row>
        <row r="359">
          <cell r="F359">
            <v>-2838.90134510581</v>
          </cell>
        </row>
        <row r="360">
          <cell r="F360">
            <v>-4736.81779327175</v>
          </cell>
        </row>
        <row r="361">
          <cell r="F361">
            <v>-4868.02169002036</v>
          </cell>
        </row>
        <row r="362">
          <cell r="F362">
            <v>-2768.82865235093</v>
          </cell>
        </row>
        <row r="363">
          <cell r="F363">
            <v>-2484.14349354304</v>
          </cell>
        </row>
        <row r="364">
          <cell r="F364">
            <v>-3702.56656332336</v>
          </cell>
        </row>
        <row r="365">
          <cell r="F365">
            <v>-3268.39888246136</v>
          </cell>
        </row>
        <row r="366">
          <cell r="F366">
            <v>-4115.90384457832</v>
          </cell>
        </row>
        <row r="367">
          <cell r="F367">
            <v>-4129.96267947664</v>
          </cell>
        </row>
        <row r="368">
          <cell r="F368">
            <v>-3833.9323002984</v>
          </cell>
        </row>
        <row r="369">
          <cell r="F369">
            <v>-1540.98931854003</v>
          </cell>
        </row>
        <row r="370">
          <cell r="F370">
            <v>-3095.36402668872</v>
          </cell>
        </row>
        <row r="371">
          <cell r="F371">
            <v>-3992.05880404979</v>
          </cell>
        </row>
        <row r="372">
          <cell r="F372">
            <v>-3751.59880337845</v>
          </cell>
        </row>
        <row r="373">
          <cell r="F373">
            <v>-4926.98939684859</v>
          </cell>
        </row>
        <row r="374">
          <cell r="F374">
            <v>-3052.81626704995</v>
          </cell>
        </row>
        <row r="375">
          <cell r="F375">
            <v>-4456.73277235008</v>
          </cell>
        </row>
        <row r="376">
          <cell r="F376">
            <v>-1589.81789098114</v>
          </cell>
        </row>
        <row r="377">
          <cell r="F377">
            <v>-3822.75441190777</v>
          </cell>
        </row>
        <row r="378">
          <cell r="F378">
            <v>-3290.47896046071</v>
          </cell>
        </row>
        <row r="379">
          <cell r="F379">
            <v>-4273.86543009895</v>
          </cell>
        </row>
        <row r="380">
          <cell r="F380">
            <v>-3504.45082548533</v>
          </cell>
        </row>
        <row r="381">
          <cell r="F381">
            <v>-3269.8212396582</v>
          </cell>
        </row>
        <row r="382">
          <cell r="F382">
            <v>-2583.6305810242</v>
          </cell>
        </row>
        <row r="383">
          <cell r="F383">
            <v>-3866.35551673995</v>
          </cell>
        </row>
        <row r="384">
          <cell r="F384">
            <v>-3072.94305280636</v>
          </cell>
        </row>
        <row r="385">
          <cell r="F385">
            <v>-3517.31423354328</v>
          </cell>
        </row>
        <row r="386">
          <cell r="F386">
            <v>-4408.65334717485</v>
          </cell>
        </row>
        <row r="387">
          <cell r="F387">
            <v>-2547.68001645766</v>
          </cell>
        </row>
        <row r="388">
          <cell r="F388">
            <v>-3858.6714669449</v>
          </cell>
        </row>
        <row r="389">
          <cell r="F389">
            <v>-3215.41713494263</v>
          </cell>
        </row>
        <row r="390">
          <cell r="F390">
            <v>-1947.51200168691</v>
          </cell>
        </row>
        <row r="391">
          <cell r="F391">
            <v>-4141.97465528566</v>
          </cell>
        </row>
        <row r="392">
          <cell r="F392">
            <v>-3714.07869986674</v>
          </cell>
        </row>
        <row r="393">
          <cell r="F393">
            <v>-1882.04018871395</v>
          </cell>
        </row>
        <row r="394">
          <cell r="F394">
            <v>-1911.94130322994</v>
          </cell>
        </row>
        <row r="395">
          <cell r="F395">
            <v>-4666.91654397884</v>
          </cell>
        </row>
        <row r="396">
          <cell r="F396">
            <v>-2289.35186410002</v>
          </cell>
        </row>
        <row r="397">
          <cell r="F397">
            <v>-4199.64443117242</v>
          </cell>
        </row>
        <row r="398">
          <cell r="F398">
            <v>-4826.31600956913</v>
          </cell>
        </row>
        <row r="399">
          <cell r="F399">
            <v>-3568.84851673551</v>
          </cell>
        </row>
        <row r="400">
          <cell r="F400">
            <v>-2512.69884382577</v>
          </cell>
        </row>
        <row r="401">
          <cell r="F401">
            <v>-3789.13724551585</v>
          </cell>
        </row>
        <row r="402">
          <cell r="F402">
            <v>-4176.44829709171</v>
          </cell>
        </row>
        <row r="403">
          <cell r="F403">
            <v>-4089.13746354965</v>
          </cell>
        </row>
        <row r="404">
          <cell r="F404">
            <v>-3302.51283081862</v>
          </cell>
        </row>
        <row r="405">
          <cell r="F405">
            <v>-3967.70623923538</v>
          </cell>
        </row>
        <row r="406">
          <cell r="F406">
            <v>-2453.21035902071</v>
          </cell>
        </row>
        <row r="407">
          <cell r="F407">
            <v>-4714.64383268905</v>
          </cell>
        </row>
        <row r="408">
          <cell r="F408">
            <v>-3327.88994664785</v>
          </cell>
        </row>
        <row r="409">
          <cell r="F409">
            <v>-2574.28376705475</v>
          </cell>
        </row>
        <row r="410">
          <cell r="F410">
            <v>-2688.93306600104</v>
          </cell>
        </row>
        <row r="411">
          <cell r="F411">
            <v>-2456.93430432147</v>
          </cell>
        </row>
        <row r="412">
          <cell r="F412">
            <v>-4479.55062245689</v>
          </cell>
        </row>
        <row r="413">
          <cell r="F413">
            <v>-2427.6278450627</v>
          </cell>
        </row>
        <row r="414">
          <cell r="F414">
            <v>-3639.75526585267</v>
          </cell>
        </row>
        <row r="415">
          <cell r="F415">
            <v>-1639.03404352142</v>
          </cell>
        </row>
        <row r="416">
          <cell r="F416">
            <v>-2828.79339794212</v>
          </cell>
        </row>
        <row r="417">
          <cell r="F417">
            <v>-4903.16261866945</v>
          </cell>
        </row>
        <row r="418">
          <cell r="F418">
            <v>-4731.54205586032</v>
          </cell>
        </row>
        <row r="419">
          <cell r="F419">
            <v>-3152.80329731709</v>
          </cell>
        </row>
        <row r="420">
          <cell r="F420">
            <v>-4449.63901270521</v>
          </cell>
        </row>
        <row r="421">
          <cell r="F421">
            <v>-4975.13597738442</v>
          </cell>
        </row>
        <row r="422">
          <cell r="F422">
            <v>-2961.48102218732</v>
          </cell>
        </row>
        <row r="423">
          <cell r="F423">
            <v>-5026.88653696629</v>
          </cell>
        </row>
        <row r="424">
          <cell r="F424">
            <v>-2546.37491328297</v>
          </cell>
        </row>
        <row r="425">
          <cell r="F425">
            <v>-3864.73310823915</v>
          </cell>
        </row>
        <row r="426">
          <cell r="F426">
            <v>-4592.15629732404</v>
          </cell>
        </row>
        <row r="427">
          <cell r="F427">
            <v>-3767.64658637056</v>
          </cell>
        </row>
        <row r="428">
          <cell r="F428">
            <v>-2686.22927037594</v>
          </cell>
        </row>
        <row r="429">
          <cell r="F429">
            <v>-4424.56219208725</v>
          </cell>
        </row>
        <row r="430">
          <cell r="F430">
            <v>-5024.96740125477</v>
          </cell>
        </row>
        <row r="431">
          <cell r="F431">
            <v>-1810.90880911685</v>
          </cell>
        </row>
        <row r="432">
          <cell r="F432">
            <v>-3924.76840293226</v>
          </cell>
        </row>
        <row r="433">
          <cell r="F433">
            <v>-1882.3569074249</v>
          </cell>
        </row>
        <row r="434">
          <cell r="F434">
            <v>-4838.85049559508</v>
          </cell>
        </row>
        <row r="435">
          <cell r="F435">
            <v>-4864.19619300551</v>
          </cell>
        </row>
        <row r="436">
          <cell r="F436">
            <v>-2511.83363819749</v>
          </cell>
        </row>
        <row r="437">
          <cell r="F437">
            <v>-1478.30061156431</v>
          </cell>
        </row>
        <row r="438">
          <cell r="F438">
            <v>-3279.80472088369</v>
          </cell>
        </row>
        <row r="439">
          <cell r="F439">
            <v>-4042.82166067674</v>
          </cell>
        </row>
        <row r="440">
          <cell r="F440">
            <v>-2364.36563030693</v>
          </cell>
        </row>
        <row r="441">
          <cell r="F441">
            <v>-5056.09928445028</v>
          </cell>
        </row>
        <row r="442">
          <cell r="F442">
            <v>-2225.90597323051</v>
          </cell>
        </row>
        <row r="443">
          <cell r="F443">
            <v>-1651.88139040086</v>
          </cell>
        </row>
        <row r="444">
          <cell r="F444">
            <v>-2076.54149022769</v>
          </cell>
        </row>
        <row r="445">
          <cell r="F445">
            <v>-1822.53950403852</v>
          </cell>
        </row>
        <row r="446">
          <cell r="F446">
            <v>-4390.90501508948</v>
          </cell>
        </row>
        <row r="447">
          <cell r="F447">
            <v>-1985.67104645114</v>
          </cell>
        </row>
        <row r="448">
          <cell r="F448">
            <v>-3312.08580564348</v>
          </cell>
        </row>
        <row r="449">
          <cell r="F449">
            <v>-1652.78086643293</v>
          </cell>
        </row>
        <row r="450">
          <cell r="F450">
            <v>-2427.13820254914</v>
          </cell>
        </row>
        <row r="451">
          <cell r="F451">
            <v>-1585.74865190888</v>
          </cell>
        </row>
        <row r="452">
          <cell r="F452">
            <v>-2930.30582091155</v>
          </cell>
        </row>
        <row r="453">
          <cell r="F453">
            <v>-1779.00913119415</v>
          </cell>
        </row>
        <row r="454">
          <cell r="F454">
            <v>-3609.48347610667</v>
          </cell>
        </row>
        <row r="455">
          <cell r="F455">
            <v>-4490.78965857853</v>
          </cell>
        </row>
        <row r="456">
          <cell r="F456">
            <v>-4930.1164646558</v>
          </cell>
        </row>
        <row r="457">
          <cell r="F457">
            <v>-4340.45595617493</v>
          </cell>
        </row>
        <row r="458">
          <cell r="F458">
            <v>-2766.97840596544</v>
          </cell>
        </row>
        <row r="459">
          <cell r="F459">
            <v>-2622.34754340744</v>
          </cell>
        </row>
        <row r="460">
          <cell r="F460">
            <v>-4118.26145270643</v>
          </cell>
        </row>
        <row r="461">
          <cell r="F461">
            <v>-4551.91279488822</v>
          </cell>
        </row>
        <row r="462">
          <cell r="F462">
            <v>-2185.59630922923</v>
          </cell>
        </row>
        <row r="463">
          <cell r="F463">
            <v>-3189.03780605947</v>
          </cell>
        </row>
        <row r="464">
          <cell r="F464">
            <v>-3765.27914726218</v>
          </cell>
        </row>
        <row r="465">
          <cell r="F465">
            <v>-3901.22926460458</v>
          </cell>
        </row>
        <row r="466">
          <cell r="F466">
            <v>-1944.15421812995</v>
          </cell>
        </row>
        <row r="467">
          <cell r="F467">
            <v>-2899.28434041799</v>
          </cell>
        </row>
        <row r="468">
          <cell r="F468">
            <v>-4934.09305821261</v>
          </cell>
        </row>
        <row r="469">
          <cell r="F469">
            <v>-1865.01087602901</v>
          </cell>
        </row>
        <row r="470">
          <cell r="F470">
            <v>-4164.54868742015</v>
          </cell>
        </row>
        <row r="471">
          <cell r="F471">
            <v>-4229.49211367234</v>
          </cell>
        </row>
        <row r="472">
          <cell r="F472">
            <v>-2162.92021985639</v>
          </cell>
        </row>
        <row r="473">
          <cell r="F473">
            <v>-2161.02008530063</v>
          </cell>
        </row>
        <row r="474">
          <cell r="F474">
            <v>-3992.3561627345</v>
          </cell>
        </row>
        <row r="475">
          <cell r="F475">
            <v>-3907.45872614939</v>
          </cell>
        </row>
        <row r="476">
          <cell r="F476">
            <v>-1431.55624316997</v>
          </cell>
        </row>
        <row r="477">
          <cell r="F477">
            <v>-4410.30313680179</v>
          </cell>
        </row>
        <row r="478">
          <cell r="F478">
            <v>-2468.47969504413</v>
          </cell>
        </row>
        <row r="479">
          <cell r="F479">
            <v>-1534.30290965117</v>
          </cell>
        </row>
        <row r="480">
          <cell r="F480">
            <v>-3310.79639442483</v>
          </cell>
        </row>
        <row r="481">
          <cell r="F481">
            <v>-4230.44557037821</v>
          </cell>
        </row>
        <row r="482">
          <cell r="F482">
            <v>-1795.7872983931</v>
          </cell>
        </row>
        <row r="483">
          <cell r="F483">
            <v>-2368.37320749723</v>
          </cell>
        </row>
        <row r="484">
          <cell r="F484">
            <v>-3648.40423550432</v>
          </cell>
        </row>
        <row r="485">
          <cell r="F485">
            <v>-2024.59257880055</v>
          </cell>
        </row>
        <row r="486">
          <cell r="F486">
            <v>-2710.85813611547</v>
          </cell>
        </row>
        <row r="487">
          <cell r="F487">
            <v>-3709.07331613774</v>
          </cell>
        </row>
        <row r="488">
          <cell r="F488">
            <v>-2552.48802315778</v>
          </cell>
        </row>
        <row r="489">
          <cell r="F489">
            <v>-3094.01302087632</v>
          </cell>
        </row>
        <row r="490">
          <cell r="F490">
            <v>-2223.73676174301</v>
          </cell>
        </row>
        <row r="491">
          <cell r="F491">
            <v>-1895.45216478017</v>
          </cell>
        </row>
        <row r="492">
          <cell r="F492">
            <v>-1679.26074805904</v>
          </cell>
        </row>
        <row r="493">
          <cell r="F493">
            <v>-4968.38232341738</v>
          </cell>
        </row>
        <row r="494">
          <cell r="F494">
            <v>-5038.17731772273</v>
          </cell>
        </row>
        <row r="495">
          <cell r="F495">
            <v>-2773.50690667492</v>
          </cell>
        </row>
        <row r="496">
          <cell r="F496">
            <v>-1903.86209909856</v>
          </cell>
        </row>
        <row r="497">
          <cell r="F497">
            <v>-4250.6500826458</v>
          </cell>
        </row>
        <row r="498">
          <cell r="F498">
            <v>-3517.62877832739</v>
          </cell>
        </row>
        <row r="499">
          <cell r="F499">
            <v>-4174.47550852075</v>
          </cell>
        </row>
        <row r="500">
          <cell r="F500">
            <v>-3224.8097135227</v>
          </cell>
        </row>
        <row r="501">
          <cell r="F501">
            <v>-3110.69843731417</v>
          </cell>
        </row>
        <row r="502">
          <cell r="F502">
            <v>-3706.98800097281</v>
          </cell>
        </row>
        <row r="503">
          <cell r="F503">
            <v>-4266.12400071273</v>
          </cell>
        </row>
        <row r="504">
          <cell r="F504">
            <v>-3392.10945698823</v>
          </cell>
        </row>
        <row r="505">
          <cell r="F505">
            <v>-4917.29566901454</v>
          </cell>
        </row>
        <row r="506">
          <cell r="F506">
            <v>-2123.69157375693</v>
          </cell>
        </row>
        <row r="507">
          <cell r="F507">
            <v>-3930.28090513113</v>
          </cell>
        </row>
        <row r="508">
          <cell r="F508">
            <v>-4038.38355107885</v>
          </cell>
        </row>
        <row r="509">
          <cell r="F509">
            <v>-3509.9804257913</v>
          </cell>
        </row>
        <row r="510">
          <cell r="F510">
            <v>-1440.91195126073</v>
          </cell>
        </row>
        <row r="511">
          <cell r="F511">
            <v>-2509.10170747324</v>
          </cell>
        </row>
        <row r="512">
          <cell r="F512">
            <v>-4694.10287418716</v>
          </cell>
        </row>
        <row r="513">
          <cell r="F513">
            <v>-5086.4671686639</v>
          </cell>
        </row>
        <row r="514">
          <cell r="F514">
            <v>-1908.31064181996</v>
          </cell>
        </row>
        <row r="515">
          <cell r="F515">
            <v>-3111.14872657593</v>
          </cell>
        </row>
        <row r="516">
          <cell r="F516">
            <v>-2897.95253935132</v>
          </cell>
        </row>
        <row r="517">
          <cell r="F517">
            <v>-4387.76522118356</v>
          </cell>
        </row>
        <row r="518">
          <cell r="F518">
            <v>-4000.50467027322</v>
          </cell>
        </row>
        <row r="519">
          <cell r="F519">
            <v>-3152.98088988639</v>
          </cell>
        </row>
        <row r="520">
          <cell r="F520">
            <v>-4701.98094177648</v>
          </cell>
        </row>
        <row r="521">
          <cell r="F521">
            <v>-3144.14627723479</v>
          </cell>
        </row>
        <row r="522">
          <cell r="F522">
            <v>-1726.72625111914</v>
          </cell>
        </row>
        <row r="523">
          <cell r="F523">
            <v>-2476.80614712125</v>
          </cell>
        </row>
        <row r="524">
          <cell r="F524">
            <v>-4296.34936331801</v>
          </cell>
        </row>
        <row r="525">
          <cell r="F525">
            <v>-1602.57091531588</v>
          </cell>
        </row>
        <row r="526">
          <cell r="F526">
            <v>-2239.52536262117</v>
          </cell>
        </row>
        <row r="527">
          <cell r="F527">
            <v>-3324.37470349959</v>
          </cell>
        </row>
        <row r="528">
          <cell r="F528">
            <v>-2010.13342907766</v>
          </cell>
        </row>
        <row r="529">
          <cell r="F529">
            <v>-2592.79038380007</v>
          </cell>
        </row>
        <row r="530">
          <cell r="F530">
            <v>-3296.38712769619</v>
          </cell>
        </row>
        <row r="531">
          <cell r="F531">
            <v>-2861.62885820042</v>
          </cell>
        </row>
        <row r="532">
          <cell r="F532">
            <v>-4981.27166849296</v>
          </cell>
        </row>
        <row r="533">
          <cell r="F533">
            <v>-5067.24792662359</v>
          </cell>
        </row>
        <row r="534">
          <cell r="F534">
            <v>-1590.97871097663</v>
          </cell>
        </row>
        <row r="535">
          <cell r="F535">
            <v>-3461.93705674548</v>
          </cell>
        </row>
        <row r="536">
          <cell r="F536">
            <v>-3432.1202992175</v>
          </cell>
        </row>
        <row r="537">
          <cell r="F537">
            <v>-3531.62174841853</v>
          </cell>
        </row>
        <row r="538">
          <cell r="F538">
            <v>-5100.22217485713</v>
          </cell>
        </row>
        <row r="539">
          <cell r="F539">
            <v>-2369.87566527139</v>
          </cell>
        </row>
        <row r="540">
          <cell r="F540">
            <v>-4418.50090793812</v>
          </cell>
        </row>
        <row r="541">
          <cell r="F541">
            <v>-2764.89075814251</v>
          </cell>
        </row>
        <row r="542">
          <cell r="F542">
            <v>-4860.94583594113</v>
          </cell>
        </row>
        <row r="543">
          <cell r="F543">
            <v>-3555.05094816037</v>
          </cell>
        </row>
        <row r="544">
          <cell r="F544">
            <v>-5027.92439724434</v>
          </cell>
        </row>
        <row r="545">
          <cell r="F545">
            <v>-4757.40784628805</v>
          </cell>
        </row>
        <row r="546">
          <cell r="F546">
            <v>-5026.01207489558</v>
          </cell>
        </row>
        <row r="547">
          <cell r="F547">
            <v>-4639.88270783684</v>
          </cell>
        </row>
        <row r="548">
          <cell r="F548">
            <v>-3291.01849632057</v>
          </cell>
        </row>
        <row r="549">
          <cell r="F549">
            <v>-4192.35694876616</v>
          </cell>
        </row>
        <row r="550">
          <cell r="F550">
            <v>-3321.32991537254</v>
          </cell>
        </row>
        <row r="551">
          <cell r="F551">
            <v>-2038.43086537044</v>
          </cell>
        </row>
        <row r="552">
          <cell r="F552">
            <v>-1709.02181165183</v>
          </cell>
        </row>
        <row r="553">
          <cell r="F553">
            <v>-3809.93496375608</v>
          </cell>
        </row>
        <row r="554">
          <cell r="F554">
            <v>-2000.94153327552</v>
          </cell>
        </row>
        <row r="555">
          <cell r="F555">
            <v>-3048.98131517867</v>
          </cell>
        </row>
        <row r="556">
          <cell r="F556">
            <v>-2096.23354755262</v>
          </cell>
        </row>
        <row r="557">
          <cell r="F557">
            <v>-4788.16289824488</v>
          </cell>
        </row>
        <row r="558">
          <cell r="F558">
            <v>-2413.92759076967</v>
          </cell>
        </row>
        <row r="559">
          <cell r="F559">
            <v>-3237.84545014143</v>
          </cell>
        </row>
        <row r="560">
          <cell r="F560">
            <v>-2378.76591837267</v>
          </cell>
        </row>
        <row r="561">
          <cell r="F561">
            <v>-4378.67406963699</v>
          </cell>
        </row>
        <row r="562">
          <cell r="F562">
            <v>-3562.94368457986</v>
          </cell>
        </row>
        <row r="563">
          <cell r="F563">
            <v>-1708.21919613778</v>
          </cell>
        </row>
        <row r="564">
          <cell r="F564">
            <v>-3508.12967043088</v>
          </cell>
        </row>
        <row r="565">
          <cell r="F565">
            <v>-3088.56755498965</v>
          </cell>
        </row>
        <row r="566">
          <cell r="F566">
            <v>-3698.77400820144</v>
          </cell>
        </row>
        <row r="567">
          <cell r="F567">
            <v>-4677.09369965621</v>
          </cell>
        </row>
        <row r="568">
          <cell r="F568">
            <v>-4122.43661722657</v>
          </cell>
        </row>
        <row r="569">
          <cell r="F569">
            <v>-2636.43478600845</v>
          </cell>
        </row>
        <row r="570">
          <cell r="F570">
            <v>-3976.12695864637</v>
          </cell>
        </row>
        <row r="571">
          <cell r="F571">
            <v>-4589.75871999818</v>
          </cell>
        </row>
        <row r="572">
          <cell r="F572">
            <v>-3291.63978563223</v>
          </cell>
        </row>
        <row r="573">
          <cell r="F573">
            <v>-3470.66500722956</v>
          </cell>
        </row>
        <row r="574">
          <cell r="F574">
            <v>-4253.65070555124</v>
          </cell>
        </row>
        <row r="575">
          <cell r="F575">
            <v>-3897.26006930037</v>
          </cell>
        </row>
        <row r="576">
          <cell r="F576">
            <v>-3215.03167355944</v>
          </cell>
        </row>
        <row r="577">
          <cell r="F577">
            <v>-1668.33842374698</v>
          </cell>
        </row>
        <row r="578">
          <cell r="F578">
            <v>-4747.60139517144</v>
          </cell>
        </row>
        <row r="579">
          <cell r="F579">
            <v>-4959.72381264239</v>
          </cell>
        </row>
        <row r="580">
          <cell r="F580">
            <v>-3746.93774378056</v>
          </cell>
        </row>
        <row r="581">
          <cell r="F581">
            <v>-3144.88232572878</v>
          </cell>
        </row>
        <row r="582">
          <cell r="F582">
            <v>-1514.66521084924</v>
          </cell>
        </row>
        <row r="583">
          <cell r="F583">
            <v>-4384.84716263915</v>
          </cell>
        </row>
        <row r="584">
          <cell r="F584">
            <v>-2836.5624241218</v>
          </cell>
        </row>
        <row r="585">
          <cell r="F585">
            <v>-1608.390593377</v>
          </cell>
        </row>
        <row r="586">
          <cell r="F586">
            <v>-1624.05881736982</v>
          </cell>
        </row>
        <row r="587">
          <cell r="F587">
            <v>-3478.75051747411</v>
          </cell>
        </row>
        <row r="588">
          <cell r="F588">
            <v>-4179.75748130645</v>
          </cell>
        </row>
        <row r="589">
          <cell r="F589">
            <v>-4320.5423895079</v>
          </cell>
        </row>
        <row r="590">
          <cell r="F590">
            <v>-4658.51197718933</v>
          </cell>
        </row>
        <row r="591">
          <cell r="F591">
            <v>-4108.81805254783</v>
          </cell>
        </row>
        <row r="592">
          <cell r="F592">
            <v>-2110.21697997107</v>
          </cell>
        </row>
        <row r="593">
          <cell r="F593">
            <v>-3278.26088948607</v>
          </cell>
        </row>
        <row r="594">
          <cell r="F594">
            <v>-3452.51831857911</v>
          </cell>
        </row>
        <row r="595">
          <cell r="F595">
            <v>-3875.48340419941</v>
          </cell>
        </row>
        <row r="596">
          <cell r="F596">
            <v>-3256.30456831066</v>
          </cell>
        </row>
        <row r="597">
          <cell r="F597">
            <v>-2993.31272176285</v>
          </cell>
        </row>
        <row r="598">
          <cell r="F598">
            <v>-4416.9536448417</v>
          </cell>
        </row>
        <row r="599">
          <cell r="F599">
            <v>-2768.75616914425</v>
          </cell>
        </row>
        <row r="600">
          <cell r="F600">
            <v>-3715.52230115975</v>
          </cell>
        </row>
        <row r="601">
          <cell r="F601">
            <v>-1414.26082631196</v>
          </cell>
        </row>
        <row r="602">
          <cell r="F602">
            <v>-4184.14954678886</v>
          </cell>
        </row>
        <row r="603">
          <cell r="F603">
            <v>-4847.0286220243</v>
          </cell>
        </row>
        <row r="604">
          <cell r="F604">
            <v>-4489.80606710585</v>
          </cell>
        </row>
        <row r="605">
          <cell r="F605">
            <v>-2076.27495471994</v>
          </cell>
        </row>
        <row r="606">
          <cell r="F606">
            <v>-1627.75761585815</v>
          </cell>
        </row>
        <row r="607">
          <cell r="F607">
            <v>-2273.68680782916</v>
          </cell>
        </row>
        <row r="608">
          <cell r="F608">
            <v>-2081.49978773659</v>
          </cell>
        </row>
        <row r="609">
          <cell r="F609">
            <v>-1732.32216482038</v>
          </cell>
        </row>
        <row r="610">
          <cell r="F610">
            <v>-4312.84964055484</v>
          </cell>
        </row>
        <row r="611">
          <cell r="F611">
            <v>-4802.01589332769</v>
          </cell>
        </row>
        <row r="612">
          <cell r="F612">
            <v>-2818.33139401138</v>
          </cell>
        </row>
        <row r="613">
          <cell r="F613">
            <v>-4458.87094671863</v>
          </cell>
        </row>
        <row r="614">
          <cell r="F614">
            <v>-3614.74319374773</v>
          </cell>
        </row>
        <row r="615">
          <cell r="F615">
            <v>-4480.99626827633</v>
          </cell>
        </row>
        <row r="616">
          <cell r="F616">
            <v>-5065.10188471033</v>
          </cell>
        </row>
        <row r="617">
          <cell r="F617">
            <v>-5063.69702417384</v>
          </cell>
        </row>
        <row r="618">
          <cell r="F618">
            <v>-1893.76910717125</v>
          </cell>
        </row>
        <row r="619">
          <cell r="F619">
            <v>-2026.94708649491</v>
          </cell>
        </row>
        <row r="620">
          <cell r="F620">
            <v>-5055.55486243108</v>
          </cell>
        </row>
        <row r="621">
          <cell r="F621">
            <v>-4941.71169523924</v>
          </cell>
        </row>
        <row r="622">
          <cell r="F622">
            <v>-2595.93925643853</v>
          </cell>
        </row>
        <row r="623">
          <cell r="F623">
            <v>-3420.37526092016</v>
          </cell>
        </row>
        <row r="624">
          <cell r="F624">
            <v>-1599.0243520931</v>
          </cell>
        </row>
        <row r="625">
          <cell r="F625">
            <v>-3426.56697722891</v>
          </cell>
        </row>
        <row r="626">
          <cell r="F626">
            <v>-2387.17825091195</v>
          </cell>
        </row>
        <row r="627">
          <cell r="F627">
            <v>-3291.67341421001</v>
          </cell>
        </row>
        <row r="628">
          <cell r="F628">
            <v>-4494.01064692651</v>
          </cell>
        </row>
        <row r="629">
          <cell r="F629">
            <v>-1885.6926325258</v>
          </cell>
        </row>
        <row r="630">
          <cell r="F630">
            <v>-2986.00526683509</v>
          </cell>
        </row>
        <row r="631">
          <cell r="F631">
            <v>-3087.75764129265</v>
          </cell>
        </row>
        <row r="632">
          <cell r="F632">
            <v>-4694.11616964764</v>
          </cell>
        </row>
        <row r="633">
          <cell r="F633">
            <v>-4993.77124228908</v>
          </cell>
        </row>
        <row r="634">
          <cell r="F634">
            <v>-3896.14753808611</v>
          </cell>
        </row>
        <row r="635">
          <cell r="F635">
            <v>-1489.02428899818</v>
          </cell>
        </row>
        <row r="636">
          <cell r="F636">
            <v>-3253.67561443031</v>
          </cell>
        </row>
        <row r="637">
          <cell r="F637">
            <v>-4697.82092228003</v>
          </cell>
        </row>
        <row r="638">
          <cell r="F638">
            <v>-3739.50226009008</v>
          </cell>
        </row>
        <row r="639">
          <cell r="F639">
            <v>-2891.97278263466</v>
          </cell>
        </row>
        <row r="640">
          <cell r="F640">
            <v>-3514.26079629302</v>
          </cell>
        </row>
        <row r="641">
          <cell r="F641">
            <v>-2631.70214555606</v>
          </cell>
        </row>
        <row r="642">
          <cell r="F642">
            <v>-1641.06496048056</v>
          </cell>
        </row>
        <row r="643">
          <cell r="F643">
            <v>-1702.1323683483</v>
          </cell>
        </row>
        <row r="644">
          <cell r="F644">
            <v>-2082.9323451362</v>
          </cell>
        </row>
        <row r="645">
          <cell r="F645">
            <v>-1587.71651808837</v>
          </cell>
        </row>
        <row r="646">
          <cell r="F646">
            <v>-2115.33873779947</v>
          </cell>
        </row>
        <row r="647">
          <cell r="F647">
            <v>-2183.98746534178</v>
          </cell>
        </row>
        <row r="648">
          <cell r="F648">
            <v>-3842.45624672743</v>
          </cell>
        </row>
        <row r="649">
          <cell r="F649">
            <v>-4250.26157949037</v>
          </cell>
        </row>
        <row r="650">
          <cell r="F650">
            <v>-5087.70940912083</v>
          </cell>
        </row>
        <row r="651">
          <cell r="F651">
            <v>-2196.28417380646</v>
          </cell>
        </row>
        <row r="652">
          <cell r="F652">
            <v>-3568.3789381864</v>
          </cell>
        </row>
        <row r="653">
          <cell r="F653">
            <v>-2347.83267342867</v>
          </cell>
        </row>
        <row r="654">
          <cell r="F654">
            <v>-2477.8008704796</v>
          </cell>
        </row>
        <row r="655">
          <cell r="F655">
            <v>-3011.64178044564</v>
          </cell>
        </row>
        <row r="656">
          <cell r="F656">
            <v>-4292.93650867317</v>
          </cell>
        </row>
        <row r="657">
          <cell r="F657">
            <v>-2879.60274209663</v>
          </cell>
        </row>
        <row r="658">
          <cell r="F658">
            <v>-3467.80453876763</v>
          </cell>
        </row>
        <row r="659">
          <cell r="F659">
            <v>-2644.91743472891</v>
          </cell>
        </row>
        <row r="660">
          <cell r="F660">
            <v>-2846.99873948375</v>
          </cell>
        </row>
        <row r="661">
          <cell r="F661">
            <v>-4158.87715729705</v>
          </cell>
        </row>
        <row r="662">
          <cell r="F662">
            <v>-3409.15110239465</v>
          </cell>
        </row>
        <row r="663">
          <cell r="F663">
            <v>-3342.23392655779</v>
          </cell>
        </row>
        <row r="664">
          <cell r="F664">
            <v>-2697.16743329783</v>
          </cell>
        </row>
        <row r="665">
          <cell r="F665">
            <v>-3328.07840367533</v>
          </cell>
        </row>
        <row r="666">
          <cell r="F666">
            <v>-4253.89682340011</v>
          </cell>
        </row>
        <row r="667">
          <cell r="F667">
            <v>-1556.27135823274</v>
          </cell>
        </row>
        <row r="668">
          <cell r="F668">
            <v>-4704.77104057175</v>
          </cell>
        </row>
        <row r="669">
          <cell r="F669">
            <v>-4426.11644625634</v>
          </cell>
        </row>
        <row r="670">
          <cell r="F670">
            <v>-2801.01354429879</v>
          </cell>
        </row>
        <row r="671">
          <cell r="F671">
            <v>-2260.08392820511</v>
          </cell>
        </row>
        <row r="672">
          <cell r="F672">
            <v>-3481.68354333227</v>
          </cell>
        </row>
        <row r="673">
          <cell r="F673">
            <v>-3156.47033922017</v>
          </cell>
        </row>
        <row r="674">
          <cell r="F674">
            <v>-4016.99263549264</v>
          </cell>
        </row>
        <row r="675">
          <cell r="F675">
            <v>-3905.34795533638</v>
          </cell>
        </row>
        <row r="676">
          <cell r="F676">
            <v>-3869.83293528656</v>
          </cell>
        </row>
        <row r="677">
          <cell r="F677">
            <v>-3075.73316367898</v>
          </cell>
        </row>
        <row r="678">
          <cell r="F678">
            <v>-5002.10283587573</v>
          </cell>
        </row>
        <row r="679">
          <cell r="F679">
            <v>-1960.39487156609</v>
          </cell>
        </row>
        <row r="680">
          <cell r="F680">
            <v>-1821.7468834119</v>
          </cell>
        </row>
        <row r="681">
          <cell r="F681">
            <v>-2028.85397230124</v>
          </cell>
        </row>
        <row r="682">
          <cell r="F682">
            <v>-1740.48301543258</v>
          </cell>
        </row>
        <row r="683">
          <cell r="F683">
            <v>-3351.1513106111</v>
          </cell>
        </row>
        <row r="684">
          <cell r="F684">
            <v>-2013.33555602231</v>
          </cell>
        </row>
        <row r="685">
          <cell r="F685">
            <v>-3562.90541139014</v>
          </cell>
        </row>
        <row r="686">
          <cell r="F686">
            <v>-3670.40268945226</v>
          </cell>
        </row>
        <row r="687">
          <cell r="F687">
            <v>-2878.57125349465</v>
          </cell>
        </row>
        <row r="688">
          <cell r="F688">
            <v>-5043.4577929144</v>
          </cell>
        </row>
        <row r="689">
          <cell r="F689">
            <v>-4655.71126928604</v>
          </cell>
        </row>
        <row r="690">
          <cell r="F690">
            <v>-3041.21165062366</v>
          </cell>
        </row>
        <row r="691">
          <cell r="F691">
            <v>-3139.48672385763</v>
          </cell>
        </row>
        <row r="692">
          <cell r="F692">
            <v>-4596.07033699878</v>
          </cell>
        </row>
        <row r="693">
          <cell r="F693">
            <v>-3596.76223941327</v>
          </cell>
        </row>
        <row r="694">
          <cell r="F694">
            <v>-2647.30296919021</v>
          </cell>
        </row>
        <row r="695">
          <cell r="F695">
            <v>-3807.96552406765</v>
          </cell>
        </row>
        <row r="696">
          <cell r="F696">
            <v>-3915.43733958035</v>
          </cell>
        </row>
        <row r="697">
          <cell r="F697">
            <v>-3203.04511716639</v>
          </cell>
        </row>
        <row r="698">
          <cell r="F698">
            <v>-4160.23278356665</v>
          </cell>
        </row>
        <row r="699">
          <cell r="F699">
            <v>-1786.3071450682</v>
          </cell>
        </row>
        <row r="700">
          <cell r="F700">
            <v>-4125.57827104765</v>
          </cell>
        </row>
        <row r="701">
          <cell r="F701">
            <v>-2214.54570100482</v>
          </cell>
        </row>
        <row r="702">
          <cell r="F702">
            <v>-2613.15246780596</v>
          </cell>
        </row>
        <row r="703">
          <cell r="F703">
            <v>-4635.08689410573</v>
          </cell>
        </row>
        <row r="704">
          <cell r="F704">
            <v>-1857.01831668484</v>
          </cell>
        </row>
        <row r="705">
          <cell r="F705">
            <v>-3736.55523138254</v>
          </cell>
        </row>
        <row r="706">
          <cell r="F706">
            <v>-2714.69553969312</v>
          </cell>
        </row>
        <row r="707">
          <cell r="F707">
            <v>-2780.07321645797</v>
          </cell>
        </row>
        <row r="708">
          <cell r="F708">
            <v>-3073.88608501544</v>
          </cell>
        </row>
        <row r="709">
          <cell r="F709">
            <v>-4876.85394240853</v>
          </cell>
        </row>
        <row r="710">
          <cell r="F710">
            <v>-3688.23965391511</v>
          </cell>
        </row>
        <row r="711">
          <cell r="F711">
            <v>-3990.04682785958</v>
          </cell>
        </row>
        <row r="712">
          <cell r="F712">
            <v>-2725.8330741355</v>
          </cell>
        </row>
        <row r="713">
          <cell r="F713">
            <v>-2984.19513975181</v>
          </cell>
        </row>
        <row r="714">
          <cell r="F714">
            <v>-1566.31973462504</v>
          </cell>
        </row>
        <row r="715">
          <cell r="F715">
            <v>-5067.22514179993</v>
          </cell>
        </row>
        <row r="716">
          <cell r="F716">
            <v>-3764.43646938211</v>
          </cell>
        </row>
        <row r="717">
          <cell r="F717">
            <v>-4097.98895691568</v>
          </cell>
        </row>
        <row r="718">
          <cell r="F718">
            <v>-2347.23656371087</v>
          </cell>
        </row>
        <row r="719">
          <cell r="F719">
            <v>-2602.74947391151</v>
          </cell>
        </row>
        <row r="720">
          <cell r="F720">
            <v>-2185.00497869981</v>
          </cell>
        </row>
        <row r="721">
          <cell r="F721">
            <v>-3647.0446116248</v>
          </cell>
        </row>
        <row r="722">
          <cell r="F722">
            <v>-3206.99704010428</v>
          </cell>
        </row>
        <row r="723">
          <cell r="F723">
            <v>-4477.21626154322</v>
          </cell>
        </row>
        <row r="724">
          <cell r="F724">
            <v>-2304.21602674493</v>
          </cell>
        </row>
        <row r="725">
          <cell r="F725">
            <v>-2115.17184750651</v>
          </cell>
        </row>
        <row r="726">
          <cell r="F726">
            <v>-4869.7968720924</v>
          </cell>
        </row>
        <row r="727">
          <cell r="F727">
            <v>-3390.53233172853</v>
          </cell>
        </row>
        <row r="728">
          <cell r="F728">
            <v>-3102.25690859239</v>
          </cell>
        </row>
        <row r="729">
          <cell r="F729">
            <v>-2064.95739670596</v>
          </cell>
        </row>
        <row r="730">
          <cell r="F730">
            <v>-2691.2608171419</v>
          </cell>
        </row>
        <row r="731">
          <cell r="F731">
            <v>-4322.73395448439</v>
          </cell>
        </row>
        <row r="732">
          <cell r="F732">
            <v>-4525.4625304273</v>
          </cell>
        </row>
        <row r="733">
          <cell r="F733">
            <v>-2641.99210388161</v>
          </cell>
        </row>
        <row r="734">
          <cell r="F734">
            <v>-4473.42538345058</v>
          </cell>
        </row>
        <row r="735">
          <cell r="F735">
            <v>-4881.13108825213</v>
          </cell>
        </row>
        <row r="736">
          <cell r="F736">
            <v>-2598.42298855539</v>
          </cell>
        </row>
        <row r="737">
          <cell r="F737">
            <v>-2536.98978126499</v>
          </cell>
        </row>
        <row r="738">
          <cell r="F738">
            <v>-2308.252781139</v>
          </cell>
        </row>
        <row r="739">
          <cell r="F739">
            <v>-4256.30973036085</v>
          </cell>
        </row>
        <row r="740">
          <cell r="F740">
            <v>-2224.46499617774</v>
          </cell>
        </row>
        <row r="741">
          <cell r="F741">
            <v>-3844.78863212822</v>
          </cell>
        </row>
        <row r="742">
          <cell r="F742">
            <v>-4015.29823205604</v>
          </cell>
        </row>
        <row r="743">
          <cell r="F743">
            <v>-3210.88395055232</v>
          </cell>
        </row>
        <row r="744">
          <cell r="F744">
            <v>-2332.78474840304</v>
          </cell>
        </row>
        <row r="745">
          <cell r="F745">
            <v>-1795.98956675737</v>
          </cell>
        </row>
        <row r="746">
          <cell r="F746">
            <v>-3091.04028462124</v>
          </cell>
        </row>
        <row r="747">
          <cell r="F747">
            <v>-3304.63447644182</v>
          </cell>
        </row>
        <row r="748">
          <cell r="F748">
            <v>-2071.93453897868</v>
          </cell>
        </row>
        <row r="749">
          <cell r="F749">
            <v>-1996.08863326085</v>
          </cell>
        </row>
        <row r="750">
          <cell r="F750">
            <v>-4697.84044793878</v>
          </cell>
        </row>
        <row r="751">
          <cell r="F751">
            <v>-3469.70368470427</v>
          </cell>
        </row>
        <row r="752">
          <cell r="F752">
            <v>-3795.73826393875</v>
          </cell>
        </row>
        <row r="753">
          <cell r="F753">
            <v>-1747.45477637371</v>
          </cell>
        </row>
        <row r="754">
          <cell r="F754">
            <v>-4384.99414942418</v>
          </cell>
        </row>
        <row r="755">
          <cell r="F755">
            <v>-3073.42134431622</v>
          </cell>
        </row>
        <row r="756">
          <cell r="F756">
            <v>-4971.55357197423</v>
          </cell>
        </row>
        <row r="757">
          <cell r="F757">
            <v>-4590.73907646067</v>
          </cell>
        </row>
        <row r="758">
          <cell r="F758">
            <v>-4749.64057132724</v>
          </cell>
        </row>
        <row r="759">
          <cell r="F759">
            <v>-4383.22596532614</v>
          </cell>
        </row>
        <row r="760">
          <cell r="F760">
            <v>-4581.96749388468</v>
          </cell>
        </row>
        <row r="761">
          <cell r="F761">
            <v>-3232.2242050165</v>
          </cell>
        </row>
        <row r="762">
          <cell r="F762">
            <v>-1765.57983617746</v>
          </cell>
        </row>
        <row r="763">
          <cell r="F763">
            <v>-2001.19902628282</v>
          </cell>
        </row>
        <row r="764">
          <cell r="F764">
            <v>-1713.39674624568</v>
          </cell>
        </row>
        <row r="765">
          <cell r="F765">
            <v>-2477.79741807674</v>
          </cell>
        </row>
        <row r="766">
          <cell r="F766">
            <v>-1670.20603049107</v>
          </cell>
        </row>
        <row r="767">
          <cell r="F767">
            <v>-2911.29780864504</v>
          </cell>
        </row>
        <row r="768">
          <cell r="F768">
            <v>-4470.15083886212</v>
          </cell>
        </row>
        <row r="769">
          <cell r="F769">
            <v>-2008.96719324381</v>
          </cell>
        </row>
        <row r="770">
          <cell r="F770">
            <v>-1456.61525656658</v>
          </cell>
        </row>
        <row r="771">
          <cell r="F771">
            <v>-2259.42599097282</v>
          </cell>
        </row>
        <row r="772">
          <cell r="F772">
            <v>-4347.336351802</v>
          </cell>
        </row>
        <row r="773">
          <cell r="F773">
            <v>-3405.99763517906</v>
          </cell>
        </row>
        <row r="774">
          <cell r="F774">
            <v>-4397.49645443158</v>
          </cell>
        </row>
        <row r="775">
          <cell r="F775">
            <v>-4365.23016617701</v>
          </cell>
        </row>
        <row r="776">
          <cell r="F776">
            <v>-4346.13571098791</v>
          </cell>
        </row>
        <row r="777">
          <cell r="F777">
            <v>-4616.61186831313</v>
          </cell>
        </row>
        <row r="778">
          <cell r="F778">
            <v>-3517.99476753731</v>
          </cell>
        </row>
        <row r="779">
          <cell r="F779">
            <v>-5092.33832738297</v>
          </cell>
        </row>
        <row r="780">
          <cell r="F780">
            <v>-3053.34005401759</v>
          </cell>
        </row>
        <row r="781">
          <cell r="F781">
            <v>-2964.69819926199</v>
          </cell>
        </row>
        <row r="782">
          <cell r="F782">
            <v>-4141.91664076983</v>
          </cell>
        </row>
        <row r="783">
          <cell r="F783">
            <v>-3382.91353769609</v>
          </cell>
        </row>
        <row r="784">
          <cell r="F784">
            <v>-3439.82566902361</v>
          </cell>
        </row>
        <row r="785">
          <cell r="F785">
            <v>-4140.58453086754</v>
          </cell>
        </row>
        <row r="786">
          <cell r="F786">
            <v>-4531.19691464145</v>
          </cell>
        </row>
        <row r="787">
          <cell r="F787">
            <v>-1435.5118721355</v>
          </cell>
        </row>
        <row r="788">
          <cell r="F788">
            <v>-2917.63591649694</v>
          </cell>
        </row>
        <row r="789">
          <cell r="F789">
            <v>-4497.3016098386</v>
          </cell>
        </row>
        <row r="790">
          <cell r="F790">
            <v>-2060.46628815201</v>
          </cell>
        </row>
        <row r="791">
          <cell r="F791">
            <v>-4632.3836126316</v>
          </cell>
        </row>
        <row r="792">
          <cell r="F792">
            <v>-1872.811582879</v>
          </cell>
        </row>
        <row r="793">
          <cell r="F793">
            <v>-4115.55314014447</v>
          </cell>
        </row>
        <row r="794">
          <cell r="F794">
            <v>-4768.18210202768</v>
          </cell>
        </row>
        <row r="795">
          <cell r="F795">
            <v>-4839.57588667156</v>
          </cell>
        </row>
        <row r="796">
          <cell r="F796">
            <v>-4055.22518658943</v>
          </cell>
        </row>
        <row r="797">
          <cell r="F797">
            <v>-2087.93089652369</v>
          </cell>
        </row>
        <row r="798">
          <cell r="F798">
            <v>-3156.44455748308</v>
          </cell>
        </row>
        <row r="799">
          <cell r="F799">
            <v>-2970.67242454259</v>
          </cell>
        </row>
        <row r="800">
          <cell r="F800">
            <v>-4752.99795633095</v>
          </cell>
        </row>
        <row r="801">
          <cell r="F801">
            <v>-2638.04475481678</v>
          </cell>
        </row>
        <row r="802">
          <cell r="F802">
            <v>-4746.72351520464</v>
          </cell>
        </row>
        <row r="803">
          <cell r="F803">
            <v>-1527.52981456698</v>
          </cell>
        </row>
        <row r="804">
          <cell r="F804">
            <v>-3371.88352463994</v>
          </cell>
        </row>
        <row r="805">
          <cell r="F805">
            <v>-2351.43749444003</v>
          </cell>
        </row>
        <row r="806">
          <cell r="F806">
            <v>-3060.74087910305</v>
          </cell>
        </row>
        <row r="807">
          <cell r="F807">
            <v>-5010.34677707727</v>
          </cell>
        </row>
        <row r="808">
          <cell r="F808">
            <v>-2170.50617206551</v>
          </cell>
        </row>
        <row r="809">
          <cell r="F809">
            <v>-3955.47809745839</v>
          </cell>
        </row>
        <row r="810">
          <cell r="F810">
            <v>-4005.16603353074</v>
          </cell>
        </row>
        <row r="811">
          <cell r="F811">
            <v>-3682.85981473889</v>
          </cell>
        </row>
        <row r="812">
          <cell r="F812">
            <v>-2362.10750003574</v>
          </cell>
        </row>
        <row r="813">
          <cell r="F813">
            <v>-2057.73019245998</v>
          </cell>
        </row>
        <row r="814">
          <cell r="F814">
            <v>-1950.73610772203</v>
          </cell>
        </row>
        <row r="815">
          <cell r="F815">
            <v>-2640.37635173775</v>
          </cell>
        </row>
        <row r="816">
          <cell r="F816">
            <v>-3973.93996064161</v>
          </cell>
        </row>
        <row r="817">
          <cell r="F817">
            <v>-4667.88827547284</v>
          </cell>
        </row>
        <row r="818">
          <cell r="F818">
            <v>-2347.74087850524</v>
          </cell>
        </row>
        <row r="819">
          <cell r="F819">
            <v>-1749.40414174566</v>
          </cell>
        </row>
        <row r="820">
          <cell r="F820">
            <v>-1466.12403498685</v>
          </cell>
        </row>
        <row r="821">
          <cell r="F821">
            <v>-4306.84861213658</v>
          </cell>
        </row>
        <row r="822">
          <cell r="F822">
            <v>-3988.34833709543</v>
          </cell>
        </row>
        <row r="823">
          <cell r="F823">
            <v>-4318.72038174192</v>
          </cell>
        </row>
        <row r="824">
          <cell r="F824">
            <v>-2111.15384581943</v>
          </cell>
        </row>
        <row r="825">
          <cell r="F825">
            <v>-4299.02777748461</v>
          </cell>
        </row>
        <row r="826">
          <cell r="F826">
            <v>-2664.07891070216</v>
          </cell>
        </row>
        <row r="827">
          <cell r="F827">
            <v>-3829.59890150987</v>
          </cell>
        </row>
        <row r="828">
          <cell r="F828">
            <v>-4887.59009921766</v>
          </cell>
        </row>
        <row r="829">
          <cell r="F829">
            <v>-4155.92518376862</v>
          </cell>
        </row>
        <row r="830">
          <cell r="F830">
            <v>-2234.52672841738</v>
          </cell>
        </row>
        <row r="831">
          <cell r="F831">
            <v>-1423.50219965373</v>
          </cell>
        </row>
        <row r="832">
          <cell r="F832">
            <v>-2549.27340303516</v>
          </cell>
        </row>
        <row r="833">
          <cell r="F833">
            <v>-4044.81712882571</v>
          </cell>
        </row>
        <row r="834">
          <cell r="F834">
            <v>-1405.03885958055</v>
          </cell>
        </row>
        <row r="835">
          <cell r="F835">
            <v>-4608.62735077291</v>
          </cell>
        </row>
        <row r="836">
          <cell r="F836">
            <v>-3694.56946806359</v>
          </cell>
        </row>
        <row r="837">
          <cell r="F837">
            <v>-3946.16368535085</v>
          </cell>
        </row>
        <row r="838">
          <cell r="F838">
            <v>-4952.04660036486</v>
          </cell>
        </row>
        <row r="839">
          <cell r="F839">
            <v>-4912.98965825352</v>
          </cell>
        </row>
        <row r="840">
          <cell r="F840">
            <v>-3850.37000467439</v>
          </cell>
        </row>
        <row r="841">
          <cell r="F841">
            <v>-2491.83832152931</v>
          </cell>
        </row>
        <row r="842">
          <cell r="F842">
            <v>-2480.05000655984</v>
          </cell>
        </row>
        <row r="843">
          <cell r="F843">
            <v>-1585.78137468382</v>
          </cell>
        </row>
        <row r="844">
          <cell r="F844">
            <v>-3562.81605782106</v>
          </cell>
        </row>
        <row r="845">
          <cell r="F845">
            <v>-4242.40954553758</v>
          </cell>
        </row>
        <row r="846">
          <cell r="F846">
            <v>-3837.67949453895</v>
          </cell>
        </row>
        <row r="847">
          <cell r="F847">
            <v>-2692.01897412678</v>
          </cell>
        </row>
        <row r="848">
          <cell r="F848">
            <v>-1694.79321204617</v>
          </cell>
        </row>
        <row r="849">
          <cell r="F849">
            <v>-2982.62890828104</v>
          </cell>
        </row>
        <row r="850">
          <cell r="F850">
            <v>-4846.94267427395</v>
          </cell>
        </row>
        <row r="851">
          <cell r="F851">
            <v>-2974.42273474494</v>
          </cell>
        </row>
        <row r="852">
          <cell r="F852">
            <v>-2654.1317978924</v>
          </cell>
        </row>
        <row r="853">
          <cell r="F853">
            <v>-3884.31196781332</v>
          </cell>
        </row>
        <row r="854">
          <cell r="F854">
            <v>-2040.66485987771</v>
          </cell>
        </row>
        <row r="855">
          <cell r="F855">
            <v>-3778.45256936466</v>
          </cell>
        </row>
        <row r="856">
          <cell r="F856">
            <v>-1764.12195080486</v>
          </cell>
        </row>
        <row r="857">
          <cell r="F857">
            <v>-1838.69444782104</v>
          </cell>
        </row>
        <row r="858">
          <cell r="F858">
            <v>-3679.18375449009</v>
          </cell>
        </row>
        <row r="859">
          <cell r="F859">
            <v>-1670.02428675672</v>
          </cell>
        </row>
        <row r="860">
          <cell r="F860">
            <v>-1757.04588795963</v>
          </cell>
        </row>
        <row r="861">
          <cell r="F861">
            <v>-4412.10778765983</v>
          </cell>
        </row>
        <row r="862">
          <cell r="F862">
            <v>-1478.83295276152</v>
          </cell>
        </row>
        <row r="863">
          <cell r="F863">
            <v>-3058.05588794511</v>
          </cell>
        </row>
        <row r="864">
          <cell r="F864">
            <v>-4124.51277601867</v>
          </cell>
        </row>
        <row r="865">
          <cell r="F865">
            <v>-1714.58629313154</v>
          </cell>
        </row>
        <row r="866">
          <cell r="F866">
            <v>-3396.63537252634</v>
          </cell>
        </row>
        <row r="867">
          <cell r="F867">
            <v>-2087.28740210217</v>
          </cell>
        </row>
        <row r="868">
          <cell r="F868">
            <v>-4671.46873470092</v>
          </cell>
        </row>
        <row r="869">
          <cell r="F869">
            <v>-4028.49823127679</v>
          </cell>
        </row>
        <row r="870">
          <cell r="F870">
            <v>-3303.11855584932</v>
          </cell>
        </row>
        <row r="871">
          <cell r="F871">
            <v>-3347.79706917461</v>
          </cell>
        </row>
        <row r="872">
          <cell r="F872">
            <v>-3089.42695657834</v>
          </cell>
        </row>
        <row r="873">
          <cell r="F873">
            <v>-4345.1172728483</v>
          </cell>
        </row>
        <row r="874">
          <cell r="F874">
            <v>-3573.16816629945</v>
          </cell>
        </row>
        <row r="875">
          <cell r="F875">
            <v>-2224.720777649</v>
          </cell>
        </row>
        <row r="876">
          <cell r="F876">
            <v>-1820.11308767527</v>
          </cell>
        </row>
        <row r="877">
          <cell r="F877">
            <v>-2339.84464137341</v>
          </cell>
        </row>
        <row r="878">
          <cell r="F878">
            <v>-2916.39985965412</v>
          </cell>
        </row>
        <row r="879">
          <cell r="F879">
            <v>-4308.53626432263</v>
          </cell>
        </row>
        <row r="880">
          <cell r="F880">
            <v>-2461.41133756182</v>
          </cell>
        </row>
        <row r="881">
          <cell r="F881">
            <v>-3826.08961595635</v>
          </cell>
        </row>
        <row r="882">
          <cell r="F882">
            <v>-2744.26685225436</v>
          </cell>
        </row>
        <row r="883">
          <cell r="F883">
            <v>-3088.8132846373</v>
          </cell>
        </row>
        <row r="884">
          <cell r="F884">
            <v>-4895.42118410721</v>
          </cell>
        </row>
        <row r="885">
          <cell r="F885">
            <v>-5061.58375507031</v>
          </cell>
        </row>
        <row r="886">
          <cell r="F886">
            <v>-4192.71918536429</v>
          </cell>
        </row>
        <row r="887">
          <cell r="F887">
            <v>-2620.01749411534</v>
          </cell>
        </row>
        <row r="888">
          <cell r="F888">
            <v>-2298.29484872987</v>
          </cell>
        </row>
        <row r="889">
          <cell r="F889">
            <v>-1519.85626518363</v>
          </cell>
        </row>
        <row r="890">
          <cell r="F890">
            <v>-1474.62793988084</v>
          </cell>
        </row>
        <row r="891">
          <cell r="F891">
            <v>-4445.03272743696</v>
          </cell>
        </row>
        <row r="892">
          <cell r="F892">
            <v>-2570.73641190148</v>
          </cell>
        </row>
        <row r="893">
          <cell r="F893">
            <v>-4868.12210991226</v>
          </cell>
        </row>
        <row r="894">
          <cell r="F894">
            <v>-4896.83715237463</v>
          </cell>
        </row>
        <row r="895">
          <cell r="F895">
            <v>-3687.32571264287</v>
          </cell>
        </row>
        <row r="896">
          <cell r="F896">
            <v>-3672.02644889332</v>
          </cell>
        </row>
        <row r="897">
          <cell r="F897">
            <v>-4461.75410165992</v>
          </cell>
        </row>
        <row r="898">
          <cell r="F898">
            <v>-4045.02344483471</v>
          </cell>
        </row>
        <row r="899">
          <cell r="F899">
            <v>-4467.0037346959</v>
          </cell>
        </row>
        <row r="900">
          <cell r="F900">
            <v>-1412.99306464406</v>
          </cell>
        </row>
        <row r="901">
          <cell r="F901">
            <v>-4049.10763051664</v>
          </cell>
        </row>
        <row r="902">
          <cell r="F902">
            <v>-4941.75520828279</v>
          </cell>
        </row>
        <row r="903">
          <cell r="F903">
            <v>-2351.2254520317</v>
          </cell>
        </row>
        <row r="904">
          <cell r="F904">
            <v>-2813.94694072359</v>
          </cell>
        </row>
        <row r="905">
          <cell r="F905">
            <v>-4203.37975163164</v>
          </cell>
        </row>
        <row r="906">
          <cell r="F906">
            <v>-1891.49016758926</v>
          </cell>
        </row>
        <row r="907">
          <cell r="F907">
            <v>-1560.41091866219</v>
          </cell>
        </row>
        <row r="908">
          <cell r="F908">
            <v>-1407.57222624287</v>
          </cell>
        </row>
        <row r="909">
          <cell r="F909">
            <v>-1478.05951790192</v>
          </cell>
        </row>
        <row r="910">
          <cell r="F910">
            <v>-4775.11588998806</v>
          </cell>
        </row>
        <row r="911">
          <cell r="F911">
            <v>-4408.20493508165</v>
          </cell>
        </row>
        <row r="912">
          <cell r="F912">
            <v>-2672.78021505441</v>
          </cell>
        </row>
        <row r="913">
          <cell r="F913">
            <v>-3380.04592633169</v>
          </cell>
        </row>
        <row r="914">
          <cell r="F914">
            <v>-4677.29491728917</v>
          </cell>
        </row>
        <row r="915">
          <cell r="F915">
            <v>-2020.44709183246</v>
          </cell>
        </row>
        <row r="916">
          <cell r="F916">
            <v>-4932.93145318799</v>
          </cell>
        </row>
        <row r="917">
          <cell r="F917">
            <v>-3863.17716151275</v>
          </cell>
        </row>
        <row r="918">
          <cell r="F918">
            <v>-3269.90233920665</v>
          </cell>
        </row>
        <row r="919">
          <cell r="F919">
            <v>-4724.21424883655</v>
          </cell>
        </row>
        <row r="920">
          <cell r="F920">
            <v>-3564.68256724971</v>
          </cell>
        </row>
        <row r="921">
          <cell r="F921">
            <v>-3562.8969658569</v>
          </cell>
        </row>
        <row r="922">
          <cell r="F922">
            <v>-4225.48284910075</v>
          </cell>
        </row>
        <row r="923">
          <cell r="F923">
            <v>-3287.1611599042</v>
          </cell>
        </row>
        <row r="924">
          <cell r="F924">
            <v>-4375.63480259396</v>
          </cell>
        </row>
        <row r="925">
          <cell r="F925">
            <v>-4738.43036561627</v>
          </cell>
        </row>
        <row r="926">
          <cell r="F926">
            <v>-1723.0048489677</v>
          </cell>
        </row>
        <row r="927">
          <cell r="F927">
            <v>-1487.33056707038</v>
          </cell>
        </row>
        <row r="928">
          <cell r="F928">
            <v>-2359.25048570201</v>
          </cell>
        </row>
        <row r="929">
          <cell r="F929">
            <v>-2878.01724031727</v>
          </cell>
        </row>
        <row r="930">
          <cell r="F930">
            <v>-4954.72417429147</v>
          </cell>
        </row>
        <row r="931">
          <cell r="F931">
            <v>-2450.23457581739</v>
          </cell>
        </row>
        <row r="932">
          <cell r="F932">
            <v>-4382.04204994601</v>
          </cell>
        </row>
        <row r="933">
          <cell r="F933">
            <v>-4018.13247881948</v>
          </cell>
        </row>
        <row r="934">
          <cell r="F934">
            <v>-4324.49002670431</v>
          </cell>
        </row>
        <row r="935">
          <cell r="F935">
            <v>-4460.13490228921</v>
          </cell>
        </row>
        <row r="936">
          <cell r="F936">
            <v>-1761.71920436407</v>
          </cell>
        </row>
        <row r="937">
          <cell r="F937">
            <v>-3479.68076319763</v>
          </cell>
        </row>
        <row r="938">
          <cell r="F938">
            <v>-4122.54156268201</v>
          </cell>
        </row>
        <row r="939">
          <cell r="F939">
            <v>-4543.45116251923</v>
          </cell>
        </row>
        <row r="940">
          <cell r="F940">
            <v>-1613.25276536217</v>
          </cell>
        </row>
        <row r="941">
          <cell r="F941">
            <v>-1653.97960074769</v>
          </cell>
        </row>
        <row r="942">
          <cell r="F942">
            <v>-3605.02703996046</v>
          </cell>
        </row>
        <row r="943">
          <cell r="F943">
            <v>-2224.43964750068</v>
          </cell>
        </row>
        <row r="944">
          <cell r="F944">
            <v>-1602.07390388048</v>
          </cell>
        </row>
        <row r="945">
          <cell r="F945">
            <v>-5058.47694619082</v>
          </cell>
        </row>
        <row r="946">
          <cell r="F946">
            <v>-1716.62589372065</v>
          </cell>
        </row>
        <row r="947">
          <cell r="F947">
            <v>-3596.09371205168</v>
          </cell>
        </row>
        <row r="948">
          <cell r="F948">
            <v>-4575.33947908617</v>
          </cell>
        </row>
        <row r="949">
          <cell r="F949">
            <v>-2213.53655208909</v>
          </cell>
        </row>
        <row r="950">
          <cell r="F950">
            <v>-3008.92404753403</v>
          </cell>
        </row>
        <row r="951">
          <cell r="F951">
            <v>-1926.57233637616</v>
          </cell>
        </row>
        <row r="952">
          <cell r="F952">
            <v>-3907.79575382288</v>
          </cell>
        </row>
        <row r="953">
          <cell r="F953">
            <v>-5068.87013498512</v>
          </cell>
        </row>
        <row r="954">
          <cell r="F954">
            <v>-3591.74258023137</v>
          </cell>
        </row>
        <row r="955">
          <cell r="F955">
            <v>-4420.25293251332</v>
          </cell>
        </row>
        <row r="956">
          <cell r="F956">
            <v>-4065.40210589542</v>
          </cell>
        </row>
        <row r="957">
          <cell r="F957">
            <v>-3127.40068960765</v>
          </cell>
        </row>
        <row r="958">
          <cell r="F958">
            <v>-2254.11012563251</v>
          </cell>
        </row>
        <row r="959">
          <cell r="F959">
            <v>-2558.97384588766</v>
          </cell>
        </row>
        <row r="960">
          <cell r="F960">
            <v>-2881.75075262144</v>
          </cell>
        </row>
        <row r="961">
          <cell r="F961">
            <v>-3413.39666418686</v>
          </cell>
        </row>
        <row r="962">
          <cell r="F962">
            <v>-4334.32502355072</v>
          </cell>
        </row>
        <row r="963">
          <cell r="F963">
            <v>-2763.80197449096</v>
          </cell>
        </row>
        <row r="964">
          <cell r="F964">
            <v>-3896.37589874843</v>
          </cell>
        </row>
        <row r="965">
          <cell r="F965">
            <v>-2650.9849318229</v>
          </cell>
        </row>
        <row r="966">
          <cell r="F966">
            <v>-1464.4005940989</v>
          </cell>
        </row>
        <row r="967">
          <cell r="F967">
            <v>-2939.75594298998</v>
          </cell>
        </row>
        <row r="968">
          <cell r="F968">
            <v>-2773.71537763202</v>
          </cell>
        </row>
        <row r="969">
          <cell r="F969">
            <v>-3573.75729702197</v>
          </cell>
        </row>
        <row r="970">
          <cell r="F970">
            <v>-4522.67905348222</v>
          </cell>
        </row>
        <row r="971">
          <cell r="F971">
            <v>-3525.58931020814</v>
          </cell>
        </row>
        <row r="972">
          <cell r="F972">
            <v>-5060.40060574059</v>
          </cell>
        </row>
        <row r="973">
          <cell r="F973">
            <v>-4848.65207953109</v>
          </cell>
        </row>
        <row r="974">
          <cell r="F974">
            <v>-4707.66485638121</v>
          </cell>
        </row>
        <row r="975">
          <cell r="F975">
            <v>-3923.33902705733</v>
          </cell>
        </row>
        <row r="976">
          <cell r="F976">
            <v>-3053.91261286131</v>
          </cell>
        </row>
        <row r="977">
          <cell r="F977">
            <v>-3793.43944500357</v>
          </cell>
        </row>
        <row r="978">
          <cell r="F978">
            <v>-4609.22380210779</v>
          </cell>
        </row>
        <row r="979">
          <cell r="F979">
            <v>-4013.43258702211</v>
          </cell>
        </row>
        <row r="980">
          <cell r="F980">
            <v>-4115.15970079486</v>
          </cell>
        </row>
        <row r="981">
          <cell r="F981">
            <v>-3368.56489764616</v>
          </cell>
        </row>
        <row r="982">
          <cell r="F982">
            <v>-3924.48356503094</v>
          </cell>
        </row>
        <row r="983">
          <cell r="F983">
            <v>-2386.38385318641</v>
          </cell>
        </row>
        <row r="984">
          <cell r="F984">
            <v>-3373.95907093681</v>
          </cell>
        </row>
        <row r="985">
          <cell r="F985">
            <v>-4376.42836180485</v>
          </cell>
        </row>
        <row r="986">
          <cell r="F986">
            <v>-2219.46619979214</v>
          </cell>
        </row>
        <row r="987">
          <cell r="F987">
            <v>-3454.7963368302</v>
          </cell>
        </row>
        <row r="988">
          <cell r="F988">
            <v>-1573.19659848366</v>
          </cell>
        </row>
        <row r="989">
          <cell r="F989">
            <v>-2502.69652017567</v>
          </cell>
        </row>
        <row r="990">
          <cell r="F990">
            <v>-3487.36818602995</v>
          </cell>
        </row>
        <row r="991">
          <cell r="F991">
            <v>-3459.39112961698</v>
          </cell>
        </row>
        <row r="992">
          <cell r="F992">
            <v>-3119.17682617324</v>
          </cell>
        </row>
        <row r="993">
          <cell r="F993">
            <v>-1518.40549683342</v>
          </cell>
        </row>
        <row r="994">
          <cell r="F994">
            <v>-4382.97295474895</v>
          </cell>
        </row>
        <row r="995">
          <cell r="F995">
            <v>-4442.9031383541</v>
          </cell>
        </row>
        <row r="996">
          <cell r="F996">
            <v>-2866.93521692417</v>
          </cell>
        </row>
        <row r="997">
          <cell r="F997">
            <v>-1679.6870930695</v>
          </cell>
        </row>
        <row r="998">
          <cell r="F998">
            <v>-3720.09728533222</v>
          </cell>
        </row>
        <row r="999">
          <cell r="F999">
            <v>-2712.73550482627</v>
          </cell>
        </row>
        <row r="1000">
          <cell r="F1000">
            <v>-4899.21493143822</v>
          </cell>
        </row>
        <row r="1001">
          <cell r="F1001">
            <v>-3031.06082879178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a1cf"/>
    </sheetNames>
    <sheetDataSet>
      <sheetData sheetId="0">
        <row r="2">
          <cell r="BZ2">
            <v>163120.114243864</v>
          </cell>
        </row>
        <row r="3">
          <cell r="BZ3">
            <v>117783.47496014</v>
          </cell>
        </row>
        <row r="4">
          <cell r="BZ4">
            <v>159583.994342999</v>
          </cell>
        </row>
        <row r="5">
          <cell r="BZ5">
            <v>167478.122398846</v>
          </cell>
        </row>
        <row r="6">
          <cell r="BZ6">
            <v>131378.18995734</v>
          </cell>
        </row>
        <row r="7">
          <cell r="BZ7">
            <v>131141.15892139</v>
          </cell>
        </row>
        <row r="8">
          <cell r="BZ8">
            <v>161599.395068378</v>
          </cell>
        </row>
        <row r="9">
          <cell r="BZ9">
            <v>152829.972736554</v>
          </cell>
        </row>
        <row r="10">
          <cell r="BZ10">
            <v>146473.427259292</v>
          </cell>
        </row>
        <row r="11">
          <cell r="BZ11">
            <v>152703.092526099</v>
          </cell>
        </row>
        <row r="12">
          <cell r="BZ12">
            <v>164057.020198356</v>
          </cell>
        </row>
        <row r="13">
          <cell r="BZ13">
            <v>146249.008026576</v>
          </cell>
        </row>
        <row r="14">
          <cell r="BZ14">
            <v>150600.92984596</v>
          </cell>
        </row>
        <row r="15">
          <cell r="BZ15">
            <v>156751.419099063</v>
          </cell>
        </row>
        <row r="16">
          <cell r="BZ16">
            <v>123219.070406317</v>
          </cell>
        </row>
        <row r="17">
          <cell r="BZ17">
            <v>151214.763105671</v>
          </cell>
        </row>
        <row r="18">
          <cell r="BZ18">
            <v>155726.943149977</v>
          </cell>
        </row>
        <row r="19">
          <cell r="BZ19">
            <v>141024.561906326</v>
          </cell>
        </row>
        <row r="20">
          <cell r="BZ20">
            <v>144515.455477939</v>
          </cell>
        </row>
        <row r="21">
          <cell r="BZ21">
            <v>118240.636114539</v>
          </cell>
        </row>
        <row r="22">
          <cell r="BZ22">
            <v>155816.511575101</v>
          </cell>
        </row>
        <row r="23">
          <cell r="BZ23">
            <v>126059.745776417</v>
          </cell>
        </row>
        <row r="24">
          <cell r="BZ24">
            <v>119957.334189767</v>
          </cell>
        </row>
        <row r="25">
          <cell r="BZ25">
            <v>131964.690553818</v>
          </cell>
        </row>
        <row r="26">
          <cell r="BZ26">
            <v>152327.692579034</v>
          </cell>
        </row>
        <row r="27">
          <cell r="BZ27">
            <v>137289.077151892</v>
          </cell>
        </row>
        <row r="28">
          <cell r="BZ28">
            <v>121364.200237123</v>
          </cell>
        </row>
        <row r="29">
          <cell r="BZ29">
            <v>162464.827400167</v>
          </cell>
        </row>
        <row r="30">
          <cell r="BZ30">
            <v>148436.96726013</v>
          </cell>
        </row>
        <row r="31">
          <cell r="BZ31">
            <v>166290.868911932</v>
          </cell>
        </row>
        <row r="32">
          <cell r="BZ32">
            <v>138399.272635821</v>
          </cell>
        </row>
        <row r="33">
          <cell r="BZ33">
            <v>128736.400756069</v>
          </cell>
        </row>
        <row r="34">
          <cell r="BZ34">
            <v>154459.843024828</v>
          </cell>
        </row>
        <row r="35">
          <cell r="BZ35">
            <v>134099.429905858</v>
          </cell>
        </row>
        <row r="36">
          <cell r="BZ36">
            <v>121174.778835425</v>
          </cell>
        </row>
        <row r="37">
          <cell r="BZ37">
            <v>135507.927853963</v>
          </cell>
        </row>
        <row r="38">
          <cell r="BZ38">
            <v>139472.315588637</v>
          </cell>
        </row>
        <row r="39">
          <cell r="BZ39">
            <v>162975.388946841</v>
          </cell>
        </row>
        <row r="40">
          <cell r="BZ40">
            <v>118628.365487674</v>
          </cell>
        </row>
        <row r="41">
          <cell r="BZ41">
            <v>157416.090585341</v>
          </cell>
        </row>
        <row r="42">
          <cell r="BZ42">
            <v>148855.855765494</v>
          </cell>
        </row>
        <row r="43">
          <cell r="BZ43">
            <v>145887.896480472</v>
          </cell>
        </row>
        <row r="44">
          <cell r="BZ44">
            <v>167140.596856078</v>
          </cell>
        </row>
        <row r="45">
          <cell r="BZ45">
            <v>148122.855921237</v>
          </cell>
        </row>
        <row r="46">
          <cell r="BZ46">
            <v>119534.516499712</v>
          </cell>
        </row>
        <row r="47">
          <cell r="BZ47">
            <v>124514.581090719</v>
          </cell>
        </row>
        <row r="48">
          <cell r="BZ48">
            <v>140369.404179145</v>
          </cell>
        </row>
        <row r="49">
          <cell r="BZ49">
            <v>117628.379600185</v>
          </cell>
        </row>
        <row r="50">
          <cell r="BZ50">
            <v>134041.082853868</v>
          </cell>
        </row>
        <row r="51">
          <cell r="BZ51">
            <v>161836.593341882</v>
          </cell>
        </row>
        <row r="52">
          <cell r="BZ52">
            <v>124356.95193138</v>
          </cell>
        </row>
        <row r="53">
          <cell r="BZ53">
            <v>122795.111632982</v>
          </cell>
        </row>
        <row r="54">
          <cell r="BZ54">
            <v>120397.673774722</v>
          </cell>
        </row>
        <row r="55">
          <cell r="BZ55">
            <v>125785.837185553</v>
          </cell>
        </row>
        <row r="56">
          <cell r="BZ56">
            <v>142379.107519992</v>
          </cell>
        </row>
        <row r="57">
          <cell r="BZ57">
            <v>150803.526009575</v>
          </cell>
        </row>
        <row r="58">
          <cell r="BZ58">
            <v>150874.572560173</v>
          </cell>
        </row>
        <row r="59">
          <cell r="BZ59">
            <v>121049.485367698</v>
          </cell>
        </row>
        <row r="60">
          <cell r="BZ60">
            <v>126962.523671058</v>
          </cell>
        </row>
        <row r="61">
          <cell r="BZ61">
            <v>144194.95882871</v>
          </cell>
        </row>
        <row r="62">
          <cell r="BZ62">
            <v>135139.742877594</v>
          </cell>
        </row>
        <row r="63">
          <cell r="BZ63">
            <v>165241.475950471</v>
          </cell>
        </row>
        <row r="64">
          <cell r="BZ64">
            <v>159071.838361447</v>
          </cell>
        </row>
        <row r="65">
          <cell r="BZ65">
            <v>168681.831604856</v>
          </cell>
        </row>
        <row r="66">
          <cell r="BZ66">
            <v>146779.241994586</v>
          </cell>
        </row>
        <row r="67">
          <cell r="BZ67">
            <v>131837.090702602</v>
          </cell>
        </row>
        <row r="68">
          <cell r="BZ68">
            <v>151910.017298164</v>
          </cell>
        </row>
        <row r="69">
          <cell r="BZ69">
            <v>164245.582554222</v>
          </cell>
        </row>
        <row r="70">
          <cell r="BZ70">
            <v>136741.94639151</v>
          </cell>
        </row>
        <row r="71">
          <cell r="BZ71">
            <v>139999.300508549</v>
          </cell>
        </row>
        <row r="72">
          <cell r="BZ72">
            <v>140937.549653341</v>
          </cell>
        </row>
        <row r="73">
          <cell r="BZ73">
            <v>132678.413819196</v>
          </cell>
        </row>
        <row r="74">
          <cell r="BZ74">
            <v>137638.268460386</v>
          </cell>
        </row>
        <row r="75">
          <cell r="BZ75">
            <v>123123.276434648</v>
          </cell>
        </row>
        <row r="76">
          <cell r="BZ76">
            <v>158421.1098573</v>
          </cell>
        </row>
        <row r="77">
          <cell r="BZ77">
            <v>162374.727100414</v>
          </cell>
        </row>
        <row r="78">
          <cell r="BZ78">
            <v>164580.941458287</v>
          </cell>
        </row>
        <row r="79">
          <cell r="BZ79">
            <v>152292.6488135</v>
          </cell>
        </row>
        <row r="80">
          <cell r="BZ80">
            <v>127733.299280514</v>
          </cell>
        </row>
        <row r="81">
          <cell r="BZ81">
            <v>150656.323160505</v>
          </cell>
        </row>
        <row r="82">
          <cell r="BZ82">
            <v>129068.795173092</v>
          </cell>
        </row>
        <row r="83">
          <cell r="BZ83">
            <v>129021.007236236</v>
          </cell>
        </row>
        <row r="84">
          <cell r="BZ84">
            <v>140073.228339926</v>
          </cell>
        </row>
        <row r="85">
          <cell r="BZ85">
            <v>124537.748320738</v>
          </cell>
        </row>
        <row r="86">
          <cell r="BZ86">
            <v>150256.311533355</v>
          </cell>
        </row>
        <row r="87">
          <cell r="BZ87">
            <v>133388.000697115</v>
          </cell>
        </row>
        <row r="88">
          <cell r="BZ88">
            <v>121722.892977859</v>
          </cell>
        </row>
        <row r="89">
          <cell r="BZ89">
            <v>156960.032004936</v>
          </cell>
        </row>
        <row r="90">
          <cell r="BZ90">
            <v>132277.315827379</v>
          </cell>
        </row>
        <row r="91">
          <cell r="BZ91">
            <v>166518.307107649</v>
          </cell>
        </row>
        <row r="92">
          <cell r="BZ92">
            <v>128568.705458691</v>
          </cell>
        </row>
        <row r="93">
          <cell r="BZ93">
            <v>137415.764185016</v>
          </cell>
        </row>
        <row r="94">
          <cell r="BZ94">
            <v>164946.051515502</v>
          </cell>
        </row>
        <row r="95">
          <cell r="BZ95">
            <v>144188.49955725</v>
          </cell>
        </row>
        <row r="96">
          <cell r="BZ96">
            <v>162713.715607795</v>
          </cell>
        </row>
        <row r="97">
          <cell r="BZ97">
            <v>157233.407046855</v>
          </cell>
        </row>
        <row r="98">
          <cell r="BZ98">
            <v>149915.623618713</v>
          </cell>
        </row>
        <row r="99">
          <cell r="BZ99">
            <v>121031.273484429</v>
          </cell>
        </row>
        <row r="100">
          <cell r="BZ100">
            <v>159007.67400502</v>
          </cell>
        </row>
        <row r="101">
          <cell r="BZ101">
            <v>119269.285334583</v>
          </cell>
        </row>
        <row r="102">
          <cell r="BZ102">
            <v>148203.489997931</v>
          </cell>
        </row>
        <row r="103">
          <cell r="BZ103">
            <v>158501.855506582</v>
          </cell>
        </row>
        <row r="104">
          <cell r="BZ104">
            <v>132062.87748814</v>
          </cell>
        </row>
        <row r="105">
          <cell r="BZ105">
            <v>154201.678835351</v>
          </cell>
        </row>
        <row r="106">
          <cell r="BZ106">
            <v>144384.220733536</v>
          </cell>
        </row>
        <row r="107">
          <cell r="BZ107">
            <v>141217.909702187</v>
          </cell>
        </row>
        <row r="108">
          <cell r="BZ108">
            <v>159907.616140885</v>
          </cell>
        </row>
        <row r="109">
          <cell r="BZ109">
            <v>165008.943730897</v>
          </cell>
        </row>
        <row r="110">
          <cell r="BZ110">
            <v>150509.500065891</v>
          </cell>
        </row>
        <row r="111">
          <cell r="BZ111">
            <v>149530.046227942</v>
          </cell>
        </row>
        <row r="112">
          <cell r="BZ112">
            <v>123889.751088294</v>
          </cell>
        </row>
        <row r="113">
          <cell r="BZ113">
            <v>124609.247931749</v>
          </cell>
        </row>
        <row r="114">
          <cell r="BZ114">
            <v>150556.142648746</v>
          </cell>
        </row>
        <row r="115">
          <cell r="BZ115">
            <v>132722.396859049</v>
          </cell>
        </row>
        <row r="116">
          <cell r="BZ116">
            <v>123873.936171478</v>
          </cell>
        </row>
        <row r="117">
          <cell r="BZ117">
            <v>136196.481746177</v>
          </cell>
        </row>
        <row r="118">
          <cell r="BZ118">
            <v>140350.699197453</v>
          </cell>
        </row>
        <row r="119">
          <cell r="BZ119">
            <v>154382.708901093</v>
          </cell>
        </row>
        <row r="120">
          <cell r="BZ120">
            <v>158030.70599364</v>
          </cell>
        </row>
        <row r="121">
          <cell r="BZ121">
            <v>121239.536579423</v>
          </cell>
        </row>
        <row r="122">
          <cell r="BZ122">
            <v>137329.341097412</v>
          </cell>
        </row>
        <row r="123">
          <cell r="BZ123">
            <v>153721.38056437</v>
          </cell>
        </row>
        <row r="124">
          <cell r="BZ124">
            <v>152647.719521744</v>
          </cell>
        </row>
        <row r="125">
          <cell r="BZ125">
            <v>123380.75007765</v>
          </cell>
        </row>
        <row r="126">
          <cell r="BZ126">
            <v>127403.134616657</v>
          </cell>
        </row>
        <row r="127">
          <cell r="BZ127">
            <v>168948.003153641</v>
          </cell>
        </row>
        <row r="128">
          <cell r="BZ128">
            <v>155741.34074551</v>
          </cell>
        </row>
        <row r="129">
          <cell r="BZ129">
            <v>127228.037286147</v>
          </cell>
        </row>
        <row r="130">
          <cell r="BZ130">
            <v>159001.943328277</v>
          </cell>
        </row>
        <row r="131">
          <cell r="BZ131">
            <v>129104.618199624</v>
          </cell>
        </row>
        <row r="132">
          <cell r="BZ132">
            <v>167712.255629237</v>
          </cell>
        </row>
        <row r="133">
          <cell r="BZ133">
            <v>144980.566676629</v>
          </cell>
        </row>
        <row r="134">
          <cell r="BZ134">
            <v>168742.217683491</v>
          </cell>
        </row>
        <row r="135">
          <cell r="BZ135">
            <v>141738.910565417</v>
          </cell>
        </row>
        <row r="136">
          <cell r="BZ136">
            <v>143291.003646723</v>
          </cell>
        </row>
        <row r="137">
          <cell r="BZ137">
            <v>142088.192456875</v>
          </cell>
        </row>
        <row r="138">
          <cell r="BZ138">
            <v>132719.892226748</v>
          </cell>
        </row>
        <row r="139">
          <cell r="BZ139">
            <v>122888.887519099</v>
          </cell>
        </row>
        <row r="140">
          <cell r="BZ140">
            <v>146357.929612373</v>
          </cell>
        </row>
        <row r="141">
          <cell r="BZ141">
            <v>145106.392577091</v>
          </cell>
        </row>
        <row r="142">
          <cell r="BZ142">
            <v>163148.156113711</v>
          </cell>
        </row>
        <row r="143">
          <cell r="BZ143">
            <v>154233.334438902</v>
          </cell>
        </row>
        <row r="144">
          <cell r="BZ144">
            <v>159425.979484165</v>
          </cell>
        </row>
        <row r="145">
          <cell r="BZ145">
            <v>164129.276066708</v>
          </cell>
        </row>
        <row r="146">
          <cell r="BZ146">
            <v>161589.927996028</v>
          </cell>
        </row>
        <row r="147">
          <cell r="BZ147">
            <v>141569.240035289</v>
          </cell>
        </row>
        <row r="148">
          <cell r="BZ148">
            <v>127183.54736509</v>
          </cell>
        </row>
        <row r="149">
          <cell r="BZ149">
            <v>139567.862756308</v>
          </cell>
        </row>
        <row r="150">
          <cell r="BZ150">
            <v>127790.081986797</v>
          </cell>
        </row>
        <row r="151">
          <cell r="BZ151">
            <v>132586.242996229</v>
          </cell>
        </row>
        <row r="152">
          <cell r="BZ152">
            <v>117771.753650775</v>
          </cell>
        </row>
        <row r="153">
          <cell r="BZ153">
            <v>146295.728550089</v>
          </cell>
        </row>
        <row r="154">
          <cell r="BZ154">
            <v>125040.541328765</v>
          </cell>
        </row>
        <row r="155">
          <cell r="BZ155">
            <v>151442.575911568</v>
          </cell>
        </row>
        <row r="156">
          <cell r="BZ156">
            <v>124106.934045239</v>
          </cell>
        </row>
        <row r="157">
          <cell r="BZ157">
            <v>140714.337748612</v>
          </cell>
        </row>
        <row r="158">
          <cell r="BZ158">
            <v>119994.851697672</v>
          </cell>
        </row>
        <row r="159">
          <cell r="BZ159">
            <v>159748.155594446</v>
          </cell>
        </row>
        <row r="160">
          <cell r="BZ160">
            <v>152074.88836286</v>
          </cell>
        </row>
        <row r="161">
          <cell r="BZ161">
            <v>120915.50285108</v>
          </cell>
        </row>
        <row r="162">
          <cell r="BZ162">
            <v>137842.271947914</v>
          </cell>
        </row>
        <row r="163">
          <cell r="BZ163">
            <v>122784.813153159</v>
          </cell>
        </row>
        <row r="164">
          <cell r="BZ164">
            <v>142266.412145514</v>
          </cell>
        </row>
        <row r="165">
          <cell r="BZ165">
            <v>117678.059369402</v>
          </cell>
        </row>
        <row r="166">
          <cell r="BZ166">
            <v>128449.217114139</v>
          </cell>
        </row>
        <row r="167">
          <cell r="BZ167">
            <v>148377.957300025</v>
          </cell>
        </row>
        <row r="168">
          <cell r="BZ168">
            <v>151593.57205875</v>
          </cell>
        </row>
        <row r="169">
          <cell r="BZ169">
            <v>132503.407120181</v>
          </cell>
        </row>
        <row r="170">
          <cell r="BZ170">
            <v>145953.97314931</v>
          </cell>
        </row>
        <row r="171">
          <cell r="BZ171">
            <v>156507.077704892</v>
          </cell>
        </row>
        <row r="172">
          <cell r="BZ172">
            <v>159338.226115485</v>
          </cell>
        </row>
        <row r="173">
          <cell r="BZ173">
            <v>145868.843871794</v>
          </cell>
        </row>
        <row r="174">
          <cell r="BZ174">
            <v>142834.84455878</v>
          </cell>
        </row>
        <row r="175">
          <cell r="BZ175">
            <v>134947.181185592</v>
          </cell>
        </row>
        <row r="176">
          <cell r="BZ176">
            <v>167346.629591271</v>
          </cell>
        </row>
        <row r="177">
          <cell r="BZ177">
            <v>168069.713961732</v>
          </cell>
        </row>
        <row r="178">
          <cell r="BZ178">
            <v>119613.110385019</v>
          </cell>
        </row>
        <row r="179">
          <cell r="BZ179">
            <v>123189.100257387</v>
          </cell>
        </row>
        <row r="180">
          <cell r="BZ180">
            <v>167226.880490081</v>
          </cell>
        </row>
        <row r="181">
          <cell r="BZ181">
            <v>162402.561379246</v>
          </cell>
        </row>
        <row r="182">
          <cell r="BZ182">
            <v>139251.353213424</v>
          </cell>
        </row>
        <row r="183">
          <cell r="BZ183">
            <v>155151.740333515</v>
          </cell>
        </row>
        <row r="184">
          <cell r="BZ184">
            <v>167158.310326788</v>
          </cell>
        </row>
        <row r="185">
          <cell r="BZ185">
            <v>158097.300123423</v>
          </cell>
        </row>
        <row r="186">
          <cell r="BZ186">
            <v>142811.006218921</v>
          </cell>
        </row>
        <row r="187">
          <cell r="BZ187">
            <v>162738.891799553</v>
          </cell>
        </row>
        <row r="188">
          <cell r="BZ188">
            <v>166841.14663562</v>
          </cell>
        </row>
        <row r="189">
          <cell r="BZ189">
            <v>128321.169298256</v>
          </cell>
        </row>
        <row r="190">
          <cell r="BZ190">
            <v>151299.881949039</v>
          </cell>
        </row>
        <row r="191">
          <cell r="BZ191">
            <v>157949.097561645</v>
          </cell>
        </row>
        <row r="192">
          <cell r="BZ192">
            <v>156552.372462743</v>
          </cell>
        </row>
        <row r="193">
          <cell r="BZ193">
            <v>123756.195061409</v>
          </cell>
        </row>
        <row r="194">
          <cell r="BZ194">
            <v>143727.273962483</v>
          </cell>
        </row>
        <row r="195">
          <cell r="BZ195">
            <v>130293.350787682</v>
          </cell>
        </row>
        <row r="196">
          <cell r="BZ196">
            <v>128415.186722766</v>
          </cell>
        </row>
        <row r="197">
          <cell r="BZ197">
            <v>168922.106496095</v>
          </cell>
        </row>
        <row r="198">
          <cell r="BZ198">
            <v>129165.942696413</v>
          </cell>
        </row>
        <row r="199">
          <cell r="BZ199">
            <v>154871.501320786</v>
          </cell>
        </row>
        <row r="200">
          <cell r="BZ200">
            <v>147686.790284636</v>
          </cell>
        </row>
        <row r="201">
          <cell r="BZ201">
            <v>129320.784385243</v>
          </cell>
        </row>
        <row r="202">
          <cell r="BZ202">
            <v>148777.632753485</v>
          </cell>
        </row>
        <row r="203">
          <cell r="BZ203">
            <v>166888.882838513</v>
          </cell>
        </row>
        <row r="204">
          <cell r="BZ204">
            <v>126907.405308445</v>
          </cell>
        </row>
        <row r="205">
          <cell r="BZ205">
            <v>121678.356200198</v>
          </cell>
        </row>
        <row r="206">
          <cell r="BZ206">
            <v>147184.50139155</v>
          </cell>
        </row>
        <row r="207">
          <cell r="BZ207">
            <v>137211.088155985</v>
          </cell>
        </row>
        <row r="208">
          <cell r="BZ208">
            <v>134255.418477413</v>
          </cell>
        </row>
        <row r="209">
          <cell r="BZ209">
            <v>146508.597884653</v>
          </cell>
        </row>
        <row r="210">
          <cell r="BZ210">
            <v>141263.556891587</v>
          </cell>
        </row>
        <row r="211">
          <cell r="BZ211">
            <v>139517.831332037</v>
          </cell>
        </row>
        <row r="212">
          <cell r="BZ212">
            <v>138673.819189907</v>
          </cell>
        </row>
        <row r="213">
          <cell r="BZ213">
            <v>122423.902646396</v>
          </cell>
        </row>
        <row r="214">
          <cell r="BZ214">
            <v>155226.997887862</v>
          </cell>
        </row>
        <row r="215">
          <cell r="BZ215">
            <v>118644.898322404</v>
          </cell>
        </row>
        <row r="216">
          <cell r="BZ216">
            <v>120009.41631237</v>
          </cell>
        </row>
        <row r="217">
          <cell r="BZ217">
            <v>166602.100523035</v>
          </cell>
        </row>
        <row r="218">
          <cell r="BZ218">
            <v>160588.895005388</v>
          </cell>
        </row>
        <row r="219">
          <cell r="BZ219">
            <v>139546.530043634</v>
          </cell>
        </row>
        <row r="220">
          <cell r="BZ220">
            <v>158385.704754794</v>
          </cell>
        </row>
        <row r="221">
          <cell r="BZ221">
            <v>151848.883600691</v>
          </cell>
        </row>
        <row r="222">
          <cell r="BZ222">
            <v>128095.946587613</v>
          </cell>
        </row>
        <row r="223">
          <cell r="BZ223">
            <v>122814.257785011</v>
          </cell>
        </row>
        <row r="224">
          <cell r="BZ224">
            <v>122533.852893594</v>
          </cell>
        </row>
        <row r="225">
          <cell r="BZ225">
            <v>123896.903599695</v>
          </cell>
        </row>
        <row r="226">
          <cell r="BZ226">
            <v>148112.055728753</v>
          </cell>
        </row>
        <row r="227">
          <cell r="BZ227">
            <v>135447.608845061</v>
          </cell>
        </row>
        <row r="228">
          <cell r="BZ228">
            <v>161640.337548969</v>
          </cell>
        </row>
        <row r="229">
          <cell r="BZ229">
            <v>138206.047259209</v>
          </cell>
        </row>
        <row r="230">
          <cell r="BZ230">
            <v>159217.684528621</v>
          </cell>
        </row>
        <row r="231">
          <cell r="BZ231">
            <v>164417.680455425</v>
          </cell>
        </row>
        <row r="232">
          <cell r="BZ232">
            <v>121887.403918857</v>
          </cell>
        </row>
        <row r="233">
          <cell r="BZ233">
            <v>147923.175568151</v>
          </cell>
        </row>
        <row r="234">
          <cell r="BZ234">
            <v>123164.517865712</v>
          </cell>
        </row>
        <row r="235">
          <cell r="BZ235">
            <v>161620.88259469</v>
          </cell>
        </row>
        <row r="236">
          <cell r="BZ236">
            <v>161241.439172616</v>
          </cell>
        </row>
        <row r="237">
          <cell r="BZ237">
            <v>130260.030670603</v>
          </cell>
        </row>
        <row r="238">
          <cell r="BZ238">
            <v>151107.637503667</v>
          </cell>
        </row>
        <row r="239">
          <cell r="BZ239">
            <v>142695.031901296</v>
          </cell>
        </row>
        <row r="240">
          <cell r="BZ240">
            <v>145400.927027765</v>
          </cell>
        </row>
        <row r="241">
          <cell r="BZ241">
            <v>128218.22012172</v>
          </cell>
        </row>
        <row r="242">
          <cell r="BZ242">
            <v>156769.504389425</v>
          </cell>
        </row>
        <row r="243">
          <cell r="BZ243">
            <v>124095.931503079</v>
          </cell>
        </row>
        <row r="244">
          <cell r="BZ244">
            <v>167978.677403451</v>
          </cell>
        </row>
        <row r="245">
          <cell r="BZ245">
            <v>150047.707727029</v>
          </cell>
        </row>
        <row r="246">
          <cell r="BZ246">
            <v>128256.023986323</v>
          </cell>
        </row>
        <row r="247">
          <cell r="BZ247">
            <v>132326.709045773</v>
          </cell>
        </row>
        <row r="248">
          <cell r="BZ248">
            <v>142894.572825047</v>
          </cell>
        </row>
        <row r="249">
          <cell r="BZ249">
            <v>160121.936234535</v>
          </cell>
        </row>
        <row r="250">
          <cell r="BZ250">
            <v>156876.030901474</v>
          </cell>
        </row>
        <row r="251">
          <cell r="BZ251">
            <v>133622.813093481</v>
          </cell>
        </row>
        <row r="252">
          <cell r="BZ252">
            <v>121271.784405803</v>
          </cell>
        </row>
        <row r="253">
          <cell r="BZ253">
            <v>152218.309658302</v>
          </cell>
        </row>
        <row r="254">
          <cell r="BZ254">
            <v>159808.497243022</v>
          </cell>
        </row>
        <row r="255">
          <cell r="BZ255">
            <v>123000.32548168</v>
          </cell>
        </row>
        <row r="256">
          <cell r="BZ256">
            <v>145526.353688605</v>
          </cell>
        </row>
        <row r="257">
          <cell r="BZ257">
            <v>147682.414397083</v>
          </cell>
        </row>
        <row r="258">
          <cell r="BZ258">
            <v>118552.86384706</v>
          </cell>
        </row>
        <row r="259">
          <cell r="BZ259">
            <v>119370.755361444</v>
          </cell>
        </row>
        <row r="260">
          <cell r="BZ260">
            <v>144417.901653747</v>
          </cell>
        </row>
        <row r="261">
          <cell r="BZ261">
            <v>147751.808299963</v>
          </cell>
        </row>
        <row r="262">
          <cell r="BZ262">
            <v>154510.099608306</v>
          </cell>
        </row>
        <row r="263">
          <cell r="BZ263">
            <v>159920.057333666</v>
          </cell>
        </row>
        <row r="264">
          <cell r="BZ264">
            <v>140819.520002682</v>
          </cell>
        </row>
        <row r="265">
          <cell r="BZ265">
            <v>118539.610489316</v>
          </cell>
        </row>
        <row r="266">
          <cell r="BZ266">
            <v>164843.3236157</v>
          </cell>
        </row>
        <row r="267">
          <cell r="BZ267">
            <v>136051.577685506</v>
          </cell>
        </row>
        <row r="268">
          <cell r="BZ268">
            <v>168976.887083498</v>
          </cell>
        </row>
        <row r="269">
          <cell r="BZ269">
            <v>151846.553679705</v>
          </cell>
        </row>
        <row r="270">
          <cell r="BZ270">
            <v>150385.577572416</v>
          </cell>
        </row>
        <row r="271">
          <cell r="BZ271">
            <v>161409.902593146</v>
          </cell>
        </row>
        <row r="272">
          <cell r="BZ272">
            <v>138283.632186668</v>
          </cell>
        </row>
        <row r="273">
          <cell r="BZ273">
            <v>149846.901820558</v>
          </cell>
        </row>
        <row r="274">
          <cell r="BZ274">
            <v>153433.642456667</v>
          </cell>
        </row>
        <row r="275">
          <cell r="BZ275">
            <v>133133.805317826</v>
          </cell>
        </row>
        <row r="276">
          <cell r="BZ276">
            <v>125543.473305085</v>
          </cell>
        </row>
        <row r="277">
          <cell r="BZ277">
            <v>156312.362065023</v>
          </cell>
        </row>
        <row r="278">
          <cell r="BZ278">
            <v>168643.572204762</v>
          </cell>
        </row>
        <row r="279">
          <cell r="BZ279">
            <v>144197.948309177</v>
          </cell>
        </row>
        <row r="280">
          <cell r="BZ280">
            <v>141751.71015905</v>
          </cell>
        </row>
        <row r="281">
          <cell r="BZ281">
            <v>145207.007173673</v>
          </cell>
        </row>
        <row r="282">
          <cell r="BZ282">
            <v>161282.81760647</v>
          </cell>
        </row>
        <row r="283">
          <cell r="BZ283">
            <v>148801.574245817</v>
          </cell>
        </row>
        <row r="284">
          <cell r="BZ284">
            <v>129411.287540172</v>
          </cell>
        </row>
        <row r="285">
          <cell r="BZ285">
            <v>145959.613728398</v>
          </cell>
        </row>
        <row r="286">
          <cell r="BZ286">
            <v>152263.376175232</v>
          </cell>
        </row>
        <row r="287">
          <cell r="BZ287">
            <v>125100.965989482</v>
          </cell>
        </row>
        <row r="288">
          <cell r="BZ288">
            <v>131783.816053943</v>
          </cell>
        </row>
        <row r="289">
          <cell r="BZ289">
            <v>130766.758565705</v>
          </cell>
        </row>
        <row r="290">
          <cell r="BZ290">
            <v>127023.78726154</v>
          </cell>
        </row>
        <row r="291">
          <cell r="BZ291">
            <v>143288.144326185</v>
          </cell>
        </row>
        <row r="292">
          <cell r="BZ292">
            <v>162456.15223112</v>
          </cell>
        </row>
        <row r="293">
          <cell r="BZ293">
            <v>162734.25661129</v>
          </cell>
        </row>
        <row r="294">
          <cell r="BZ294">
            <v>119228.211553585</v>
          </cell>
        </row>
        <row r="295">
          <cell r="BZ295">
            <v>146472.127722555</v>
          </cell>
        </row>
        <row r="296">
          <cell r="BZ296">
            <v>140868.195570082</v>
          </cell>
        </row>
        <row r="297">
          <cell r="BZ297">
            <v>132662.014590091</v>
          </cell>
        </row>
        <row r="298">
          <cell r="BZ298">
            <v>133337.248346013</v>
          </cell>
        </row>
        <row r="299">
          <cell r="BZ299">
            <v>137673.50406865</v>
          </cell>
        </row>
        <row r="300">
          <cell r="BZ300">
            <v>168209.15926441</v>
          </cell>
        </row>
        <row r="301">
          <cell r="BZ301">
            <v>118793.845372775</v>
          </cell>
        </row>
        <row r="302">
          <cell r="BZ302">
            <v>154444.929763993</v>
          </cell>
        </row>
        <row r="303">
          <cell r="BZ303">
            <v>153289.923011513</v>
          </cell>
        </row>
        <row r="304">
          <cell r="BZ304">
            <v>164306.886085652</v>
          </cell>
        </row>
        <row r="305">
          <cell r="BZ305">
            <v>144036.489550597</v>
          </cell>
        </row>
        <row r="306">
          <cell r="BZ306">
            <v>130955.871747524</v>
          </cell>
        </row>
        <row r="307">
          <cell r="BZ307">
            <v>129378.246621481</v>
          </cell>
        </row>
        <row r="308">
          <cell r="BZ308">
            <v>137654.989886275</v>
          </cell>
        </row>
        <row r="309">
          <cell r="BZ309">
            <v>155973.098290258</v>
          </cell>
        </row>
        <row r="310">
          <cell r="BZ310">
            <v>131562.003514056</v>
          </cell>
        </row>
        <row r="311">
          <cell r="BZ311">
            <v>161180.351288332</v>
          </cell>
        </row>
        <row r="312">
          <cell r="BZ312">
            <v>156260.388311967</v>
          </cell>
        </row>
        <row r="313">
          <cell r="BZ313">
            <v>130045.316918387</v>
          </cell>
        </row>
        <row r="314">
          <cell r="BZ314">
            <v>158915.088533865</v>
          </cell>
        </row>
        <row r="315">
          <cell r="BZ315">
            <v>156026.309727392</v>
          </cell>
        </row>
        <row r="316">
          <cell r="BZ316">
            <v>118482.824992506</v>
          </cell>
        </row>
        <row r="317">
          <cell r="BZ317">
            <v>143495.583002159</v>
          </cell>
        </row>
        <row r="318">
          <cell r="BZ318">
            <v>149825.631373056</v>
          </cell>
        </row>
        <row r="319">
          <cell r="BZ319">
            <v>142805.431908805</v>
          </cell>
        </row>
        <row r="320">
          <cell r="BZ320">
            <v>148330.190085873</v>
          </cell>
        </row>
        <row r="321">
          <cell r="BZ321">
            <v>145879.773835961</v>
          </cell>
        </row>
        <row r="322">
          <cell r="BZ322">
            <v>117604.780614828</v>
          </cell>
        </row>
        <row r="323">
          <cell r="BZ323">
            <v>131708.58584677</v>
          </cell>
        </row>
        <row r="324">
          <cell r="BZ324">
            <v>117431.569632686</v>
          </cell>
        </row>
        <row r="325">
          <cell r="BZ325">
            <v>161680.823693311</v>
          </cell>
        </row>
        <row r="326">
          <cell r="BZ326">
            <v>164997.2981783</v>
          </cell>
        </row>
        <row r="327">
          <cell r="BZ327">
            <v>158791.998394216</v>
          </cell>
        </row>
        <row r="328">
          <cell r="BZ328">
            <v>158113.285990408</v>
          </cell>
        </row>
        <row r="329">
          <cell r="BZ329">
            <v>128557.743828098</v>
          </cell>
        </row>
        <row r="330">
          <cell r="BZ330">
            <v>159404.348937229</v>
          </cell>
        </row>
        <row r="331">
          <cell r="BZ331">
            <v>150980.585251097</v>
          </cell>
        </row>
        <row r="332">
          <cell r="BZ332">
            <v>152051.565251524</v>
          </cell>
        </row>
        <row r="333">
          <cell r="BZ333">
            <v>128534.073793472</v>
          </cell>
        </row>
        <row r="334">
          <cell r="BZ334">
            <v>132668.707392343</v>
          </cell>
        </row>
        <row r="335">
          <cell r="BZ335">
            <v>156501.74338018</v>
          </cell>
        </row>
        <row r="336">
          <cell r="BZ336">
            <v>147732.937293991</v>
          </cell>
        </row>
        <row r="337">
          <cell r="BZ337">
            <v>120323.143262103</v>
          </cell>
        </row>
        <row r="338">
          <cell r="BZ338">
            <v>167702.053507558</v>
          </cell>
        </row>
        <row r="339">
          <cell r="BZ339">
            <v>147283.849112706</v>
          </cell>
        </row>
        <row r="340">
          <cell r="BZ340">
            <v>128571.195386123</v>
          </cell>
        </row>
        <row r="341">
          <cell r="BZ341">
            <v>144562.285705599</v>
          </cell>
        </row>
        <row r="342">
          <cell r="BZ342">
            <v>148352.891904359</v>
          </cell>
        </row>
        <row r="343">
          <cell r="BZ343">
            <v>156441.885342231</v>
          </cell>
        </row>
        <row r="344">
          <cell r="BZ344">
            <v>131875.153843651</v>
          </cell>
        </row>
        <row r="345">
          <cell r="BZ345">
            <v>149016.26043247</v>
          </cell>
        </row>
        <row r="346">
          <cell r="BZ346">
            <v>150008.012054329</v>
          </cell>
        </row>
        <row r="347">
          <cell r="BZ347">
            <v>162534.440031908</v>
          </cell>
        </row>
        <row r="348">
          <cell r="BZ348">
            <v>128000.559790371</v>
          </cell>
        </row>
        <row r="349">
          <cell r="BZ349">
            <v>156326.960238853</v>
          </cell>
        </row>
        <row r="350">
          <cell r="BZ350">
            <v>121192.819064827</v>
          </cell>
        </row>
        <row r="351">
          <cell r="BZ351">
            <v>131532.616585469</v>
          </cell>
        </row>
        <row r="352">
          <cell r="BZ352">
            <v>130077.95483631</v>
          </cell>
        </row>
        <row r="353">
          <cell r="BZ353">
            <v>166337.260007554</v>
          </cell>
        </row>
        <row r="354">
          <cell r="BZ354">
            <v>163850.699140961</v>
          </cell>
        </row>
        <row r="355">
          <cell r="BZ355">
            <v>138076.979832941</v>
          </cell>
        </row>
        <row r="356">
          <cell r="BZ356">
            <v>161309.482775415</v>
          </cell>
        </row>
        <row r="357">
          <cell r="BZ357">
            <v>150543.714025473</v>
          </cell>
        </row>
        <row r="358">
          <cell r="BZ358">
            <v>159556.123520384</v>
          </cell>
        </row>
        <row r="359">
          <cell r="BZ359">
            <v>137436.459007265</v>
          </cell>
        </row>
        <row r="360">
          <cell r="BZ360">
            <v>164129.081724635</v>
          </cell>
        </row>
        <row r="361">
          <cell r="BZ361">
            <v>165974.355850556</v>
          </cell>
        </row>
        <row r="362">
          <cell r="BZ362">
            <v>136450.944627902</v>
          </cell>
        </row>
        <row r="363">
          <cell r="BZ363">
            <v>132447.083686269</v>
          </cell>
        </row>
        <row r="364">
          <cell r="BZ364">
            <v>149583.19489033</v>
          </cell>
        </row>
        <row r="365">
          <cell r="BZ365">
            <v>143476.986098829</v>
          </cell>
        </row>
        <row r="366">
          <cell r="BZ366">
            <v>155396.441366077</v>
          </cell>
        </row>
        <row r="367">
          <cell r="BZ367">
            <v>155594.167233382</v>
          </cell>
        </row>
        <row r="368">
          <cell r="BZ368">
            <v>151430.745164976</v>
          </cell>
        </row>
        <row r="369">
          <cell r="BZ369">
            <v>119182.401470149</v>
          </cell>
        </row>
        <row r="370">
          <cell r="BZ370">
            <v>141043.394184624</v>
          </cell>
        </row>
        <row r="371">
          <cell r="BZ371">
            <v>153654.663457233</v>
          </cell>
        </row>
        <row r="372">
          <cell r="BZ372">
            <v>150272.792731185</v>
          </cell>
        </row>
        <row r="373">
          <cell r="BZ373">
            <v>166803.687801599</v>
          </cell>
        </row>
        <row r="374">
          <cell r="BZ374">
            <v>140444.995189449</v>
          </cell>
        </row>
        <row r="375">
          <cell r="BZ375">
            <v>160189.91791188</v>
          </cell>
        </row>
        <row r="376">
          <cell r="BZ376">
            <v>119869.13489472</v>
          </cell>
        </row>
        <row r="377">
          <cell r="BZ377">
            <v>151273.537423889</v>
          </cell>
        </row>
        <row r="378">
          <cell r="BZ378">
            <v>143787.524106009</v>
          </cell>
        </row>
        <row r="379">
          <cell r="BZ379">
            <v>157618.040220027</v>
          </cell>
        </row>
        <row r="380">
          <cell r="BZ380">
            <v>146796.861145452</v>
          </cell>
        </row>
        <row r="381">
          <cell r="BZ381">
            <v>143496.990374603</v>
          </cell>
        </row>
        <row r="382">
          <cell r="BZ382">
            <v>133846.287162245</v>
          </cell>
        </row>
        <row r="383">
          <cell r="BZ383">
            <v>151886.750846677</v>
          </cell>
        </row>
        <row r="384">
          <cell r="BZ384">
            <v>140728.061759228</v>
          </cell>
        </row>
        <row r="385">
          <cell r="BZ385">
            <v>146977.774324471</v>
          </cell>
        </row>
        <row r="386">
          <cell r="BZ386">
            <v>159513.720623053</v>
          </cell>
        </row>
        <row r="387">
          <cell r="BZ387">
            <v>133340.67225102</v>
          </cell>
        </row>
        <row r="388">
          <cell r="BZ388">
            <v>151778.68105134</v>
          </cell>
        </row>
        <row r="389">
          <cell r="BZ389">
            <v>142731.841707045</v>
          </cell>
        </row>
        <row r="390">
          <cell r="BZ390">
            <v>124899.806268332</v>
          </cell>
        </row>
        <row r="391">
          <cell r="BZ391">
            <v>155763.105723098</v>
          </cell>
        </row>
        <row r="392">
          <cell r="BZ392">
            <v>149745.103554813</v>
          </cell>
        </row>
        <row r="393">
          <cell r="BZ393">
            <v>123978.999451995</v>
          </cell>
        </row>
        <row r="394">
          <cell r="BZ394">
            <v>124399.533859279</v>
          </cell>
        </row>
        <row r="395">
          <cell r="BZ395">
            <v>163145.978555551</v>
          </cell>
        </row>
        <row r="396">
          <cell r="BZ396">
            <v>129707.500772465</v>
          </cell>
        </row>
        <row r="397">
          <cell r="BZ397">
            <v>156574.183350582</v>
          </cell>
        </row>
        <row r="398">
          <cell r="BZ398">
            <v>165387.800001624</v>
          </cell>
        </row>
        <row r="399">
          <cell r="BZ399">
            <v>147702.561329499</v>
          </cell>
        </row>
        <row r="400">
          <cell r="BZ400">
            <v>132848.691034367</v>
          </cell>
        </row>
        <row r="401">
          <cell r="BZ401">
            <v>150800.739825136</v>
          </cell>
        </row>
        <row r="402">
          <cell r="BZ402">
            <v>156247.948939095</v>
          </cell>
        </row>
        <row r="403">
          <cell r="BZ403">
            <v>155019.994388657</v>
          </cell>
        </row>
        <row r="404">
          <cell r="BZ404">
            <v>143956.770524418</v>
          </cell>
        </row>
        <row r="405">
          <cell r="BZ405">
            <v>153312.164805399</v>
          </cell>
        </row>
        <row r="406">
          <cell r="BZ406">
            <v>132012.034772463</v>
          </cell>
        </row>
        <row r="407">
          <cell r="BZ407">
            <v>163817.223336688</v>
          </cell>
        </row>
        <row r="408">
          <cell r="BZ408">
            <v>144313.678637597</v>
          </cell>
        </row>
        <row r="409">
          <cell r="BZ409">
            <v>133714.831966134</v>
          </cell>
        </row>
        <row r="410">
          <cell r="BZ410">
            <v>135327.279386852</v>
          </cell>
        </row>
        <row r="411">
          <cell r="BZ411">
            <v>132064.408978413</v>
          </cell>
        </row>
        <row r="412">
          <cell r="BZ412">
            <v>160510.832072622</v>
          </cell>
        </row>
        <row r="413">
          <cell r="BZ413">
            <v>131652.237904744</v>
          </cell>
        </row>
        <row r="414">
          <cell r="BZ414">
            <v>148699.806020712</v>
          </cell>
        </row>
        <row r="415">
          <cell r="BZ415">
            <v>120561.319312337</v>
          </cell>
        </row>
        <row r="416">
          <cell r="BZ416">
            <v>137294.299103256</v>
          </cell>
        </row>
        <row r="417">
          <cell r="BZ417">
            <v>166468.583903258</v>
          </cell>
        </row>
        <row r="418">
          <cell r="BZ418">
            <v>164054.882848065</v>
          </cell>
        </row>
        <row r="419">
          <cell r="BZ419">
            <v>141851.229946585</v>
          </cell>
        </row>
        <row r="420">
          <cell r="BZ420">
            <v>160090.150058542</v>
          </cell>
        </row>
        <row r="421">
          <cell r="BZ421">
            <v>167480.829574946</v>
          </cell>
        </row>
        <row r="422">
          <cell r="BZ422">
            <v>139160.440627381</v>
          </cell>
        </row>
        <row r="423">
          <cell r="BZ423">
            <v>168208.658328243</v>
          </cell>
        </row>
        <row r="424">
          <cell r="BZ424">
            <v>133322.317055942</v>
          </cell>
        </row>
        <row r="425">
          <cell r="BZ425">
            <v>151863.933015024</v>
          </cell>
        </row>
        <row r="426">
          <cell r="BZ426">
            <v>162094.53761349</v>
          </cell>
        </row>
        <row r="427">
          <cell r="BZ427">
            <v>150498.491505898</v>
          </cell>
        </row>
        <row r="428">
          <cell r="BZ428">
            <v>135289.252741056</v>
          </cell>
        </row>
        <row r="429">
          <cell r="BZ429">
            <v>159737.465348763</v>
          </cell>
        </row>
        <row r="430">
          <cell r="BZ430">
            <v>168181.667274164</v>
          </cell>
        </row>
        <row r="431">
          <cell r="BZ431">
            <v>122978.595519152</v>
          </cell>
        </row>
        <row r="432">
          <cell r="BZ432">
            <v>152708.279705058</v>
          </cell>
        </row>
        <row r="433">
          <cell r="BZ433">
            <v>123983.453838312</v>
          </cell>
        </row>
        <row r="434">
          <cell r="BZ434">
            <v>165564.087164724</v>
          </cell>
        </row>
        <row r="435">
          <cell r="BZ435">
            <v>165920.553403866</v>
          </cell>
        </row>
        <row r="436">
          <cell r="BZ436">
            <v>132836.522633893</v>
          </cell>
        </row>
        <row r="437">
          <cell r="BZ437">
            <v>118300.736734297</v>
          </cell>
        </row>
        <row r="438">
          <cell r="BZ438">
            <v>143637.399768291</v>
          </cell>
        </row>
        <row r="439">
          <cell r="BZ439">
            <v>154368.600986627</v>
          </cell>
        </row>
        <row r="440">
          <cell r="BZ440">
            <v>130762.507257026</v>
          </cell>
        </row>
        <row r="441">
          <cell r="BZ441">
            <v>168619.511423427</v>
          </cell>
        </row>
        <row r="442">
          <cell r="BZ442">
            <v>128815.186872354</v>
          </cell>
        </row>
        <row r="443">
          <cell r="BZ443">
            <v>120742.006604184</v>
          </cell>
        </row>
        <row r="444">
          <cell r="BZ444">
            <v>126714.499143965</v>
          </cell>
        </row>
        <row r="445">
          <cell r="BZ445">
            <v>123142.171609019</v>
          </cell>
        </row>
        <row r="446">
          <cell r="BZ446">
            <v>159264.105033981</v>
          </cell>
        </row>
        <row r="447">
          <cell r="BZ447">
            <v>125436.481624157</v>
          </cell>
        </row>
        <row r="448">
          <cell r="BZ448">
            <v>144091.406485622</v>
          </cell>
        </row>
        <row r="449">
          <cell r="BZ449">
            <v>120754.656989501</v>
          </cell>
        </row>
        <row r="450">
          <cell r="BZ450">
            <v>131645.351488382</v>
          </cell>
        </row>
        <row r="451">
          <cell r="BZ451">
            <v>119811.904417895</v>
          </cell>
        </row>
        <row r="452">
          <cell r="BZ452">
            <v>138721.987245201</v>
          </cell>
        </row>
        <row r="453">
          <cell r="BZ453">
            <v>122529.952973049</v>
          </cell>
        </row>
        <row r="454">
          <cell r="BZ454">
            <v>148274.058373365</v>
          </cell>
        </row>
        <row r="455">
          <cell r="BZ455">
            <v>160668.899805895</v>
          </cell>
        </row>
        <row r="456">
          <cell r="BZ456">
            <v>166847.667420023</v>
          </cell>
        </row>
        <row r="457">
          <cell r="BZ457">
            <v>158554.58080948</v>
          </cell>
        </row>
        <row r="458">
          <cell r="BZ458">
            <v>136424.922445129</v>
          </cell>
        </row>
        <row r="459">
          <cell r="BZ459">
            <v>134390.809167235</v>
          </cell>
        </row>
        <row r="460">
          <cell r="BZ460">
            <v>155429.59917149</v>
          </cell>
        </row>
        <row r="461">
          <cell r="BZ461">
            <v>161528.54608716</v>
          </cell>
        </row>
        <row r="462">
          <cell r="BZ462">
            <v>128248.26483841</v>
          </cell>
        </row>
        <row r="463">
          <cell r="BZ463">
            <v>142360.83829744</v>
          </cell>
        </row>
        <row r="464">
          <cell r="BZ464">
            <v>150465.19543589</v>
          </cell>
        </row>
        <row r="465">
          <cell r="BZ465">
            <v>152377.221222963</v>
          </cell>
        </row>
        <row r="466">
          <cell r="BZ466">
            <v>124852.581824</v>
          </cell>
        </row>
        <row r="467">
          <cell r="BZ467">
            <v>138285.69581849</v>
          </cell>
        </row>
        <row r="468">
          <cell r="BZ468">
            <v>166903.594914415</v>
          </cell>
        </row>
        <row r="469">
          <cell r="BZ469">
            <v>123739.496275195</v>
          </cell>
        </row>
        <row r="470">
          <cell r="BZ470">
            <v>156080.590786025</v>
          </cell>
        </row>
        <row r="471">
          <cell r="BZ471">
            <v>156993.96628082</v>
          </cell>
        </row>
        <row r="472">
          <cell r="BZ472">
            <v>127929.344424964</v>
          </cell>
        </row>
        <row r="473">
          <cell r="BZ473">
            <v>127902.620606401</v>
          </cell>
        </row>
        <row r="474">
          <cell r="BZ474">
            <v>153658.845560819</v>
          </cell>
        </row>
        <row r="475">
          <cell r="BZ475">
            <v>152464.833439459</v>
          </cell>
        </row>
        <row r="476">
          <cell r="BZ476">
            <v>117643.315913207</v>
          </cell>
        </row>
        <row r="477">
          <cell r="BZ477">
            <v>159536.923547563</v>
          </cell>
        </row>
        <row r="478">
          <cell r="BZ478">
            <v>132226.785335382</v>
          </cell>
        </row>
        <row r="479">
          <cell r="BZ479">
            <v>119088.362667769</v>
          </cell>
        </row>
        <row r="480">
          <cell r="BZ480">
            <v>144073.271984907</v>
          </cell>
        </row>
        <row r="481">
          <cell r="BZ481">
            <v>157007.375859598</v>
          </cell>
        </row>
        <row r="482">
          <cell r="BZ482">
            <v>122765.923996622</v>
          </cell>
        </row>
        <row r="483">
          <cell r="BZ483">
            <v>130818.870510558</v>
          </cell>
        </row>
        <row r="484">
          <cell r="BZ484">
            <v>148821.446614548</v>
          </cell>
        </row>
        <row r="485">
          <cell r="BZ485">
            <v>125983.880736267</v>
          </cell>
        </row>
        <row r="486">
          <cell r="BZ486">
            <v>135635.63733653</v>
          </cell>
        </row>
        <row r="487">
          <cell r="BZ487">
            <v>149674.70697884</v>
          </cell>
        </row>
        <row r="488">
          <cell r="BZ488">
            <v>133408.292882578</v>
          </cell>
        </row>
        <row r="489">
          <cell r="BZ489">
            <v>141024.393406969</v>
          </cell>
        </row>
        <row r="490">
          <cell r="BZ490">
            <v>128784.678709634</v>
          </cell>
        </row>
        <row r="491">
          <cell r="BZ491">
            <v>124167.627785647</v>
          </cell>
        </row>
        <row r="492">
          <cell r="BZ492">
            <v>121127.074590143</v>
          </cell>
        </row>
        <row r="493">
          <cell r="BZ493">
            <v>167385.845026242</v>
          </cell>
        </row>
        <row r="494">
          <cell r="BZ494">
            <v>168367.453806942</v>
          </cell>
        </row>
        <row r="495">
          <cell r="BZ495">
            <v>136516.740399769</v>
          </cell>
        </row>
        <row r="496">
          <cell r="BZ496">
            <v>124285.906545524</v>
          </cell>
        </row>
        <row r="497">
          <cell r="BZ497">
            <v>157291.535588373</v>
          </cell>
        </row>
        <row r="498">
          <cell r="BZ498">
            <v>146982.198136308</v>
          </cell>
        </row>
        <row r="499">
          <cell r="BZ499">
            <v>156220.20330199</v>
          </cell>
        </row>
        <row r="500">
          <cell r="BZ500">
            <v>142863.940544496</v>
          </cell>
        </row>
        <row r="501">
          <cell r="BZ501">
            <v>141259.059967917</v>
          </cell>
        </row>
        <row r="502">
          <cell r="BZ502">
            <v>149645.378748402</v>
          </cell>
        </row>
        <row r="503">
          <cell r="BZ503">
            <v>157509.16342827</v>
          </cell>
        </row>
        <row r="504">
          <cell r="BZ504">
            <v>145216.872854743</v>
          </cell>
        </row>
        <row r="505">
          <cell r="BZ505">
            <v>166667.353549346</v>
          </cell>
        </row>
        <row r="506">
          <cell r="BZ506">
            <v>127377.626012355</v>
          </cell>
        </row>
        <row r="507">
          <cell r="BZ507">
            <v>152785.808482242</v>
          </cell>
        </row>
        <row r="508">
          <cell r="BZ508">
            <v>154306.18265141</v>
          </cell>
        </row>
        <row r="509">
          <cell r="BZ509">
            <v>146874.630393349</v>
          </cell>
        </row>
        <row r="510">
          <cell r="BZ510">
            <v>117774.896197767</v>
          </cell>
        </row>
        <row r="511">
          <cell r="BZ511">
            <v>132798.100291232</v>
          </cell>
        </row>
        <row r="512">
          <cell r="BZ512">
            <v>163528.331770321</v>
          </cell>
        </row>
        <row r="513">
          <cell r="BZ513">
            <v>169046.610559862</v>
          </cell>
        </row>
        <row r="514">
          <cell r="BZ514">
            <v>124348.471613981</v>
          </cell>
        </row>
        <row r="515">
          <cell r="BZ515">
            <v>141265.392913389</v>
          </cell>
        </row>
        <row r="516">
          <cell r="BZ516">
            <v>138266.965139676</v>
          </cell>
        </row>
        <row r="517">
          <cell r="BZ517">
            <v>159219.946433521</v>
          </cell>
        </row>
        <row r="518">
          <cell r="BZ518">
            <v>153773.447569591</v>
          </cell>
        </row>
        <row r="519">
          <cell r="BZ519">
            <v>141853.727638965</v>
          </cell>
        </row>
        <row r="520">
          <cell r="BZ520">
            <v>163639.130265222</v>
          </cell>
        </row>
        <row r="521">
          <cell r="BZ521">
            <v>141729.476130111</v>
          </cell>
        </row>
        <row r="522">
          <cell r="BZ522">
            <v>121794.637572959</v>
          </cell>
        </row>
        <row r="523">
          <cell r="BZ523">
            <v>132343.889986688</v>
          </cell>
        </row>
        <row r="524">
          <cell r="BZ524">
            <v>157934.258116342</v>
          </cell>
        </row>
        <row r="525">
          <cell r="BZ525">
            <v>120048.495618108</v>
          </cell>
        </row>
        <row r="526">
          <cell r="BZ526">
            <v>129006.732302606</v>
          </cell>
        </row>
        <row r="527">
          <cell r="BZ527">
            <v>144264.239654544</v>
          </cell>
        </row>
        <row r="528">
          <cell r="BZ528">
            <v>125780.524772552</v>
          </cell>
        </row>
        <row r="529">
          <cell r="BZ529">
            <v>133975.112200828</v>
          </cell>
        </row>
        <row r="530">
          <cell r="BZ530">
            <v>143870.617584186</v>
          </cell>
        </row>
        <row r="531">
          <cell r="BZ531">
            <v>137756.102652761</v>
          </cell>
        </row>
        <row r="532">
          <cell r="BZ532">
            <v>167567.122987929</v>
          </cell>
        </row>
        <row r="533">
          <cell r="BZ533">
            <v>168776.307840693</v>
          </cell>
        </row>
        <row r="534">
          <cell r="BZ534">
            <v>119885.460866399</v>
          </cell>
        </row>
        <row r="535">
          <cell r="BZ535">
            <v>146198.940204115</v>
          </cell>
        </row>
        <row r="536">
          <cell r="BZ536">
            <v>145779.59220799</v>
          </cell>
        </row>
        <row r="537">
          <cell r="BZ537">
            <v>147178.997669659</v>
          </cell>
        </row>
        <row r="538">
          <cell r="BZ538">
            <v>169240.063328105</v>
          </cell>
        </row>
        <row r="539">
          <cell r="BZ539">
            <v>130840.001334601</v>
          </cell>
        </row>
        <row r="540">
          <cell r="BZ540">
            <v>159652.218408029</v>
          </cell>
        </row>
        <row r="541">
          <cell r="BZ541">
            <v>136395.561407788</v>
          </cell>
        </row>
        <row r="542">
          <cell r="BZ542">
            <v>165874.839824167</v>
          </cell>
        </row>
        <row r="543">
          <cell r="BZ543">
            <v>147508.509956611</v>
          </cell>
        </row>
        <row r="544">
          <cell r="BZ544">
            <v>168223.25497335</v>
          </cell>
        </row>
        <row r="545">
          <cell r="BZ545">
            <v>164418.663764681</v>
          </cell>
        </row>
        <row r="546">
          <cell r="BZ546">
            <v>168196.359743573</v>
          </cell>
        </row>
        <row r="547">
          <cell r="BZ547">
            <v>162765.770043507</v>
          </cell>
        </row>
        <row r="548">
          <cell r="BZ548">
            <v>143795.112230956</v>
          </cell>
        </row>
        <row r="549">
          <cell r="BZ549">
            <v>156471.690947074</v>
          </cell>
        </row>
        <row r="550">
          <cell r="BZ550">
            <v>144221.417231666</v>
          </cell>
        </row>
        <row r="551">
          <cell r="BZ551">
            <v>126178.504774023</v>
          </cell>
        </row>
        <row r="552">
          <cell r="BZ552">
            <v>121545.639297203</v>
          </cell>
        </row>
        <row r="553">
          <cell r="BZ553">
            <v>151093.242504537</v>
          </cell>
        </row>
        <row r="554">
          <cell r="BZ554">
            <v>125651.248372139</v>
          </cell>
        </row>
        <row r="555">
          <cell r="BZ555">
            <v>140391.059768036</v>
          </cell>
        </row>
        <row r="556">
          <cell r="BZ556">
            <v>126991.451618459</v>
          </cell>
        </row>
        <row r="557">
          <cell r="BZ557">
            <v>164851.208094717</v>
          </cell>
        </row>
        <row r="558">
          <cell r="BZ558">
            <v>131459.555176624</v>
          </cell>
        </row>
        <row r="559">
          <cell r="BZ559">
            <v>143047.277381975</v>
          </cell>
        </row>
        <row r="560">
          <cell r="BZ560">
            <v>130965.03538029</v>
          </cell>
        </row>
        <row r="561">
          <cell r="BZ561">
            <v>159092.086917612</v>
          </cell>
        </row>
        <row r="562">
          <cell r="BZ562">
            <v>147619.514756457</v>
          </cell>
        </row>
        <row r="563">
          <cell r="BZ563">
            <v>121534.351174839</v>
          </cell>
        </row>
        <row r="564">
          <cell r="BZ564">
            <v>146848.601052265</v>
          </cell>
        </row>
        <row r="565">
          <cell r="BZ565">
            <v>140947.807439987</v>
          </cell>
        </row>
        <row r="566">
          <cell r="BZ566">
            <v>149529.855744077</v>
          </cell>
        </row>
        <row r="567">
          <cell r="BZ567">
            <v>163289.111819977</v>
          </cell>
        </row>
        <row r="568">
          <cell r="BZ568">
            <v>155488.319401997</v>
          </cell>
        </row>
        <row r="569">
          <cell r="BZ569">
            <v>134588.934565347</v>
          </cell>
        </row>
        <row r="570">
          <cell r="BZ570">
            <v>153430.595248669</v>
          </cell>
        </row>
        <row r="571">
          <cell r="BZ571">
            <v>162060.817674418</v>
          </cell>
        </row>
        <row r="572">
          <cell r="BZ572">
            <v>143803.850150484</v>
          </cell>
        </row>
        <row r="573">
          <cell r="BZ573">
            <v>146321.691597935</v>
          </cell>
        </row>
        <row r="574">
          <cell r="BZ574">
            <v>157333.736863993</v>
          </cell>
        </row>
        <row r="575">
          <cell r="BZ575">
            <v>152321.397778865</v>
          </cell>
        </row>
        <row r="576">
          <cell r="BZ576">
            <v>142726.420511985</v>
          </cell>
        </row>
        <row r="577">
          <cell r="BZ577">
            <v>120973.461146127</v>
          </cell>
        </row>
        <row r="578">
          <cell r="BZ578">
            <v>164280.744152832</v>
          </cell>
        </row>
        <row r="579">
          <cell r="BZ579">
            <v>167264.07024441</v>
          </cell>
        </row>
        <row r="580">
          <cell r="BZ580">
            <v>150207.238788897</v>
          </cell>
        </row>
        <row r="581">
          <cell r="BZ581">
            <v>141739.828042478</v>
          </cell>
        </row>
        <row r="582">
          <cell r="BZ582">
            <v>118812.174700873</v>
          </cell>
        </row>
        <row r="583">
          <cell r="BZ583">
            <v>159178.906357248</v>
          </cell>
        </row>
        <row r="584">
          <cell r="BZ584">
            <v>137403.564021054</v>
          </cell>
        </row>
        <row r="585">
          <cell r="BZ585">
            <v>120130.344569347</v>
          </cell>
        </row>
        <row r="586">
          <cell r="BZ586">
            <v>120350.70516114</v>
          </cell>
        </row>
        <row r="587">
          <cell r="BZ587">
            <v>146435.407601948</v>
          </cell>
        </row>
        <row r="588">
          <cell r="BZ588">
            <v>156294.489873935</v>
          </cell>
        </row>
        <row r="589">
          <cell r="BZ589">
            <v>158274.512989575</v>
          </cell>
        </row>
        <row r="590">
          <cell r="BZ590">
            <v>163027.775285522</v>
          </cell>
        </row>
        <row r="591">
          <cell r="BZ591">
            <v>155296.785570635</v>
          </cell>
        </row>
        <row r="592">
          <cell r="BZ592">
            <v>127188.117012345</v>
          </cell>
        </row>
        <row r="593">
          <cell r="BZ593">
            <v>143615.687058505</v>
          </cell>
        </row>
        <row r="594">
          <cell r="BZ594">
            <v>146066.473453752</v>
          </cell>
        </row>
        <row r="595">
          <cell r="BZ595">
            <v>152015.127022771</v>
          </cell>
        </row>
        <row r="596">
          <cell r="BZ596">
            <v>143306.889588541</v>
          </cell>
        </row>
        <row r="597">
          <cell r="BZ597">
            <v>139608.12711434</v>
          </cell>
        </row>
        <row r="598">
          <cell r="BZ598">
            <v>159630.457434242</v>
          </cell>
        </row>
        <row r="599">
          <cell r="BZ599">
            <v>136449.925211641</v>
          </cell>
        </row>
        <row r="600">
          <cell r="BZ600">
            <v>149765.406611202</v>
          </cell>
        </row>
        <row r="601">
          <cell r="BZ601">
            <v>117400.07020164</v>
          </cell>
        </row>
        <row r="602">
          <cell r="BZ602">
            <v>156356.260636808</v>
          </cell>
        </row>
        <row r="603">
          <cell r="BZ603">
            <v>165679.105738656</v>
          </cell>
        </row>
        <row r="604">
          <cell r="BZ604">
            <v>160655.066406583</v>
          </cell>
        </row>
        <row r="605">
          <cell r="BZ605">
            <v>126710.750542832</v>
          </cell>
        </row>
        <row r="606">
          <cell r="BZ606">
            <v>120402.725698004</v>
          </cell>
        </row>
        <row r="607">
          <cell r="BZ607">
            <v>129487.184732057</v>
          </cell>
        </row>
        <row r="608">
          <cell r="BZ608">
            <v>126784.233491256</v>
          </cell>
        </row>
        <row r="609">
          <cell r="BZ609">
            <v>121873.339463831</v>
          </cell>
        </row>
        <row r="610">
          <cell r="BZ610">
            <v>158166.320847786</v>
          </cell>
        </row>
        <row r="611">
          <cell r="BZ611">
            <v>165046.038995523</v>
          </cell>
        </row>
        <row r="612">
          <cell r="BZ612">
            <v>137147.1596841</v>
          </cell>
        </row>
        <row r="613">
          <cell r="BZ613">
            <v>160219.989563231</v>
          </cell>
        </row>
        <row r="614">
          <cell r="BZ614">
            <v>148348.031945135</v>
          </cell>
        </row>
        <row r="615">
          <cell r="BZ615">
            <v>160531.163883582</v>
          </cell>
        </row>
        <row r="616">
          <cell r="BZ616">
            <v>168746.125538842</v>
          </cell>
        </row>
        <row r="617">
          <cell r="BZ617">
            <v>168726.367339103</v>
          </cell>
        </row>
        <row r="618">
          <cell r="BZ618">
            <v>124143.956974527</v>
          </cell>
        </row>
        <row r="619">
          <cell r="BZ619">
            <v>126016.994936648</v>
          </cell>
        </row>
        <row r="620">
          <cell r="BZ620">
            <v>168611.854578695</v>
          </cell>
        </row>
        <row r="621">
          <cell r="BZ621">
            <v>167010.744733349</v>
          </cell>
        </row>
        <row r="622">
          <cell r="BZ622">
            <v>134019.39848614</v>
          </cell>
        </row>
        <row r="623">
          <cell r="BZ623">
            <v>145614.40797326</v>
          </cell>
        </row>
        <row r="624">
          <cell r="BZ624">
            <v>119998.616144151</v>
          </cell>
        </row>
        <row r="625">
          <cell r="BZ625">
            <v>145701.489334277</v>
          </cell>
        </row>
        <row r="626">
          <cell r="BZ626">
            <v>131083.347869157</v>
          </cell>
        </row>
        <row r="627">
          <cell r="BZ627">
            <v>143804.323108575</v>
          </cell>
        </row>
        <row r="628">
          <cell r="BZ628">
            <v>160714.200338925</v>
          </cell>
        </row>
        <row r="629">
          <cell r="BZ629">
            <v>124030.368048731</v>
          </cell>
        </row>
        <row r="630">
          <cell r="BZ630">
            <v>139505.353813862</v>
          </cell>
        </row>
        <row r="631">
          <cell r="BZ631">
            <v>140936.416674725</v>
          </cell>
        </row>
        <row r="632">
          <cell r="BZ632">
            <v>163528.51875996</v>
          </cell>
        </row>
        <row r="633">
          <cell r="BZ633">
            <v>167742.919139436</v>
          </cell>
        </row>
        <row r="634">
          <cell r="BZ634">
            <v>152305.750948894</v>
          </cell>
        </row>
        <row r="635">
          <cell r="BZ635">
            <v>118451.556374519</v>
          </cell>
        </row>
        <row r="636">
          <cell r="BZ636">
            <v>143269.91552989</v>
          </cell>
        </row>
        <row r="637">
          <cell r="BZ637">
            <v>163580.623036928</v>
          </cell>
        </row>
        <row r="638">
          <cell r="BZ638">
            <v>150102.664869922</v>
          </cell>
        </row>
        <row r="639">
          <cell r="BZ639">
            <v>138182.864814746</v>
          </cell>
        </row>
        <row r="640">
          <cell r="BZ640">
            <v>146934.83025884</v>
          </cell>
        </row>
        <row r="641">
          <cell r="BZ641">
            <v>134522.373897634</v>
          </cell>
        </row>
        <row r="642">
          <cell r="BZ642">
            <v>120589.882477071</v>
          </cell>
        </row>
        <row r="643">
          <cell r="BZ643">
            <v>121448.744983962</v>
          </cell>
        </row>
        <row r="644">
          <cell r="BZ644">
            <v>126804.381224432</v>
          </cell>
        </row>
        <row r="645">
          <cell r="BZ645">
            <v>119839.580825641</v>
          </cell>
        </row>
        <row r="646">
          <cell r="BZ646">
            <v>127260.150293628</v>
          </cell>
        </row>
        <row r="647">
          <cell r="BZ647">
            <v>128225.637781808</v>
          </cell>
        </row>
        <row r="648">
          <cell r="BZ648">
            <v>151550.627410748</v>
          </cell>
        </row>
        <row r="649">
          <cell r="BZ649">
            <v>157286.071613306</v>
          </cell>
        </row>
        <row r="650">
          <cell r="BZ650">
            <v>169064.081642888</v>
          </cell>
        </row>
        <row r="651">
          <cell r="BZ651">
            <v>128398.580800469</v>
          </cell>
        </row>
        <row r="652">
          <cell r="BZ652">
            <v>147695.957096178</v>
          </cell>
        </row>
        <row r="653">
          <cell r="BZ653">
            <v>130529.984913494</v>
          </cell>
        </row>
        <row r="654">
          <cell r="BZ654">
            <v>132357.879946751</v>
          </cell>
        </row>
        <row r="655">
          <cell r="BZ655">
            <v>139865.910141964</v>
          </cell>
        </row>
        <row r="656">
          <cell r="BZ656">
            <v>157886.259142777</v>
          </cell>
        </row>
        <row r="657">
          <cell r="BZ657">
            <v>138008.890441217</v>
          </cell>
        </row>
        <row r="658">
          <cell r="BZ658">
            <v>146281.461478468</v>
          </cell>
        </row>
        <row r="659">
          <cell r="BZ659">
            <v>134708.235993056</v>
          </cell>
        </row>
        <row r="660">
          <cell r="BZ660">
            <v>137550.342151769</v>
          </cell>
        </row>
        <row r="661">
          <cell r="BZ661">
            <v>156000.825412816</v>
          </cell>
        </row>
        <row r="662">
          <cell r="BZ662">
            <v>145456.549481054</v>
          </cell>
        </row>
        <row r="663">
          <cell r="BZ663">
            <v>144515.414833292</v>
          </cell>
        </row>
        <row r="664">
          <cell r="BZ664">
            <v>135443.088942</v>
          </cell>
        </row>
        <row r="665">
          <cell r="BZ665">
            <v>144316.329129581</v>
          </cell>
        </row>
        <row r="666">
          <cell r="BZ666">
            <v>157337.198307667</v>
          </cell>
        </row>
        <row r="667">
          <cell r="BZ667">
            <v>119397.330699655</v>
          </cell>
        </row>
        <row r="668">
          <cell r="BZ668">
            <v>163678.370693618</v>
          </cell>
        </row>
        <row r="669">
          <cell r="BZ669">
            <v>159759.324646195</v>
          </cell>
        </row>
        <row r="670">
          <cell r="BZ670">
            <v>136903.598473014</v>
          </cell>
        </row>
        <row r="671">
          <cell r="BZ671">
            <v>129295.871497997</v>
          </cell>
        </row>
        <row r="672">
          <cell r="BZ672">
            <v>146476.658181091</v>
          </cell>
        </row>
        <row r="673">
          <cell r="BZ673">
            <v>141902.803853383</v>
          </cell>
        </row>
        <row r="674">
          <cell r="BZ674">
            <v>154005.337142709</v>
          </cell>
        </row>
        <row r="675">
          <cell r="BZ675">
            <v>152435.147196417</v>
          </cell>
        </row>
        <row r="676">
          <cell r="BZ676">
            <v>151935.657858039</v>
          </cell>
        </row>
        <row r="677">
          <cell r="BZ677">
            <v>140767.302357482</v>
          </cell>
        </row>
        <row r="678">
          <cell r="BZ678">
            <v>167860.096101813</v>
          </cell>
        </row>
        <row r="679">
          <cell r="BZ679">
            <v>125080.993161745</v>
          </cell>
        </row>
        <row r="680">
          <cell r="BZ680">
            <v>123131.024056467</v>
          </cell>
        </row>
        <row r="681">
          <cell r="BZ681">
            <v>126043.813705958</v>
          </cell>
        </row>
        <row r="682">
          <cell r="BZ682">
            <v>121988.115067707</v>
          </cell>
        </row>
        <row r="683">
          <cell r="BZ683">
            <v>144640.830453348</v>
          </cell>
        </row>
        <row r="684">
          <cell r="BZ684">
            <v>125825.560035569</v>
          </cell>
        </row>
        <row r="685">
          <cell r="BZ685">
            <v>147618.976475747</v>
          </cell>
        </row>
        <row r="686">
          <cell r="BZ686">
            <v>149130.836647057</v>
          </cell>
        </row>
        <row r="687">
          <cell r="BZ687">
            <v>137994.383408457</v>
          </cell>
        </row>
        <row r="688">
          <cell r="BZ688">
            <v>168441.719316467</v>
          </cell>
        </row>
        <row r="689">
          <cell r="BZ689">
            <v>162988.38564881</v>
          </cell>
        </row>
        <row r="690">
          <cell r="BZ690">
            <v>140281.785872018</v>
          </cell>
        </row>
        <row r="691">
          <cell r="BZ691">
            <v>141663.943371571</v>
          </cell>
        </row>
        <row r="692">
          <cell r="BZ692">
            <v>162149.585339347</v>
          </cell>
        </row>
        <row r="693">
          <cell r="BZ693">
            <v>148095.144716821</v>
          </cell>
        </row>
        <row r="694">
          <cell r="BZ694">
            <v>134741.786559213</v>
          </cell>
        </row>
        <row r="695">
          <cell r="BZ695">
            <v>151065.543966691</v>
          </cell>
        </row>
        <row r="696">
          <cell r="BZ696">
            <v>152577.046028336</v>
          </cell>
        </row>
        <row r="697">
          <cell r="BZ697">
            <v>142557.839525299</v>
          </cell>
        </row>
        <row r="698">
          <cell r="BZ698">
            <v>156019.891173375</v>
          </cell>
        </row>
        <row r="699">
          <cell r="BZ699">
            <v>122632.593492928</v>
          </cell>
        </row>
        <row r="700">
          <cell r="BZ700">
            <v>155532.504160623</v>
          </cell>
        </row>
        <row r="701">
          <cell r="BZ701">
            <v>128655.414053703</v>
          </cell>
        </row>
        <row r="702">
          <cell r="BZ702">
            <v>134261.488045578</v>
          </cell>
        </row>
        <row r="703">
          <cell r="BZ703">
            <v>162698.320895959</v>
          </cell>
        </row>
        <row r="704">
          <cell r="BZ704">
            <v>123627.087548601</v>
          </cell>
        </row>
        <row r="705">
          <cell r="BZ705">
            <v>150061.217352302</v>
          </cell>
        </row>
        <row r="706">
          <cell r="BZ706">
            <v>135689.607239163</v>
          </cell>
        </row>
        <row r="707">
          <cell r="BZ707">
            <v>136609.09010771</v>
          </cell>
        </row>
        <row r="708">
          <cell r="BZ708">
            <v>140741.324726095</v>
          </cell>
        </row>
        <row r="709">
          <cell r="BZ709">
            <v>166098.57416426</v>
          </cell>
        </row>
        <row r="710">
          <cell r="BZ710">
            <v>149381.6987771</v>
          </cell>
        </row>
        <row r="711">
          <cell r="BZ711">
            <v>153626.366678725</v>
          </cell>
        </row>
        <row r="712">
          <cell r="BZ712">
            <v>135846.247435395</v>
          </cell>
        </row>
        <row r="713">
          <cell r="BZ713">
            <v>139479.895875841</v>
          </cell>
        </row>
        <row r="714">
          <cell r="BZ714">
            <v>119538.652790108</v>
          </cell>
        </row>
        <row r="715">
          <cell r="BZ715">
            <v>168775.987391021</v>
          </cell>
        </row>
        <row r="716">
          <cell r="BZ716">
            <v>150453.343869533</v>
          </cell>
        </row>
        <row r="717">
          <cell r="BZ717">
            <v>155144.483310776</v>
          </cell>
        </row>
        <row r="718">
          <cell r="BZ718">
            <v>130521.601124097</v>
          </cell>
        </row>
        <row r="719">
          <cell r="BZ719">
            <v>134115.178553701</v>
          </cell>
        </row>
        <row r="720">
          <cell r="BZ720">
            <v>128239.948264338</v>
          </cell>
        </row>
        <row r="721">
          <cell r="BZ721">
            <v>148802.324630918</v>
          </cell>
        </row>
        <row r="722">
          <cell r="BZ722">
            <v>142613.420047872</v>
          </cell>
        </row>
        <row r="723">
          <cell r="BZ723">
            <v>160478.001220023</v>
          </cell>
        </row>
        <row r="724">
          <cell r="BZ724">
            <v>129916.552907438</v>
          </cell>
        </row>
        <row r="725">
          <cell r="BZ725">
            <v>127257.8031199</v>
          </cell>
        </row>
        <row r="726">
          <cell r="BZ726">
            <v>165999.322315939</v>
          </cell>
        </row>
        <row r="727">
          <cell r="BZ727">
            <v>145194.691894366</v>
          </cell>
        </row>
        <row r="728">
          <cell r="BZ728">
            <v>141140.336858927</v>
          </cell>
        </row>
        <row r="729">
          <cell r="BZ729">
            <v>126551.578464186</v>
          </cell>
        </row>
        <row r="730">
          <cell r="BZ730">
            <v>135360.017278472</v>
          </cell>
        </row>
        <row r="731">
          <cell r="BZ731">
            <v>158305.335535601</v>
          </cell>
        </row>
        <row r="732">
          <cell r="BZ732">
            <v>161156.545027412</v>
          </cell>
        </row>
        <row r="733">
          <cell r="BZ733">
            <v>134667.093637867</v>
          </cell>
        </row>
        <row r="734">
          <cell r="BZ734">
            <v>160424.685659798</v>
          </cell>
        </row>
        <row r="735">
          <cell r="BZ735">
            <v>166158.728677606</v>
          </cell>
        </row>
        <row r="736">
          <cell r="BZ736">
            <v>134054.330120982</v>
          </cell>
        </row>
        <row r="737">
          <cell r="BZ737">
            <v>133190.322948218</v>
          </cell>
        </row>
        <row r="738">
          <cell r="BZ738">
            <v>129973.326514173</v>
          </cell>
        </row>
        <row r="739">
          <cell r="BZ739">
            <v>157371.133845355</v>
          </cell>
        </row>
        <row r="740">
          <cell r="BZ740">
            <v>128794.92072373</v>
          </cell>
        </row>
        <row r="741">
          <cell r="BZ741">
            <v>151583.430479394</v>
          </cell>
        </row>
        <row r="742">
          <cell r="BZ742">
            <v>153981.50676192</v>
          </cell>
        </row>
        <row r="743">
          <cell r="BZ743">
            <v>142668.086223628</v>
          </cell>
        </row>
        <row r="744">
          <cell r="BZ744">
            <v>130318.348312855</v>
          </cell>
        </row>
        <row r="745">
          <cell r="BZ745">
            <v>122768.768733618</v>
          </cell>
        </row>
        <row r="746">
          <cell r="BZ746">
            <v>140982.584333987</v>
          </cell>
        </row>
        <row r="747">
          <cell r="BZ747">
            <v>143986.609712658</v>
          </cell>
        </row>
        <row r="748">
          <cell r="BZ748">
            <v>126649.706190784</v>
          </cell>
        </row>
        <row r="749">
          <cell r="BZ749">
            <v>125582.996353299</v>
          </cell>
        </row>
        <row r="750">
          <cell r="BZ750">
            <v>163580.897649144</v>
          </cell>
        </row>
        <row r="751">
          <cell r="BZ751">
            <v>146308.171392922</v>
          </cell>
        </row>
        <row r="752">
          <cell r="BZ752">
            <v>150893.577681346</v>
          </cell>
        </row>
        <row r="753">
          <cell r="BZ753">
            <v>122086.167110333</v>
          </cell>
        </row>
        <row r="754">
          <cell r="BZ754">
            <v>159180.973604624</v>
          </cell>
        </row>
        <row r="755">
          <cell r="BZ755">
            <v>140734.788533125</v>
          </cell>
        </row>
        <row r="756">
          <cell r="BZ756">
            <v>167430.446010312</v>
          </cell>
        </row>
        <row r="757">
          <cell r="BZ757">
            <v>162074.605575992</v>
          </cell>
        </row>
        <row r="758">
          <cell r="BZ758">
            <v>164309.423476325</v>
          </cell>
        </row>
        <row r="759">
          <cell r="BZ759">
            <v>159156.105559948</v>
          </cell>
        </row>
        <row r="760">
          <cell r="BZ760">
            <v>161951.240532941</v>
          </cell>
        </row>
        <row r="761">
          <cell r="BZ761">
            <v>142968.219225613</v>
          </cell>
        </row>
        <row r="762">
          <cell r="BZ762">
            <v>122341.081062704</v>
          </cell>
        </row>
        <row r="763">
          <cell r="BZ763">
            <v>125654.869797994</v>
          </cell>
        </row>
        <row r="764">
          <cell r="BZ764">
            <v>121607.169128318</v>
          </cell>
        </row>
        <row r="765">
          <cell r="BZ765">
            <v>132357.831391564</v>
          </cell>
        </row>
        <row r="766">
          <cell r="BZ766">
            <v>120999.727487963</v>
          </cell>
        </row>
        <row r="767">
          <cell r="BZ767">
            <v>138454.655297829</v>
          </cell>
        </row>
        <row r="768">
          <cell r="BZ768">
            <v>160378.631902608</v>
          </cell>
        </row>
        <row r="769">
          <cell r="BZ769">
            <v>125764.122631593</v>
          </cell>
        </row>
        <row r="770">
          <cell r="BZ770">
            <v>117995.750179169</v>
          </cell>
        </row>
        <row r="771">
          <cell r="BZ771">
            <v>129286.618155823</v>
          </cell>
        </row>
        <row r="772">
          <cell r="BZ772">
            <v>158651.347874646</v>
          </cell>
        </row>
        <row r="773">
          <cell r="BZ773">
            <v>145412.198576819</v>
          </cell>
        </row>
        <row r="774">
          <cell r="BZ774">
            <v>159356.808168354</v>
          </cell>
        </row>
        <row r="775">
          <cell r="BZ775">
            <v>158903.009551612</v>
          </cell>
        </row>
        <row r="776">
          <cell r="BZ776">
            <v>158634.461856139</v>
          </cell>
        </row>
        <row r="777">
          <cell r="BZ777">
            <v>162438.484961847</v>
          </cell>
        </row>
        <row r="778">
          <cell r="BZ778">
            <v>146987.345471381</v>
          </cell>
        </row>
        <row r="779">
          <cell r="BZ779">
            <v>169129.183543911</v>
          </cell>
        </row>
        <row r="780">
          <cell r="BZ780">
            <v>140452.361819274</v>
          </cell>
        </row>
        <row r="781">
          <cell r="BZ781">
            <v>139205.687558009</v>
          </cell>
        </row>
        <row r="782">
          <cell r="BZ782">
            <v>155762.289796989</v>
          </cell>
        </row>
        <row r="783">
          <cell r="BZ783">
            <v>145087.539867275</v>
          </cell>
        </row>
        <row r="784">
          <cell r="BZ784">
            <v>145887.961851623</v>
          </cell>
        </row>
        <row r="785">
          <cell r="BZ785">
            <v>155743.554774657</v>
          </cell>
        </row>
        <row r="786">
          <cell r="BZ786">
            <v>161237.194391346</v>
          </cell>
        </row>
        <row r="787">
          <cell r="BZ787">
            <v>117698.94855799</v>
          </cell>
        </row>
        <row r="788">
          <cell r="BZ788">
            <v>138543.795534638</v>
          </cell>
        </row>
        <row r="789">
          <cell r="BZ789">
            <v>160760.485006237</v>
          </cell>
        </row>
        <row r="790">
          <cell r="BZ790">
            <v>126488.414742554</v>
          </cell>
        </row>
        <row r="791">
          <cell r="BZ791">
            <v>162660.301481269</v>
          </cell>
        </row>
        <row r="792">
          <cell r="BZ792">
            <v>123849.206755378</v>
          </cell>
        </row>
        <row r="793">
          <cell r="BZ793">
            <v>155391.508998718</v>
          </cell>
        </row>
        <row r="794">
          <cell r="BZ794">
            <v>164570.194746878</v>
          </cell>
        </row>
        <row r="795">
          <cell r="BZ795">
            <v>165574.289189341</v>
          </cell>
        </row>
        <row r="796">
          <cell r="BZ796">
            <v>154543.046304213</v>
          </cell>
        </row>
        <row r="797">
          <cell r="BZ797">
            <v>126874.681709182</v>
          </cell>
        </row>
        <row r="798">
          <cell r="BZ798">
            <v>141902.441254607</v>
          </cell>
        </row>
        <row r="799">
          <cell r="BZ799">
            <v>139289.710087872</v>
          </cell>
        </row>
        <row r="800">
          <cell r="BZ800">
            <v>164356.642315336</v>
          </cell>
        </row>
        <row r="801">
          <cell r="BZ801">
            <v>134611.57744303</v>
          </cell>
        </row>
        <row r="802">
          <cell r="BZ802">
            <v>164268.397498285</v>
          </cell>
        </row>
        <row r="803">
          <cell r="BZ803">
            <v>118993.104695856</v>
          </cell>
        </row>
        <row r="804">
          <cell r="BZ804">
            <v>144932.411870276</v>
          </cell>
        </row>
        <row r="805">
          <cell r="BZ805">
            <v>130580.683734991</v>
          </cell>
        </row>
        <row r="806">
          <cell r="BZ806">
            <v>140556.448293678</v>
          </cell>
        </row>
        <row r="807">
          <cell r="BZ807">
            <v>167976.040306001</v>
          </cell>
        </row>
        <row r="808">
          <cell r="BZ808">
            <v>128036.034559014</v>
          </cell>
        </row>
        <row r="809">
          <cell r="BZ809">
            <v>153140.186120403</v>
          </cell>
        </row>
        <row r="810">
          <cell r="BZ810">
            <v>153839.005782599</v>
          </cell>
        </row>
        <row r="811">
          <cell r="BZ811">
            <v>149306.035795439</v>
          </cell>
        </row>
        <row r="812">
          <cell r="BZ812">
            <v>130730.748525268</v>
          </cell>
        </row>
        <row r="813">
          <cell r="BZ813">
            <v>126449.933823072</v>
          </cell>
        </row>
        <row r="814">
          <cell r="BZ814">
            <v>124945.15064905</v>
          </cell>
        </row>
        <row r="815">
          <cell r="BZ815">
            <v>134644.369422361</v>
          </cell>
        </row>
        <row r="816">
          <cell r="BZ816">
            <v>153399.836933317</v>
          </cell>
        </row>
        <row r="817">
          <cell r="BZ817">
            <v>163159.645154087</v>
          </cell>
        </row>
        <row r="818">
          <cell r="BZ818">
            <v>130528.693893934</v>
          </cell>
        </row>
        <row r="819">
          <cell r="BZ819">
            <v>122113.583319546</v>
          </cell>
        </row>
        <row r="820">
          <cell r="BZ820">
            <v>118129.483271118</v>
          </cell>
        </row>
        <row r="821">
          <cell r="BZ821">
            <v>158081.921353994</v>
          </cell>
        </row>
        <row r="822">
          <cell r="BZ822">
            <v>153602.47881306</v>
          </cell>
        </row>
        <row r="823">
          <cell r="BZ823">
            <v>158248.887959594</v>
          </cell>
        </row>
        <row r="824">
          <cell r="BZ824">
            <v>127201.293254455</v>
          </cell>
        </row>
        <row r="825">
          <cell r="BZ825">
            <v>157971.927792949</v>
          </cell>
        </row>
        <row r="826">
          <cell r="BZ826">
            <v>134977.726280343</v>
          </cell>
        </row>
        <row r="827">
          <cell r="BZ827">
            <v>151369.799500556</v>
          </cell>
        </row>
        <row r="828">
          <cell r="BZ828">
            <v>166249.569316558</v>
          </cell>
        </row>
        <row r="829">
          <cell r="BZ829">
            <v>155959.308350386</v>
          </cell>
        </row>
        <row r="830">
          <cell r="BZ830">
            <v>128936.430653114</v>
          </cell>
        </row>
        <row r="831">
          <cell r="BZ831">
            <v>117530.042462663</v>
          </cell>
        </row>
        <row r="832">
          <cell r="BZ832">
            <v>133363.081913362</v>
          </cell>
        </row>
        <row r="833">
          <cell r="BZ833">
            <v>154396.66559321</v>
          </cell>
        </row>
        <row r="834">
          <cell r="BZ834">
            <v>117270.370878515</v>
          </cell>
        </row>
        <row r="835">
          <cell r="BZ835">
            <v>162326.189336564</v>
          </cell>
        </row>
        <row r="836">
          <cell r="BZ836">
            <v>149470.72236984</v>
          </cell>
        </row>
        <row r="837">
          <cell r="BZ837">
            <v>153009.18662964</v>
          </cell>
        </row>
        <row r="838">
          <cell r="BZ838">
            <v>167156.096613093</v>
          </cell>
        </row>
        <row r="839">
          <cell r="BZ839">
            <v>166606.793074847</v>
          </cell>
        </row>
        <row r="840">
          <cell r="BZ840">
            <v>151661.927860964</v>
          </cell>
        </row>
        <row r="841">
          <cell r="BZ841">
            <v>132555.305067938</v>
          </cell>
        </row>
        <row r="842">
          <cell r="BZ842">
            <v>132389.512182663</v>
          </cell>
        </row>
        <row r="843">
          <cell r="BZ843">
            <v>119812.364636619</v>
          </cell>
        </row>
        <row r="844">
          <cell r="BZ844">
            <v>147617.719791814</v>
          </cell>
        </row>
        <row r="845">
          <cell r="BZ845">
            <v>157175.639259938</v>
          </cell>
        </row>
        <row r="846">
          <cell r="BZ846">
            <v>151483.446348007</v>
          </cell>
        </row>
        <row r="847">
          <cell r="BZ847">
            <v>135370.68012845</v>
          </cell>
        </row>
        <row r="848">
          <cell r="BZ848">
            <v>121345.525829912</v>
          </cell>
        </row>
        <row r="849">
          <cell r="BZ849">
            <v>139457.868127582</v>
          </cell>
        </row>
        <row r="850">
          <cell r="BZ850">
            <v>165677.896954741</v>
          </cell>
        </row>
        <row r="851">
          <cell r="BZ851">
            <v>139342.455094325</v>
          </cell>
        </row>
        <row r="852">
          <cell r="BZ852">
            <v>134837.828378296</v>
          </cell>
        </row>
        <row r="853">
          <cell r="BZ853">
            <v>152139.293456921</v>
          </cell>
        </row>
        <row r="854">
          <cell r="BZ854">
            <v>126209.924056254</v>
          </cell>
        </row>
        <row r="855">
          <cell r="BZ855">
            <v>150650.468705648</v>
          </cell>
        </row>
        <row r="856">
          <cell r="BZ856">
            <v>122320.577112567</v>
          </cell>
        </row>
        <row r="857">
          <cell r="BZ857">
            <v>123369.377511483</v>
          </cell>
        </row>
        <row r="858">
          <cell r="BZ858">
            <v>149254.335053079</v>
          </cell>
        </row>
        <row r="859">
          <cell r="BZ859">
            <v>120997.171412886</v>
          </cell>
        </row>
        <row r="860">
          <cell r="BZ860">
            <v>122221.058150058</v>
          </cell>
        </row>
        <row r="861">
          <cell r="BZ861">
            <v>159562.304467012</v>
          </cell>
        </row>
        <row r="862">
          <cell r="BZ862">
            <v>118308.223672274</v>
          </cell>
        </row>
        <row r="863">
          <cell r="BZ863">
            <v>140518.686117136</v>
          </cell>
        </row>
        <row r="864">
          <cell r="BZ864">
            <v>155517.518855636</v>
          </cell>
        </row>
        <row r="865">
          <cell r="BZ865">
            <v>121623.899119915</v>
          </cell>
        </row>
        <row r="866">
          <cell r="BZ866">
            <v>145280.526107775</v>
          </cell>
        </row>
        <row r="867">
          <cell r="BZ867">
            <v>126865.631493177</v>
          </cell>
        </row>
        <row r="868">
          <cell r="BZ868">
            <v>163210.001347281</v>
          </cell>
        </row>
        <row r="869">
          <cell r="BZ869">
            <v>154167.153816831</v>
          </cell>
        </row>
        <row r="870">
          <cell r="BZ870">
            <v>143965.289545227</v>
          </cell>
        </row>
        <row r="871">
          <cell r="BZ871">
            <v>144593.655826007</v>
          </cell>
        </row>
        <row r="872">
          <cell r="BZ872">
            <v>140959.894211452</v>
          </cell>
        </row>
        <row r="873">
          <cell r="BZ873">
            <v>158620.138367321</v>
          </cell>
        </row>
        <row r="874">
          <cell r="BZ874">
            <v>147763.313622464</v>
          </cell>
        </row>
        <row r="875">
          <cell r="BZ875">
            <v>128798.518078249</v>
          </cell>
        </row>
        <row r="876">
          <cell r="BZ876">
            <v>123108.046072775</v>
          </cell>
        </row>
        <row r="877">
          <cell r="BZ877">
            <v>130417.639859469</v>
          </cell>
        </row>
        <row r="878">
          <cell r="BZ878">
            <v>138526.411419023</v>
          </cell>
        </row>
        <row r="879">
          <cell r="BZ879">
            <v>158105.656784035</v>
          </cell>
        </row>
        <row r="880">
          <cell r="BZ880">
            <v>132127.374742419</v>
          </cell>
        </row>
        <row r="881">
          <cell r="BZ881">
            <v>151320.444306139</v>
          </cell>
        </row>
        <row r="882">
          <cell r="BZ882">
            <v>136105.503255143</v>
          </cell>
        </row>
        <row r="883">
          <cell r="BZ883">
            <v>140951.263423933</v>
          </cell>
        </row>
        <row r="884">
          <cell r="BZ884">
            <v>166359.707038705</v>
          </cell>
        </row>
        <row r="885">
          <cell r="BZ885">
            <v>168696.645959673</v>
          </cell>
        </row>
        <row r="886">
          <cell r="BZ886">
            <v>156476.78550477</v>
          </cell>
        </row>
        <row r="887">
          <cell r="BZ887">
            <v>134358.038954022</v>
          </cell>
        </row>
        <row r="888">
          <cell r="BZ888">
            <v>129833.276443423</v>
          </cell>
        </row>
        <row r="889">
          <cell r="BZ889">
            <v>118885.182580112</v>
          </cell>
        </row>
        <row r="890">
          <cell r="BZ890">
            <v>118249.083649301</v>
          </cell>
        </row>
        <row r="891">
          <cell r="BZ891">
            <v>160025.366471829</v>
          </cell>
        </row>
        <row r="892">
          <cell r="BZ892">
            <v>133664.94135433</v>
          </cell>
        </row>
        <row r="893">
          <cell r="BZ893">
            <v>165975.768173153</v>
          </cell>
        </row>
        <row r="894">
          <cell r="BZ894">
            <v>166379.621459478</v>
          </cell>
        </row>
        <row r="895">
          <cell r="BZ895">
            <v>149368.844950163</v>
          </cell>
        </row>
        <row r="896">
          <cell r="BZ896">
            <v>149153.673478566</v>
          </cell>
        </row>
        <row r="897">
          <cell r="BZ897">
            <v>160260.538749239</v>
          </cell>
        </row>
        <row r="898">
          <cell r="BZ898">
            <v>154399.567256976</v>
          </cell>
        </row>
        <row r="899">
          <cell r="BZ899">
            <v>160334.370489392</v>
          </cell>
        </row>
        <row r="900">
          <cell r="BZ900">
            <v>117382.240183922</v>
          </cell>
        </row>
        <row r="901">
          <cell r="BZ901">
            <v>154457.007945485</v>
          </cell>
        </row>
        <row r="902">
          <cell r="BZ902">
            <v>167011.356708262</v>
          </cell>
        </row>
        <row r="903">
          <cell r="BZ903">
            <v>130577.701534161</v>
          </cell>
        </row>
        <row r="904">
          <cell r="BZ904">
            <v>137085.495980439</v>
          </cell>
        </row>
        <row r="905">
          <cell r="BZ905">
            <v>156626.717538713</v>
          </cell>
        </row>
        <row r="906">
          <cell r="BZ906">
            <v>124111.90557705</v>
          </cell>
        </row>
        <row r="907">
          <cell r="BZ907">
            <v>119455.550188118</v>
          </cell>
        </row>
        <row r="908">
          <cell r="BZ908">
            <v>117306.000582124</v>
          </cell>
        </row>
        <row r="909">
          <cell r="BZ909">
            <v>118297.345951643</v>
          </cell>
        </row>
        <row r="910">
          <cell r="BZ910">
            <v>164667.712730984</v>
          </cell>
        </row>
        <row r="911">
          <cell r="BZ911">
            <v>159507.414078401</v>
          </cell>
        </row>
        <row r="912">
          <cell r="BZ912">
            <v>135100.102918392</v>
          </cell>
        </row>
        <row r="913">
          <cell r="BZ913">
            <v>145047.209288801</v>
          </cell>
        </row>
        <row r="914">
          <cell r="BZ914">
            <v>163291.941779307</v>
          </cell>
        </row>
        <row r="915">
          <cell r="BZ915">
            <v>125925.577895947</v>
          </cell>
        </row>
        <row r="916">
          <cell r="BZ916">
            <v>166887.257901951</v>
          </cell>
        </row>
        <row r="917">
          <cell r="BZ917">
            <v>151842.049913175</v>
          </cell>
        </row>
        <row r="918">
          <cell r="BZ918">
            <v>143498.130972573</v>
          </cell>
        </row>
        <row r="919">
          <cell r="BZ919">
            <v>163951.823312214</v>
          </cell>
        </row>
        <row r="920">
          <cell r="BZ920">
            <v>147643.970700817</v>
          </cell>
        </row>
        <row r="921">
          <cell r="BZ921">
            <v>147618.857696318</v>
          </cell>
        </row>
        <row r="922">
          <cell r="BZ922">
            <v>156937.579295667</v>
          </cell>
        </row>
        <row r="923">
          <cell r="BZ923">
            <v>143740.861989459</v>
          </cell>
        </row>
        <row r="924">
          <cell r="BZ924">
            <v>159049.342144207</v>
          </cell>
        </row>
        <row r="925">
          <cell r="BZ925">
            <v>164151.761218898</v>
          </cell>
        </row>
        <row r="926">
          <cell r="BZ926">
            <v>121742.299134297</v>
          </cell>
        </row>
        <row r="927">
          <cell r="BZ927">
            <v>118427.735578588</v>
          </cell>
        </row>
        <row r="928">
          <cell r="BZ928">
            <v>130690.566985253</v>
          </cell>
        </row>
        <row r="929">
          <cell r="BZ929">
            <v>137986.59167203</v>
          </cell>
        </row>
        <row r="930">
          <cell r="BZ930">
            <v>167193.75447242</v>
          </cell>
        </row>
        <row r="931">
          <cell r="BZ931">
            <v>131970.182846678</v>
          </cell>
        </row>
        <row r="932">
          <cell r="BZ932">
            <v>159139.454770815</v>
          </cell>
        </row>
        <row r="933">
          <cell r="BZ933">
            <v>154021.368094919</v>
          </cell>
        </row>
        <row r="934">
          <cell r="BZ934">
            <v>158330.033236744</v>
          </cell>
        </row>
        <row r="935">
          <cell r="BZ935">
            <v>160237.766051343</v>
          </cell>
        </row>
        <row r="936">
          <cell r="BZ936">
            <v>122286.784474176</v>
          </cell>
        </row>
        <row r="937">
          <cell r="BZ937">
            <v>146448.490737487</v>
          </cell>
        </row>
        <row r="938">
          <cell r="BZ938">
            <v>155489.795372897</v>
          </cell>
        </row>
        <row r="939">
          <cell r="BZ939">
            <v>161409.540237025</v>
          </cell>
        </row>
        <row r="940">
          <cell r="BZ940">
            <v>120198.726990772</v>
          </cell>
        </row>
        <row r="941">
          <cell r="BZ941">
            <v>120771.516194674</v>
          </cell>
        </row>
        <row r="942">
          <cell r="BZ942">
            <v>148211.382290426</v>
          </cell>
        </row>
        <row r="943">
          <cell r="BZ943">
            <v>128794.564215585</v>
          </cell>
        </row>
        <row r="944">
          <cell r="BZ944">
            <v>120041.505563965</v>
          </cell>
        </row>
        <row r="945">
          <cell r="BZ945">
            <v>168652.951266287</v>
          </cell>
        </row>
        <row r="946">
          <cell r="BZ946">
            <v>121652.584412712</v>
          </cell>
        </row>
        <row r="947">
          <cell r="BZ947">
            <v>148085.74243325</v>
          </cell>
        </row>
        <row r="948">
          <cell r="BZ948">
            <v>161858.02299507</v>
          </cell>
        </row>
        <row r="949">
          <cell r="BZ949">
            <v>128641.221210125</v>
          </cell>
        </row>
        <row r="950">
          <cell r="BZ950">
            <v>139827.687479777</v>
          </cell>
        </row>
        <row r="951">
          <cell r="BZ951">
            <v>124605.307220964</v>
          </cell>
        </row>
        <row r="952">
          <cell r="BZ952">
            <v>152469.573454512</v>
          </cell>
        </row>
        <row r="953">
          <cell r="BZ953">
            <v>168799.122857552</v>
          </cell>
        </row>
        <row r="954">
          <cell r="BZ954">
            <v>148024.547368428</v>
          </cell>
        </row>
        <row r="955">
          <cell r="BZ955">
            <v>159676.859182401</v>
          </cell>
        </row>
        <row r="956">
          <cell r="BZ956">
            <v>154686.176244271</v>
          </cell>
        </row>
        <row r="957">
          <cell r="BZ957">
            <v>141493.963311228</v>
          </cell>
        </row>
        <row r="958">
          <cell r="BZ958">
            <v>129211.854913172</v>
          </cell>
        </row>
        <row r="959">
          <cell r="BZ959">
            <v>133499.510606787</v>
          </cell>
        </row>
        <row r="960">
          <cell r="BZ960">
            <v>138039.100429959</v>
          </cell>
        </row>
        <row r="961">
          <cell r="BZ961">
            <v>145516.259790879</v>
          </cell>
        </row>
        <row r="962">
          <cell r="BZ962">
            <v>158468.354320637</v>
          </cell>
        </row>
        <row r="963">
          <cell r="BZ963">
            <v>136380.248567616</v>
          </cell>
        </row>
        <row r="964">
          <cell r="BZ964">
            <v>152308.962652449</v>
          </cell>
        </row>
        <row r="965">
          <cell r="BZ965">
            <v>134793.570313714</v>
          </cell>
        </row>
        <row r="966">
          <cell r="BZ966">
            <v>118105.24450263</v>
          </cell>
        </row>
        <row r="967">
          <cell r="BZ967">
            <v>138854.89538429</v>
          </cell>
        </row>
        <row r="968">
          <cell r="BZ968">
            <v>136519.672371095</v>
          </cell>
        </row>
        <row r="969">
          <cell r="BZ969">
            <v>147771.599258074</v>
          </cell>
        </row>
        <row r="970">
          <cell r="BZ970">
            <v>161117.397729853</v>
          </cell>
        </row>
        <row r="971">
          <cell r="BZ971">
            <v>147094.156423159</v>
          </cell>
        </row>
        <row r="972">
          <cell r="BZ972">
            <v>168680.005944404</v>
          </cell>
        </row>
        <row r="973">
          <cell r="BZ973">
            <v>165701.938323708</v>
          </cell>
        </row>
        <row r="974">
          <cell r="BZ974">
            <v>163719.069815906</v>
          </cell>
        </row>
        <row r="975">
          <cell r="BZ975">
            <v>152688.176717391</v>
          </cell>
        </row>
        <row r="976">
          <cell r="BZ976">
            <v>140460.414385136</v>
          </cell>
        </row>
        <row r="977">
          <cell r="BZ977">
            <v>150861.246697233</v>
          </cell>
        </row>
        <row r="978">
          <cell r="BZ978">
            <v>162334.577930523</v>
          </cell>
        </row>
        <row r="979">
          <cell r="BZ979">
            <v>153955.268009912</v>
          </cell>
        </row>
        <row r="980">
          <cell r="BZ980">
            <v>155385.975600169</v>
          </cell>
        </row>
        <row r="981">
          <cell r="BZ981">
            <v>144885.738130571</v>
          </cell>
        </row>
        <row r="982">
          <cell r="BZ982">
            <v>152704.273695919</v>
          </cell>
        </row>
        <row r="983">
          <cell r="BZ983">
            <v>131072.175323182</v>
          </cell>
        </row>
        <row r="984">
          <cell r="BZ984">
            <v>144961.602709677</v>
          </cell>
        </row>
        <row r="985">
          <cell r="BZ985">
            <v>159060.502897169</v>
          </cell>
        </row>
        <row r="986">
          <cell r="BZ986">
            <v>128724.616793285</v>
          </cell>
        </row>
        <row r="987">
          <cell r="BZ987">
            <v>146098.511893473</v>
          </cell>
        </row>
        <row r="988">
          <cell r="BZ988">
            <v>119635.370183877</v>
          </cell>
        </row>
        <row r="989">
          <cell r="BZ989">
            <v>132708.016637585</v>
          </cell>
        </row>
        <row r="990">
          <cell r="BZ990">
            <v>146556.607971799</v>
          </cell>
        </row>
        <row r="991">
          <cell r="BZ991">
            <v>146163.133847953</v>
          </cell>
        </row>
        <row r="992">
          <cell r="BZ992">
            <v>141378.301484204</v>
          </cell>
        </row>
        <row r="993">
          <cell r="BZ993">
            <v>118864.778725</v>
          </cell>
        </row>
        <row r="994">
          <cell r="BZ994">
            <v>159152.547175759</v>
          </cell>
        </row>
        <row r="995">
          <cell r="BZ995">
            <v>159995.415565409</v>
          </cell>
        </row>
        <row r="996">
          <cell r="BZ996">
            <v>137830.732192724</v>
          </cell>
        </row>
        <row r="997">
          <cell r="BZ997">
            <v>121133.070779555</v>
          </cell>
        </row>
        <row r="998">
          <cell r="BZ998">
            <v>149829.749973931</v>
          </cell>
        </row>
        <row r="999">
          <cell r="BZ999">
            <v>135662.040972342</v>
          </cell>
        </row>
        <row r="1000">
          <cell r="BZ1000">
            <v>166413.06295239</v>
          </cell>
        </row>
        <row r="1001">
          <cell r="BZ1001">
            <v>140139.022971316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4.13"/>
    <col collapsed="false" customWidth="true" hidden="false" outlineLevel="0" max="2" min="2" style="0" width="11.28"/>
  </cols>
  <sheetData>
    <row r="1" customFormat="false" ht="12.75" hidden="false" customHeight="false" outlineLevel="0" collapsed="false">
      <c r="A1" s="1" t="s">
        <v>0</v>
      </c>
      <c r="B1" s="1"/>
      <c r="C1" s="1"/>
      <c r="D1" s="1"/>
      <c r="E1" s="1"/>
      <c r="F1" s="1"/>
    </row>
    <row r="2" customFormat="false" ht="12.75" hidden="false" customHeight="false" outlineLevel="0" collapsed="false">
      <c r="A2" s="1" t="str">
        <f aca="false">+assumptions!A2</f>
        <v>TransPecos Project</v>
      </c>
      <c r="B2" s="1"/>
      <c r="C2" s="1"/>
      <c r="D2" s="1"/>
      <c r="E2" s="1"/>
      <c r="F2" s="1"/>
    </row>
    <row r="3" customFormat="false" ht="12.75" hidden="false" customHeight="false" outlineLevel="0" collapsed="false">
      <c r="A3" s="1" t="s">
        <v>1</v>
      </c>
      <c r="B3" s="1"/>
      <c r="C3" s="1"/>
      <c r="D3" s="1"/>
      <c r="E3" s="1"/>
      <c r="F3" s="1"/>
    </row>
    <row r="4" customFormat="false" ht="12.75" hidden="false" customHeight="false" outlineLevel="0" collapsed="false">
      <c r="A4" s="2"/>
      <c r="B4" s="2"/>
    </row>
    <row r="5" customFormat="false" ht="12.75" hidden="false" customHeight="false" outlineLevel="0" collapsed="false">
      <c r="A5" s="2" t="s">
        <v>2</v>
      </c>
      <c r="B5" s="3" t="str">
        <f aca="false">+assumptions!A2</f>
        <v>TransPecos Project</v>
      </c>
    </row>
    <row r="6" customFormat="false" ht="12.75" hidden="false" customHeight="false" outlineLevel="0" collapsed="false">
      <c r="A6" s="2"/>
      <c r="B6" s="2"/>
    </row>
    <row r="7" customFormat="false" ht="12.75" hidden="false" customHeight="false" outlineLevel="0" collapsed="false">
      <c r="A7" s="4"/>
      <c r="B7" s="4"/>
      <c r="C7" s="4"/>
      <c r="D7" s="4"/>
      <c r="E7" s="4"/>
      <c r="F7" s="4"/>
      <c r="G7" s="4"/>
    </row>
    <row r="8" customFormat="false" ht="12.75" hidden="false" customHeight="false" outlineLevel="0" collapsed="false">
      <c r="A8" s="3" t="s">
        <v>3</v>
      </c>
      <c r="B8" s="5" t="s">
        <v>4</v>
      </c>
    </row>
    <row r="9" customFormat="false" ht="12.75" hidden="false" customHeight="false" outlineLevel="0" collapsed="false">
      <c r="A9" s="6" t="s">
        <v>5</v>
      </c>
      <c r="B9" s="7" t="n">
        <v>20</v>
      </c>
    </row>
    <row r="11" customFormat="false" ht="12.75" hidden="false" customHeight="false" outlineLevel="0" collapsed="false">
      <c r="A11" s="8" t="s">
        <v>6</v>
      </c>
      <c r="B11" s="9" t="s">
        <v>7</v>
      </c>
    </row>
    <row r="12" customFormat="false" ht="12.75" hidden="false" customHeight="false" outlineLevel="0" collapsed="false">
      <c r="A12" s="8" t="s">
        <v>8</v>
      </c>
      <c r="B12" s="10" t="n">
        <v>0.4</v>
      </c>
    </row>
    <row r="13" customFormat="false" ht="12.75" hidden="false" customHeight="false" outlineLevel="0" collapsed="false">
      <c r="A13" s="11" t="s">
        <v>9</v>
      </c>
      <c r="B13" s="12" t="n">
        <v>0.085</v>
      </c>
    </row>
    <row r="14" customFormat="false" ht="12.75" hidden="false" customHeight="false" outlineLevel="0" collapsed="false">
      <c r="A14" s="11" t="s">
        <v>10</v>
      </c>
      <c r="B14" s="13" t="n">
        <f aca="false">+B9</f>
        <v>20</v>
      </c>
    </row>
    <row r="16" customFormat="false" ht="12.75" hidden="false" customHeight="false" outlineLevel="0" collapsed="false">
      <c r="B16" s="14" t="n">
        <v>1</v>
      </c>
      <c r="C16" s="14" t="n">
        <v>2</v>
      </c>
      <c r="D16" s="14" t="n">
        <v>3</v>
      </c>
      <c r="E16" s="14" t="n">
        <v>4</v>
      </c>
      <c r="F16" s="14" t="n">
        <v>5</v>
      </c>
    </row>
    <row r="17" customFormat="false" ht="12.75" hidden="false" customHeight="false" outlineLevel="0" collapsed="false">
      <c r="A17" s="8" t="s">
        <v>11</v>
      </c>
      <c r="B17" s="9" t="s">
        <v>7</v>
      </c>
      <c r="C17" s="9" t="s">
        <v>7</v>
      </c>
      <c r="D17" s="9" t="s">
        <v>7</v>
      </c>
      <c r="E17" s="9" t="s">
        <v>7</v>
      </c>
      <c r="F17" s="9" t="s">
        <v>7</v>
      </c>
    </row>
    <row r="19" customFormat="false" ht="12.75" hidden="true" customHeight="false" outlineLevel="0" collapsed="false">
      <c r="A19" s="0" t="s">
        <v>12</v>
      </c>
      <c r="B19" s="15" t="n">
        <v>0.110565676314645</v>
      </c>
    </row>
    <row r="20" customFormat="false" ht="12.75" hidden="true" customHeight="false" outlineLevel="0" collapsed="false">
      <c r="A20" s="8" t="s">
        <v>13</v>
      </c>
      <c r="B20" s="16" t="n">
        <f aca="false">+B19*12</f>
        <v>1.32678811577574</v>
      </c>
    </row>
    <row r="21" customFormat="false" ht="12.75" hidden="true" customHeight="false" outlineLevel="0" collapsed="false"/>
    <row r="22" customFormat="false" ht="12.75" hidden="true" customHeight="false" outlineLevel="0" collapsed="false">
      <c r="A22" s="8" t="s">
        <v>14</v>
      </c>
      <c r="B22" s="9" t="s">
        <v>4</v>
      </c>
    </row>
    <row r="23" customFormat="false" ht="12.75" hidden="true" customHeight="false" outlineLevel="0" collapsed="false"/>
    <row r="24" customFormat="false" ht="12.75" hidden="true" customHeight="false" outlineLevel="0" collapsed="false"/>
    <row r="25" customFormat="false" ht="12.75" hidden="true" customHeight="false" outlineLevel="0" collapsed="false">
      <c r="A25" s="8" t="s">
        <v>15</v>
      </c>
      <c r="B25" s="17" t="n">
        <v>21500</v>
      </c>
    </row>
    <row r="26" customFormat="false" ht="12.75" hidden="true" customHeight="false" outlineLevel="0" collapsed="false">
      <c r="A26" s="8" t="s">
        <v>16</v>
      </c>
      <c r="B26" s="0" t="s">
        <v>17</v>
      </c>
    </row>
    <row r="27" customFormat="false" ht="12.75" hidden="true" customHeight="false" outlineLevel="0" collapsed="false">
      <c r="A27" s="8" t="s">
        <v>18</v>
      </c>
      <c r="B27" s="0" t="s">
        <v>17</v>
      </c>
    </row>
    <row r="28" customFormat="false" ht="12.75" hidden="true" customHeight="false" outlineLevel="0" collapsed="false"/>
    <row r="29" customFormat="false" ht="12.75" hidden="true" customHeight="false" outlineLevel="0" collapsed="false">
      <c r="A29" s="8" t="s">
        <v>19</v>
      </c>
      <c r="B29" s="18" t="n">
        <v>65780</v>
      </c>
    </row>
    <row r="30" customFormat="false" ht="12.75" hidden="true" customHeight="false" outlineLevel="0" collapsed="false"/>
    <row r="31" customFormat="false" ht="12.75" hidden="false" customHeight="false" outlineLevel="0" collapsed="false">
      <c r="A31" s="8" t="s">
        <v>20</v>
      </c>
      <c r="B31" s="9" t="s">
        <v>4</v>
      </c>
    </row>
    <row r="33" customFormat="false" ht="12.75" hidden="false" customHeight="false" outlineLevel="0" collapsed="false">
      <c r="A33" s="8" t="s">
        <v>21</v>
      </c>
      <c r="B33" s="19" t="s">
        <v>22</v>
      </c>
    </row>
    <row r="34" customFormat="false" ht="12.75" hidden="false" customHeight="false" outlineLevel="0" collapsed="false">
      <c r="A34" s="8" t="s">
        <v>23</v>
      </c>
      <c r="B34" s="19" t="n">
        <v>311</v>
      </c>
    </row>
  </sheetData>
  <mergeCells count="3">
    <mergeCell ref="A1:F1"/>
    <mergeCell ref="A2:F2"/>
    <mergeCell ref="A3:F3"/>
  </mergeCells>
  <printOptions headings="false" gridLines="false" gridLinesSet="true" horizontalCentered="false" verticalCentered="false"/>
  <pageMargins left="0.25" right="0.25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55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A26" activeCellId="0" sqref="A2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1.7"/>
    <col collapsed="false" customWidth="true" hidden="false" outlineLevel="0" max="2" min="2" style="0" width="10.99"/>
    <col collapsed="false" customWidth="true" hidden="false" outlineLevel="0" max="3" min="3" style="20" width="15.28"/>
    <col collapsed="false" customWidth="true" hidden="false" outlineLevel="0" max="4" min="4" style="20" width="13.14"/>
    <col collapsed="false" customWidth="true" hidden="false" outlineLevel="0" max="5" min="5" style="0" width="14.7"/>
    <col collapsed="false" customWidth="true" hidden="false" outlineLevel="0" max="6" min="6" style="0" width="10.41"/>
    <col collapsed="false" customWidth="true" hidden="false" outlineLevel="0" max="7" min="7" style="0" width="11.13"/>
  </cols>
  <sheetData>
    <row r="1" customFormat="false" ht="12.75" hidden="false" customHeight="false" outlineLevel="0" collapsed="false">
      <c r="A1" s="21" t="s">
        <v>24</v>
      </c>
      <c r="B1" s="21"/>
      <c r="D1" s="0"/>
      <c r="H1" s="14"/>
      <c r="I1" s="14"/>
    </row>
    <row r="2" customFormat="false" ht="12.75" hidden="false" customHeight="false" outlineLevel="0" collapsed="false">
      <c r="A2" s="21" t="s">
        <v>25</v>
      </c>
      <c r="B2" s="21"/>
      <c r="D2" s="0"/>
      <c r="H2" s="14"/>
      <c r="I2" s="14"/>
    </row>
    <row r="3" customFormat="false" ht="12.75" hidden="false" customHeight="false" outlineLevel="0" collapsed="false">
      <c r="A3" s="21" t="s">
        <v>26</v>
      </c>
      <c r="B3" s="21"/>
      <c r="D3" s="0"/>
      <c r="H3" s="14"/>
      <c r="I3" s="14"/>
    </row>
    <row r="4" customFormat="false" ht="12.75" hidden="false" customHeight="false" outlineLevel="0" collapsed="false">
      <c r="A4" s="4"/>
      <c r="B4" s="14"/>
      <c r="D4" s="0"/>
    </row>
    <row r="5" customFormat="false" ht="12.75" hidden="false" customHeight="false" outlineLevel="0" collapsed="false">
      <c r="A5" s="20" t="s">
        <v>27</v>
      </c>
      <c r="B5" s="22" t="n">
        <v>20</v>
      </c>
      <c r="D5" s="0"/>
    </row>
    <row r="6" customFormat="false" ht="12.75" hidden="false" customHeight="false" outlineLevel="0" collapsed="false">
      <c r="A6" s="23" t="s">
        <v>5</v>
      </c>
      <c r="B6" s="7" t="n">
        <v>20</v>
      </c>
    </row>
    <row r="7" customFormat="false" ht="12.75" hidden="false" customHeight="false" outlineLevel="0" collapsed="false">
      <c r="A7" s="24" t="s">
        <v>28</v>
      </c>
      <c r="B7" s="25" t="n">
        <v>15</v>
      </c>
    </row>
    <row r="8" customFormat="false" ht="12.75" hidden="false" customHeight="false" outlineLevel="0" collapsed="false">
      <c r="A8" s="24" t="s">
        <v>29</v>
      </c>
      <c r="B8" s="26" t="n">
        <v>37986</v>
      </c>
      <c r="C8" s="27"/>
    </row>
    <row r="9" customFormat="false" ht="12.75" hidden="false" customHeight="false" outlineLevel="0" collapsed="false">
      <c r="A9" s="28"/>
      <c r="B9" s="28"/>
      <c r="E9" s="14"/>
      <c r="F9" s="14"/>
      <c r="G9" s="14"/>
      <c r="H9" s="14"/>
      <c r="I9" s="14"/>
    </row>
    <row r="10" customFormat="false" ht="12.75" hidden="false" customHeight="false" outlineLevel="0" collapsed="false">
      <c r="A10" s="24" t="s">
        <v>30</v>
      </c>
      <c r="B10" s="14" t="s">
        <v>31</v>
      </c>
      <c r="C10" s="14"/>
      <c r="D10" s="14"/>
      <c r="E10" s="14"/>
      <c r="F10" s="14"/>
      <c r="G10" s="14"/>
      <c r="H10" s="14"/>
      <c r="I10" s="14"/>
    </row>
    <row r="11" customFormat="false" ht="12.75" hidden="false" customHeight="false" outlineLevel="0" collapsed="false">
      <c r="A11" s="24" t="s">
        <v>32</v>
      </c>
      <c r="B11" s="29" t="n">
        <f aca="false">+B16-B12-B13</f>
        <v>112035.81114</v>
      </c>
      <c r="C11" s="30"/>
      <c r="D11" s="29"/>
      <c r="E11" s="14"/>
      <c r="F11" s="14"/>
      <c r="G11" s="14"/>
      <c r="H11" s="14"/>
      <c r="I11" s="14"/>
    </row>
    <row r="12" customFormat="false" ht="12.75" hidden="false" customHeight="false" outlineLevel="0" collapsed="false">
      <c r="A12" s="24" t="s">
        <v>33</v>
      </c>
      <c r="B12" s="29" t="n">
        <f aca="false">+B16*0.04</f>
        <v>5210.96796</v>
      </c>
      <c r="C12" s="30"/>
      <c r="D12" s="29"/>
      <c r="E12" s="14"/>
      <c r="F12" s="14"/>
      <c r="G12" s="14"/>
      <c r="H12" s="14"/>
      <c r="I12" s="14"/>
    </row>
    <row r="13" customFormat="false" ht="12.75" hidden="false" customHeight="false" outlineLevel="0" collapsed="false">
      <c r="A13" s="24" t="s">
        <v>34</v>
      </c>
      <c r="B13" s="29" t="n">
        <f aca="false">+B16*10%</f>
        <v>13027.4199</v>
      </c>
      <c r="C13" s="30"/>
      <c r="D13" s="29"/>
      <c r="E13" s="14"/>
      <c r="F13" s="14"/>
      <c r="G13" s="14"/>
      <c r="H13" s="14"/>
      <c r="I13" s="14"/>
    </row>
    <row r="14" customFormat="false" ht="12.75" hidden="false" customHeight="false" outlineLevel="0" collapsed="false">
      <c r="A14" s="24" t="s">
        <v>35</v>
      </c>
      <c r="B14" s="29" t="n">
        <f aca="false">+D14-C14</f>
        <v>0</v>
      </c>
      <c r="C14" s="30"/>
      <c r="D14" s="29"/>
      <c r="E14" s="14"/>
      <c r="F14" s="14"/>
      <c r="G14" s="14"/>
      <c r="H14" s="14"/>
      <c r="I14" s="14"/>
    </row>
    <row r="15" customFormat="false" ht="12.75" hidden="false" customHeight="false" outlineLevel="0" collapsed="false">
      <c r="A15" s="24" t="s">
        <v>36</v>
      </c>
      <c r="B15" s="29" t="n">
        <f aca="false">+D15-C15</f>
        <v>0</v>
      </c>
      <c r="C15" s="30"/>
      <c r="D15" s="29"/>
      <c r="E15" s="14"/>
      <c r="F15" s="14"/>
      <c r="G15" s="14"/>
      <c r="H15" s="14"/>
      <c r="I15" s="14"/>
    </row>
    <row r="16" customFormat="false" ht="12.75" hidden="false" customHeight="false" outlineLevel="0" collapsed="false">
      <c r="A16" s="24" t="s">
        <v>37</v>
      </c>
      <c r="B16" s="29" t="n">
        <f aca="false">130944-669.801</f>
        <v>130274.199</v>
      </c>
      <c r="C16" s="31" t="s">
        <v>38</v>
      </c>
      <c r="D16" s="32"/>
      <c r="E16" s="33"/>
      <c r="F16" s="34"/>
      <c r="G16" s="14"/>
      <c r="H16" s="14"/>
      <c r="I16" s="14"/>
    </row>
    <row r="17" customFormat="false" ht="12.75" hidden="false" customHeight="false" outlineLevel="0" collapsed="false">
      <c r="A17" s="35" t="s">
        <v>39</v>
      </c>
      <c r="B17" s="29" t="n">
        <f aca="false">+B16</f>
        <v>130274.199</v>
      </c>
      <c r="C17" s="36" t="n">
        <v>0</v>
      </c>
      <c r="E17" s="14"/>
      <c r="F17" s="37"/>
      <c r="G17" s="19" t="s">
        <v>40</v>
      </c>
      <c r="H17" s="14"/>
      <c r="I17" s="14"/>
    </row>
    <row r="18" customFormat="false" ht="12.75" hidden="false" customHeight="false" outlineLevel="0" collapsed="false">
      <c r="A18" s="24"/>
      <c r="B18" s="28"/>
      <c r="C18" s="38" t="s">
        <v>41</v>
      </c>
      <c r="D18" s="38" t="s">
        <v>42</v>
      </c>
      <c r="E18" s="39" t="s">
        <v>43</v>
      </c>
      <c r="F18" s="19" t="s">
        <v>44</v>
      </c>
      <c r="G18" s="19" t="s">
        <v>45</v>
      </c>
      <c r="H18" s="14"/>
      <c r="I18" s="14"/>
    </row>
    <row r="19" customFormat="false" ht="12.75" hidden="false" customHeight="false" outlineLevel="0" collapsed="false">
      <c r="A19" s="24" t="s">
        <v>46</v>
      </c>
      <c r="B19" s="40" t="n">
        <f aca="false">+E19</f>
        <v>8050</v>
      </c>
      <c r="C19" s="41"/>
      <c r="D19" s="42" t="n">
        <v>13000</v>
      </c>
      <c r="E19" s="43" t="n">
        <v>8050</v>
      </c>
      <c r="F19" s="44" t="n">
        <v>8300</v>
      </c>
      <c r="G19" s="45" t="n">
        <f aca="false">(E$19*F$19*24*1/1000000)/1000</f>
        <v>1.60356</v>
      </c>
      <c r="H19" s="14"/>
      <c r="I19" s="14"/>
    </row>
    <row r="20" customFormat="false" ht="12.75" hidden="false" customHeight="false" outlineLevel="0" collapsed="false">
      <c r="A20" s="24" t="s">
        <v>47</v>
      </c>
      <c r="B20" s="40"/>
      <c r="C20" s="41" t="n">
        <v>0</v>
      </c>
      <c r="D20" s="42"/>
      <c r="E20" s="43"/>
      <c r="F20" s="44"/>
      <c r="G20" s="45" t="n">
        <f aca="false">(E$20*F$20*24*1/1000000)/1000</f>
        <v>0</v>
      </c>
      <c r="H20" s="14"/>
      <c r="I20" s="14"/>
    </row>
    <row r="21" customFormat="false" ht="12.75" hidden="false" customHeight="false" outlineLevel="0" collapsed="false">
      <c r="A21" s="24" t="s">
        <v>48</v>
      </c>
      <c r="B21" s="46"/>
      <c r="D21" s="47" t="n">
        <f aca="false">+D19-D20</f>
        <v>13000</v>
      </c>
      <c r="E21" s="43" t="n">
        <f aca="false">+E19-E20</f>
        <v>8050</v>
      </c>
      <c r="F21" s="44"/>
      <c r="G21" s="48" t="n">
        <f aca="false">+G19-G20</f>
        <v>1.60356</v>
      </c>
      <c r="H21" s="14"/>
      <c r="I21" s="14"/>
    </row>
    <row r="22" customFormat="false" ht="12.75" hidden="false" customHeight="false" outlineLevel="0" collapsed="false">
      <c r="A22" s="24" t="s">
        <v>49</v>
      </c>
      <c r="B22" s="46" t="n">
        <v>176</v>
      </c>
      <c r="C22" s="49"/>
      <c r="E22" s="14"/>
      <c r="F22" s="14"/>
      <c r="G22" s="14"/>
      <c r="H22" s="14"/>
      <c r="I22" s="14"/>
    </row>
    <row r="23" customFormat="false" ht="12.75" hidden="false" customHeight="false" outlineLevel="0" collapsed="false">
      <c r="A23" s="24" t="s">
        <v>50</v>
      </c>
      <c r="B23" s="50" t="n">
        <v>1</v>
      </c>
      <c r="C23" s="0"/>
      <c r="D23" s="0"/>
      <c r="E23" s="14"/>
      <c r="F23" s="14"/>
      <c r="G23" s="14"/>
      <c r="H23" s="14"/>
      <c r="I23" s="14"/>
    </row>
    <row r="24" customFormat="false" ht="12.75" hidden="false" customHeight="false" outlineLevel="0" collapsed="false">
      <c r="A24" s="24" t="s">
        <v>51</v>
      </c>
      <c r="B24" s="51" t="n">
        <v>1.03</v>
      </c>
      <c r="C24" s="49"/>
      <c r="E24" s="14"/>
      <c r="F24" s="14"/>
      <c r="G24" s="14"/>
      <c r="H24" s="14"/>
      <c r="I24" s="14"/>
    </row>
    <row r="25" customFormat="false" ht="12.75" hidden="false" customHeight="false" outlineLevel="0" collapsed="false">
      <c r="A25" s="24" t="s">
        <v>52</v>
      </c>
      <c r="B25" s="52" t="n">
        <v>0.05</v>
      </c>
      <c r="C25" s="49"/>
    </row>
    <row r="26" customFormat="false" ht="12.75" hidden="false" customHeight="false" outlineLevel="0" collapsed="false">
      <c r="A26" s="24" t="s">
        <v>53</v>
      </c>
      <c r="B26" s="53" t="n">
        <v>0.3888</v>
      </c>
      <c r="C26" s="49"/>
    </row>
    <row r="27" customFormat="false" ht="12.75" hidden="false" customHeight="false" outlineLevel="0" collapsed="false">
      <c r="A27" s="0" t="s">
        <v>54</v>
      </c>
      <c r="B27" s="54" t="n">
        <v>0.02</v>
      </c>
      <c r="C27" s="49"/>
    </row>
    <row r="28" customFormat="false" ht="13.5" hidden="false" customHeight="false" outlineLevel="0" collapsed="false">
      <c r="C28" s="49"/>
    </row>
    <row r="29" customFormat="false" ht="13.5" hidden="false" customHeight="false" outlineLevel="0" collapsed="false">
      <c r="A29" s="24"/>
      <c r="B29" s="52"/>
      <c r="C29" s="55" t="s">
        <v>55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</row>
    <row r="30" customFormat="false" ht="13.5" hidden="false" customHeight="false" outlineLevel="0" collapsed="false">
      <c r="A30" s="24"/>
      <c r="B30" s="52"/>
      <c r="C30" s="55" t="n">
        <v>1</v>
      </c>
      <c r="D30" s="56" t="n">
        <v>2</v>
      </c>
      <c r="E30" s="56" t="n">
        <v>3</v>
      </c>
      <c r="F30" s="56" t="n">
        <v>4</v>
      </c>
      <c r="G30" s="56" t="n">
        <v>5</v>
      </c>
      <c r="H30" s="56" t="n">
        <v>6</v>
      </c>
      <c r="I30" s="56" t="n">
        <v>7</v>
      </c>
      <c r="J30" s="56" t="n">
        <v>8</v>
      </c>
      <c r="K30" s="56" t="n">
        <v>9</v>
      </c>
      <c r="L30" s="57" t="n">
        <v>10</v>
      </c>
      <c r="M30" s="58" t="n">
        <v>11</v>
      </c>
      <c r="N30" s="57" t="n">
        <v>12</v>
      </c>
      <c r="O30" s="58" t="n">
        <v>13</v>
      </c>
      <c r="P30" s="57" t="n">
        <v>14</v>
      </c>
      <c r="Q30" s="59" t="n">
        <v>15</v>
      </c>
      <c r="R30" s="57" t="n">
        <v>16</v>
      </c>
      <c r="S30" s="59" t="n">
        <v>17</v>
      </c>
      <c r="T30" s="57" t="n">
        <v>18</v>
      </c>
      <c r="U30" s="59" t="n">
        <v>19</v>
      </c>
      <c r="V30" s="57" t="n">
        <v>20</v>
      </c>
    </row>
    <row r="31" customFormat="false" ht="12.75" hidden="false" customHeight="false" outlineLevel="0" collapsed="false">
      <c r="A31" s="24"/>
      <c r="B31" s="52"/>
      <c r="C31" s="49"/>
    </row>
    <row r="32" customFormat="false" ht="12.75" hidden="false" customHeight="false" outlineLevel="0" collapsed="false">
      <c r="A32" s="24" t="s">
        <v>56</v>
      </c>
      <c r="B32" s="52"/>
      <c r="C32" s="60" t="n">
        <v>0.9</v>
      </c>
      <c r="D32" s="60" t="n">
        <v>0.9</v>
      </c>
      <c r="E32" s="60" t="n">
        <v>0.9</v>
      </c>
      <c r="F32" s="60" t="n">
        <v>0.9</v>
      </c>
      <c r="G32" s="60" t="n">
        <v>0.9</v>
      </c>
      <c r="H32" s="60" t="n">
        <v>0.9</v>
      </c>
      <c r="I32" s="60" t="n">
        <v>0.9</v>
      </c>
      <c r="J32" s="60" t="n">
        <v>0.9</v>
      </c>
      <c r="K32" s="60" t="n">
        <v>0.9</v>
      </c>
      <c r="L32" s="60" t="n">
        <v>0.9</v>
      </c>
      <c r="M32" s="60" t="n">
        <v>0.9</v>
      </c>
      <c r="N32" s="60" t="n">
        <v>0.9</v>
      </c>
      <c r="O32" s="60" t="n">
        <v>0.9</v>
      </c>
      <c r="P32" s="60" t="n">
        <v>0.9</v>
      </c>
      <c r="Q32" s="60" t="n">
        <v>0.9</v>
      </c>
      <c r="R32" s="60" t="n">
        <v>0.9</v>
      </c>
      <c r="S32" s="60" t="n">
        <v>0.9</v>
      </c>
      <c r="T32" s="60" t="n">
        <v>0.9</v>
      </c>
      <c r="U32" s="60" t="n">
        <v>0.9</v>
      </c>
      <c r="V32" s="60" t="n">
        <v>0.9</v>
      </c>
    </row>
    <row r="33" customFormat="false" ht="12.75" hidden="false" customHeight="false" outlineLevel="0" collapsed="false">
      <c r="A33" s="24" t="s">
        <v>57</v>
      </c>
      <c r="B33" s="61"/>
      <c r="C33" s="62" t="n">
        <f aca="false">$G$21*C32</f>
        <v>1.443204</v>
      </c>
      <c r="D33" s="62" t="n">
        <f aca="false">$G$21*D32</f>
        <v>1.443204</v>
      </c>
      <c r="E33" s="62" t="n">
        <f aca="false">$G$21*E32</f>
        <v>1.443204</v>
      </c>
      <c r="F33" s="62" t="n">
        <f aca="false">$G$21*F32</f>
        <v>1.443204</v>
      </c>
      <c r="G33" s="62" t="n">
        <f aca="false">$G$21*G32</f>
        <v>1.443204</v>
      </c>
      <c r="H33" s="62" t="n">
        <f aca="false">$G$21*H32</f>
        <v>1.443204</v>
      </c>
      <c r="I33" s="62" t="n">
        <f aca="false">$G$21*I32</f>
        <v>1.443204</v>
      </c>
      <c r="J33" s="62" t="n">
        <f aca="false">$G$21*J32</f>
        <v>1.443204</v>
      </c>
      <c r="K33" s="62" t="n">
        <f aca="false">$G$21*K32</f>
        <v>1.443204</v>
      </c>
      <c r="L33" s="62" t="n">
        <f aca="false">$G$21*L32</f>
        <v>1.443204</v>
      </c>
      <c r="M33" s="62" t="n">
        <f aca="false">$G$21*M32</f>
        <v>1.443204</v>
      </c>
      <c r="N33" s="62" t="n">
        <f aca="false">$G$21*N32</f>
        <v>1.443204</v>
      </c>
      <c r="O33" s="62" t="n">
        <f aca="false">$G$21*O32</f>
        <v>1.443204</v>
      </c>
      <c r="P33" s="62" t="n">
        <f aca="false">$G$21*P32</f>
        <v>1.443204</v>
      </c>
      <c r="Q33" s="62" t="n">
        <f aca="false">$G$21*Q32</f>
        <v>1.443204</v>
      </c>
      <c r="R33" s="62" t="n">
        <f aca="false">$G$21*R32</f>
        <v>1.443204</v>
      </c>
      <c r="S33" s="62" t="n">
        <f aca="false">$G$21*S32</f>
        <v>1.443204</v>
      </c>
      <c r="T33" s="62" t="n">
        <f aca="false">$G$21*T32</f>
        <v>1.443204</v>
      </c>
      <c r="U33" s="62" t="n">
        <f aca="false">$G$21*U32</f>
        <v>1.443204</v>
      </c>
      <c r="V33" s="62" t="n">
        <f aca="false">$G$21*V32</f>
        <v>1.443204</v>
      </c>
    </row>
    <row r="34" customFormat="false" ht="12.75" hidden="false" customHeight="false" outlineLevel="0" collapsed="false">
      <c r="A34" s="24" t="s">
        <v>58</v>
      </c>
      <c r="B34" s="61"/>
      <c r="C34" s="62" t="n">
        <v>0</v>
      </c>
      <c r="D34" s="62" t="n">
        <v>0</v>
      </c>
      <c r="E34" s="62" t="n">
        <v>0</v>
      </c>
      <c r="F34" s="62" t="n">
        <v>0</v>
      </c>
      <c r="G34" s="62" t="n">
        <v>0</v>
      </c>
      <c r="H34" s="62" t="n">
        <v>0</v>
      </c>
      <c r="I34" s="62" t="n">
        <v>0</v>
      </c>
      <c r="J34" s="62" t="n">
        <v>0</v>
      </c>
      <c r="K34" s="62" t="n">
        <v>0</v>
      </c>
      <c r="L34" s="62" t="n">
        <v>0</v>
      </c>
      <c r="M34" s="62" t="n">
        <v>0</v>
      </c>
      <c r="N34" s="62" t="n">
        <v>0</v>
      </c>
      <c r="O34" s="62" t="n">
        <v>0</v>
      </c>
      <c r="P34" s="62" t="n">
        <v>0</v>
      </c>
      <c r="Q34" s="62" t="n">
        <v>0</v>
      </c>
      <c r="R34" s="62" t="n">
        <v>0</v>
      </c>
      <c r="S34" s="62" t="n">
        <v>0</v>
      </c>
      <c r="T34" s="62" t="n">
        <v>0</v>
      </c>
      <c r="U34" s="62" t="n">
        <v>0</v>
      </c>
      <c r="V34" s="62" t="n">
        <v>0</v>
      </c>
    </row>
    <row r="35" customFormat="false" ht="12.75" hidden="false" customHeight="false" outlineLevel="0" collapsed="false">
      <c r="A35" s="24" t="s">
        <v>59</v>
      </c>
      <c r="B35" s="52"/>
      <c r="C35" s="63" t="n">
        <v>2.97664454568712</v>
      </c>
      <c r="D35" s="64" t="n">
        <v>3.04113151850403</v>
      </c>
      <c r="E35" s="65" t="n">
        <v>2.69640344028852</v>
      </c>
      <c r="F35" s="65" t="n">
        <v>2.9781917116109</v>
      </c>
      <c r="G35" s="65" t="n">
        <v>3.48467203526386</v>
      </c>
      <c r="H35" s="65" t="n">
        <v>3.43222530284295</v>
      </c>
      <c r="I35" s="65" t="n">
        <v>3.12588305820205</v>
      </c>
      <c r="J35" s="65" t="n">
        <v>3.35031902573249</v>
      </c>
      <c r="K35" s="65" t="n">
        <v>4.05701285308472</v>
      </c>
      <c r="L35" s="65" t="n">
        <v>3.89474918381681</v>
      </c>
      <c r="M35" s="65" t="n">
        <v>3.41961858585168</v>
      </c>
      <c r="N35" s="65" t="n">
        <v>3.83845882059172</v>
      </c>
      <c r="O35" s="65" t="n">
        <v>3.92662826751271</v>
      </c>
      <c r="P35" s="65" t="n">
        <v>3.72851262648367</v>
      </c>
      <c r="Q35" s="65" t="n">
        <v>4.7222420014505</v>
      </c>
      <c r="R35" s="65" t="n">
        <v>3.74470824221421</v>
      </c>
      <c r="S35" s="65" t="n">
        <v>4.20873989983017</v>
      </c>
      <c r="T35" s="65" t="n">
        <v>4.88454543738673</v>
      </c>
      <c r="U35" s="65" t="n">
        <v>4.33378260297282</v>
      </c>
      <c r="V35" s="65" t="n">
        <v>4.53156116587336</v>
      </c>
    </row>
    <row r="36" customFormat="false" ht="12.75" hidden="false" customHeight="false" outlineLevel="0" collapsed="false">
      <c r="A36" s="52"/>
      <c r="B36" s="66"/>
      <c r="C36" s="67"/>
      <c r="D36" s="68"/>
    </row>
    <row r="37" customFormat="false" ht="12.75" hidden="false" customHeight="false" outlineLevel="0" collapsed="false">
      <c r="A37" s="24" t="s">
        <v>60</v>
      </c>
      <c r="B37" s="66"/>
      <c r="C37" s="69"/>
      <c r="D37" s="68"/>
    </row>
    <row r="38" customFormat="false" ht="12.75" hidden="false" customHeight="false" outlineLevel="0" collapsed="false">
      <c r="A38" s="24" t="s">
        <v>61</v>
      </c>
      <c r="B38" s="66"/>
      <c r="C38" s="70" t="n">
        <v>725</v>
      </c>
      <c r="D38" s="71" t="n">
        <f aca="false">+C38*$B$24</f>
        <v>746.75</v>
      </c>
      <c r="E38" s="71" t="n">
        <f aca="false">+D38*$B$24</f>
        <v>769.1525</v>
      </c>
      <c r="F38" s="71" t="n">
        <f aca="false">+E38*$B$24</f>
        <v>792.227075</v>
      </c>
      <c r="G38" s="71" t="n">
        <f aca="false">+F38*$B$24</f>
        <v>815.99388725</v>
      </c>
    </row>
    <row r="39" customFormat="false" ht="12.75" hidden="false" customHeight="false" outlineLevel="0" collapsed="false">
      <c r="A39" s="24" t="s">
        <v>62</v>
      </c>
      <c r="B39" s="28" t="n">
        <v>1</v>
      </c>
      <c r="C39" s="71" t="n">
        <f aca="false">(D21*0.05)+(B22*0.6)</f>
        <v>755.6</v>
      </c>
      <c r="D39" s="71" t="n">
        <f aca="false">+C39*$B$24</f>
        <v>778.268</v>
      </c>
      <c r="E39" s="72" t="n">
        <f aca="false">+D39*$B$24</f>
        <v>801.61604</v>
      </c>
      <c r="F39" s="72" t="n">
        <f aca="false">+E39*$B$24</f>
        <v>825.6645212</v>
      </c>
      <c r="G39" s="72" t="n">
        <f aca="false">+F39*$B$24</f>
        <v>850.434456836</v>
      </c>
      <c r="H39" s="73" t="n">
        <f aca="false">SUM(B39:G39)</f>
        <v>4012.583018036</v>
      </c>
    </row>
    <row r="40" customFormat="false" ht="12.75" hidden="false" customHeight="false" outlineLevel="0" collapsed="false">
      <c r="A40" s="24" t="s">
        <v>63</v>
      </c>
      <c r="B40" s="74" t="s">
        <v>64</v>
      </c>
      <c r="C40" s="75" t="n">
        <f aca="false">IF($B$40="Tracker",0,((+C33+C34)*C35*365)+(#REF!*#REF!*365*C32))</f>
        <v>0</v>
      </c>
      <c r="D40" s="75" t="n">
        <f aca="false">IF($B$40="Tracker",0,((+D33+D34)*D35*365)+(#REF!*#REF!*365*D32))</f>
        <v>0</v>
      </c>
      <c r="E40" s="75" t="n">
        <f aca="false">IF($B$40="Tracker",0,((+E33+E34)*E35*365)+(#REF!*#REF!*365*E32))</f>
        <v>0</v>
      </c>
      <c r="F40" s="75" t="n">
        <f aca="false">IF($B$40="Tracker",0,((+F33+F34)*F35*365)+(#REF!*#REF!*365*F32))</f>
        <v>0</v>
      </c>
      <c r="G40" s="75" t="n">
        <f aca="false">IF($B$40="Tracker",0,((+G33+G34)*G35*365)+(#REF!*#REF!*365*G32))</f>
        <v>0</v>
      </c>
      <c r="H40" s="73" t="n">
        <f aca="false">SUM(B40:G40)</f>
        <v>0</v>
      </c>
    </row>
    <row r="41" customFormat="false" ht="12.75" hidden="false" customHeight="false" outlineLevel="0" collapsed="false">
      <c r="A41" s="24" t="s">
        <v>65</v>
      </c>
      <c r="C41" s="76" t="n">
        <f aca="false">DCF!C11*B27</f>
        <v>2605.48398</v>
      </c>
      <c r="D41" s="77" t="n">
        <f aca="false">+C41*$B$24</f>
        <v>2683.6484994</v>
      </c>
      <c r="E41" s="78" t="n">
        <f aca="false">+D41*$B$24</f>
        <v>2764.157954382</v>
      </c>
      <c r="F41" s="78" t="n">
        <f aca="false">+E41*$B$24</f>
        <v>2847.08269301346</v>
      </c>
      <c r="G41" s="78" t="n">
        <f aca="false">+F41*$B$24</f>
        <v>2932.49517380386</v>
      </c>
      <c r="H41" s="73" t="n">
        <f aca="false">SUM(C41:G41)</f>
        <v>13832.8683005993</v>
      </c>
    </row>
    <row r="42" customFormat="false" ht="12.75" hidden="false" customHeight="false" outlineLevel="0" collapsed="false">
      <c r="A42" s="52"/>
      <c r="C42" s="67"/>
      <c r="D42" s="68"/>
    </row>
    <row r="43" customFormat="false" ht="12.75" hidden="false" customHeight="false" outlineLevel="0" collapsed="false">
      <c r="A43" s="52"/>
      <c r="C43" s="67"/>
      <c r="D43" s="68"/>
    </row>
    <row r="44" customFormat="false" ht="12.75" hidden="false" customHeight="false" outlineLevel="0" collapsed="false">
      <c r="A44" s="52" t="s">
        <v>66</v>
      </c>
      <c r="B44" s="74" t="n">
        <f aca="false">+B7</f>
        <v>15</v>
      </c>
      <c r="C44" s="67"/>
      <c r="D44" s="68"/>
    </row>
    <row r="45" customFormat="false" ht="12.75" hidden="false" customHeight="false" outlineLevel="0" collapsed="false">
      <c r="A45" s="24" t="s">
        <v>67</v>
      </c>
      <c r="B45" s="79" t="n">
        <v>0.33333</v>
      </c>
      <c r="C45" s="79" t="n">
        <v>0.4445</v>
      </c>
      <c r="D45" s="79" t="n">
        <v>0.1481</v>
      </c>
      <c r="E45" s="79" t="n">
        <v>0.0741</v>
      </c>
      <c r="F45" s="79" t="n">
        <v>0</v>
      </c>
      <c r="G45" s="80"/>
      <c r="H45" s="80"/>
      <c r="I45" s="80"/>
      <c r="J45" s="80"/>
      <c r="K45" s="80"/>
      <c r="L45" s="80"/>
      <c r="M45" s="80"/>
      <c r="N45" s="80"/>
      <c r="O45" s="80"/>
      <c r="P45" s="80"/>
    </row>
    <row r="46" customFormat="false" ht="12.75" hidden="false" customHeight="false" outlineLevel="0" collapsed="false">
      <c r="A46" s="24" t="s">
        <v>68</v>
      </c>
      <c r="B46" s="79" t="n">
        <v>0.2</v>
      </c>
      <c r="C46" s="79" t="n">
        <v>0.32</v>
      </c>
      <c r="D46" s="79" t="n">
        <v>0.192</v>
      </c>
      <c r="E46" s="79" t="n">
        <v>0.1152</v>
      </c>
      <c r="F46" s="79" t="n">
        <v>0.1152</v>
      </c>
      <c r="G46" s="80" t="n">
        <v>0.0576</v>
      </c>
      <c r="H46" s="80"/>
      <c r="I46" s="80"/>
      <c r="J46" s="80"/>
      <c r="K46" s="80"/>
      <c r="L46" s="80"/>
      <c r="M46" s="80"/>
      <c r="N46" s="80"/>
      <c r="O46" s="80"/>
      <c r="P46" s="80"/>
    </row>
    <row r="47" customFormat="false" ht="12.75" hidden="false" customHeight="false" outlineLevel="0" collapsed="false">
      <c r="A47" s="24" t="s">
        <v>69</v>
      </c>
      <c r="B47" s="79" t="n">
        <v>0.1429</v>
      </c>
      <c r="C47" s="81" t="n">
        <v>0.2449</v>
      </c>
      <c r="D47" s="80" t="n">
        <v>0.1749</v>
      </c>
      <c r="E47" s="80" t="n">
        <v>0.1249</v>
      </c>
      <c r="F47" s="80" t="n">
        <v>0.0893</v>
      </c>
      <c r="G47" s="80" t="n">
        <v>0.0892</v>
      </c>
      <c r="H47" s="80" t="n">
        <v>0.0893</v>
      </c>
      <c r="I47" s="80" t="n">
        <v>0.0446</v>
      </c>
      <c r="J47" s="80"/>
      <c r="K47" s="80"/>
      <c r="L47" s="80"/>
      <c r="M47" s="80"/>
      <c r="N47" s="80"/>
      <c r="O47" s="80"/>
      <c r="P47" s="80"/>
    </row>
    <row r="48" customFormat="false" ht="12.75" hidden="false" customHeight="false" outlineLevel="0" collapsed="false">
      <c r="A48" s="24" t="s">
        <v>70</v>
      </c>
      <c r="B48" s="79" t="n">
        <v>0.05</v>
      </c>
      <c r="C48" s="81" t="n">
        <v>0.095</v>
      </c>
      <c r="D48" s="80" t="n">
        <v>0.0855</v>
      </c>
      <c r="E48" s="80" t="n">
        <v>0.077</v>
      </c>
      <c r="F48" s="80" t="n">
        <v>0.0693</v>
      </c>
      <c r="G48" s="80" t="n">
        <v>0.0623</v>
      </c>
      <c r="H48" s="80" t="n">
        <v>0.059</v>
      </c>
      <c r="I48" s="80" t="n">
        <v>0.059</v>
      </c>
      <c r="J48" s="80" t="n">
        <v>0.0591</v>
      </c>
      <c r="K48" s="80" t="n">
        <v>0.059</v>
      </c>
      <c r="L48" s="80" t="n">
        <v>0.0591</v>
      </c>
      <c r="M48" s="80" t="n">
        <v>0.059</v>
      </c>
      <c r="N48" s="80" t="n">
        <v>0.0591</v>
      </c>
      <c r="O48" s="80" t="n">
        <v>0.059</v>
      </c>
      <c r="P48" s="80" t="n">
        <v>0.0591</v>
      </c>
      <c r="Q48" s="0" t="n">
        <v>0.0295</v>
      </c>
    </row>
    <row r="49" customFormat="false" ht="12.75" hidden="false" customHeight="false" outlineLevel="0" collapsed="false">
      <c r="A49" s="24"/>
      <c r="B49" s="52"/>
      <c r="C49" s="82"/>
      <c r="D49" s="68"/>
    </row>
    <row r="50" customFormat="false" ht="12.75" hidden="false" customHeight="false" outlineLevel="0" collapsed="false">
      <c r="B50" s="52"/>
      <c r="C50" s="83"/>
      <c r="D50" s="68"/>
    </row>
    <row r="51" customFormat="false" ht="12.75" hidden="false" customHeight="false" outlineLevel="0" collapsed="false">
      <c r="C51" s="68"/>
      <c r="D51" s="68"/>
    </row>
    <row r="52" customFormat="false" ht="12.75" hidden="false" customHeight="false" outlineLevel="0" collapsed="false">
      <c r="C52" s="68"/>
      <c r="D52" s="68"/>
    </row>
    <row r="53" customFormat="false" ht="12.75" hidden="false" customHeight="false" outlineLevel="0" collapsed="false">
      <c r="A53" s="14"/>
      <c r="B53" s="4"/>
      <c r="C53" s="14"/>
      <c r="D53" s="14"/>
      <c r="E53" s="14"/>
    </row>
    <row r="54" customFormat="false" ht="12.75" hidden="false" customHeight="false" outlineLevel="0" collapsed="false">
      <c r="A54" s="35"/>
      <c r="B54" s="20"/>
      <c r="C54" s="0"/>
      <c r="E54" s="20"/>
    </row>
    <row r="55" customFormat="false" ht="12.75" hidden="false" customHeight="false" outlineLevel="0" collapsed="false">
      <c r="A55" s="14"/>
      <c r="B55" s="20"/>
      <c r="C55" s="14"/>
      <c r="D55" s="14"/>
      <c r="E55" s="14"/>
    </row>
    <row r="56" customFormat="false" ht="12.75" hidden="false" customHeight="false" outlineLevel="0" collapsed="false">
      <c r="A56" s="14"/>
      <c r="B56" s="20"/>
      <c r="C56" s="14"/>
      <c r="D56" s="14"/>
      <c r="E56" s="14"/>
    </row>
    <row r="57" customFormat="false" ht="12.75" hidden="false" customHeight="false" outlineLevel="0" collapsed="false">
      <c r="C57" s="68"/>
      <c r="D57" s="68"/>
    </row>
    <row r="58" customFormat="false" ht="12.75" hidden="false" customHeight="false" outlineLevel="0" collapsed="false">
      <c r="C58" s="68"/>
      <c r="D58" s="68"/>
    </row>
    <row r="59" customFormat="false" ht="12.75" hidden="false" customHeight="false" outlineLevel="0" collapsed="false">
      <c r="C59" s="68"/>
      <c r="D59" s="68"/>
    </row>
    <row r="60" customFormat="false" ht="12.75" hidden="false" customHeight="false" outlineLevel="0" collapsed="false">
      <c r="C60" s="68"/>
      <c r="D60" s="68"/>
    </row>
    <row r="61" customFormat="false" ht="12.75" hidden="false" customHeight="false" outlineLevel="0" collapsed="false">
      <c r="C61" s="68"/>
      <c r="D61" s="68"/>
    </row>
    <row r="62" customFormat="false" ht="12.75" hidden="false" customHeight="false" outlineLevel="0" collapsed="false">
      <c r="C62" s="68"/>
      <c r="D62" s="68"/>
    </row>
    <row r="63" customFormat="false" ht="12.75" hidden="false" customHeight="false" outlineLevel="0" collapsed="false">
      <c r="C63" s="68"/>
      <c r="D63" s="68"/>
    </row>
    <row r="64" customFormat="false" ht="12.75" hidden="false" customHeight="false" outlineLevel="0" collapsed="false">
      <c r="C64" s="68"/>
      <c r="D64" s="68"/>
    </row>
    <row r="65" customFormat="false" ht="12.75" hidden="false" customHeight="false" outlineLevel="0" collapsed="false">
      <c r="C65" s="68"/>
      <c r="D65" s="68"/>
    </row>
    <row r="66" customFormat="false" ht="12.75" hidden="false" customHeight="false" outlineLevel="0" collapsed="false">
      <c r="C66" s="68"/>
      <c r="D66" s="68"/>
    </row>
    <row r="67" customFormat="false" ht="12.75" hidden="false" customHeight="false" outlineLevel="0" collapsed="false">
      <c r="C67" s="68"/>
      <c r="D67" s="68"/>
    </row>
    <row r="68" customFormat="false" ht="12.75" hidden="false" customHeight="false" outlineLevel="0" collapsed="false">
      <c r="C68" s="68"/>
      <c r="D68" s="68"/>
    </row>
    <row r="69" customFormat="false" ht="12.75" hidden="false" customHeight="false" outlineLevel="0" collapsed="false">
      <c r="C69" s="68"/>
      <c r="D69" s="68"/>
    </row>
    <row r="70" customFormat="false" ht="12.75" hidden="false" customHeight="false" outlineLevel="0" collapsed="false">
      <c r="C70" s="68"/>
      <c r="D70" s="68"/>
    </row>
    <row r="71" customFormat="false" ht="12.75" hidden="false" customHeight="false" outlineLevel="0" collapsed="false">
      <c r="C71" s="68"/>
      <c r="D71" s="68"/>
    </row>
    <row r="72" customFormat="false" ht="12.75" hidden="false" customHeight="false" outlineLevel="0" collapsed="false">
      <c r="C72" s="68"/>
      <c r="D72" s="68"/>
    </row>
    <row r="73" customFormat="false" ht="12.75" hidden="false" customHeight="false" outlineLevel="0" collapsed="false">
      <c r="C73" s="68"/>
      <c r="D73" s="68"/>
    </row>
    <row r="74" customFormat="false" ht="12.75" hidden="false" customHeight="false" outlineLevel="0" collapsed="false">
      <c r="C74" s="68"/>
      <c r="D74" s="68"/>
    </row>
    <row r="75" customFormat="false" ht="12.75" hidden="false" customHeight="false" outlineLevel="0" collapsed="false">
      <c r="C75" s="68"/>
      <c r="D75" s="68"/>
    </row>
    <row r="76" customFormat="false" ht="12.75" hidden="false" customHeight="false" outlineLevel="0" collapsed="false">
      <c r="C76" s="68"/>
      <c r="D76" s="68"/>
    </row>
    <row r="77" customFormat="false" ht="12.75" hidden="false" customHeight="false" outlineLevel="0" collapsed="false">
      <c r="C77" s="68"/>
      <c r="D77" s="68"/>
    </row>
    <row r="78" customFormat="false" ht="12.75" hidden="false" customHeight="false" outlineLevel="0" collapsed="false">
      <c r="C78" s="68"/>
      <c r="D78" s="68"/>
    </row>
    <row r="79" customFormat="false" ht="12.75" hidden="false" customHeight="false" outlineLevel="0" collapsed="false">
      <c r="C79" s="68"/>
      <c r="D79" s="68"/>
    </row>
    <row r="80" customFormat="false" ht="12.75" hidden="false" customHeight="false" outlineLevel="0" collapsed="false">
      <c r="C80" s="68"/>
      <c r="D80" s="68"/>
    </row>
    <row r="81" customFormat="false" ht="12.75" hidden="false" customHeight="false" outlineLevel="0" collapsed="false">
      <c r="C81" s="68"/>
      <c r="D81" s="68"/>
    </row>
    <row r="82" customFormat="false" ht="12.75" hidden="false" customHeight="false" outlineLevel="0" collapsed="false">
      <c r="C82" s="68"/>
      <c r="D82" s="68"/>
    </row>
    <row r="83" customFormat="false" ht="12.75" hidden="false" customHeight="false" outlineLevel="0" collapsed="false">
      <c r="C83" s="68"/>
      <c r="D83" s="68"/>
    </row>
    <row r="84" customFormat="false" ht="12.75" hidden="false" customHeight="false" outlineLevel="0" collapsed="false">
      <c r="C84" s="68"/>
      <c r="D84" s="68"/>
    </row>
    <row r="85" customFormat="false" ht="12.75" hidden="false" customHeight="false" outlineLevel="0" collapsed="false">
      <c r="C85" s="68"/>
      <c r="D85" s="68"/>
    </row>
    <row r="86" customFormat="false" ht="12.75" hidden="false" customHeight="false" outlineLevel="0" collapsed="false">
      <c r="C86" s="68"/>
      <c r="D86" s="68"/>
    </row>
    <row r="87" customFormat="false" ht="12.75" hidden="false" customHeight="false" outlineLevel="0" collapsed="false">
      <c r="C87" s="68"/>
      <c r="D87" s="68"/>
    </row>
    <row r="88" customFormat="false" ht="12.75" hidden="false" customHeight="false" outlineLevel="0" collapsed="false">
      <c r="C88" s="68"/>
      <c r="D88" s="68"/>
    </row>
    <row r="89" customFormat="false" ht="12.75" hidden="false" customHeight="false" outlineLevel="0" collapsed="false">
      <c r="C89" s="68"/>
      <c r="D89" s="68"/>
    </row>
    <row r="90" customFormat="false" ht="12.75" hidden="false" customHeight="false" outlineLevel="0" collapsed="false">
      <c r="C90" s="68"/>
      <c r="D90" s="68"/>
    </row>
    <row r="91" customFormat="false" ht="12.75" hidden="false" customHeight="false" outlineLevel="0" collapsed="false">
      <c r="C91" s="68"/>
      <c r="D91" s="68"/>
    </row>
    <row r="92" customFormat="false" ht="12.75" hidden="false" customHeight="false" outlineLevel="0" collapsed="false">
      <c r="C92" s="68"/>
      <c r="D92" s="68"/>
    </row>
    <row r="93" customFormat="false" ht="12.75" hidden="false" customHeight="false" outlineLevel="0" collapsed="false">
      <c r="C93" s="68"/>
      <c r="D93" s="68"/>
    </row>
    <row r="94" customFormat="false" ht="12.75" hidden="false" customHeight="false" outlineLevel="0" collapsed="false">
      <c r="C94" s="68"/>
      <c r="D94" s="68"/>
    </row>
    <row r="95" customFormat="false" ht="12.75" hidden="false" customHeight="false" outlineLevel="0" collapsed="false">
      <c r="C95" s="68"/>
      <c r="D95" s="68"/>
    </row>
    <row r="96" customFormat="false" ht="12.75" hidden="false" customHeight="false" outlineLevel="0" collapsed="false">
      <c r="C96" s="68"/>
      <c r="D96" s="68"/>
    </row>
    <row r="97" customFormat="false" ht="12.75" hidden="false" customHeight="false" outlineLevel="0" collapsed="false">
      <c r="C97" s="68"/>
      <c r="D97" s="68"/>
    </row>
    <row r="98" customFormat="false" ht="12.75" hidden="false" customHeight="false" outlineLevel="0" collapsed="false">
      <c r="C98" s="68"/>
      <c r="D98" s="68"/>
    </row>
    <row r="99" customFormat="false" ht="12.75" hidden="false" customHeight="false" outlineLevel="0" collapsed="false">
      <c r="C99" s="68"/>
      <c r="D99" s="68"/>
    </row>
    <row r="100" customFormat="false" ht="12.75" hidden="false" customHeight="false" outlineLevel="0" collapsed="false">
      <c r="C100" s="68"/>
      <c r="D100" s="68"/>
    </row>
    <row r="101" customFormat="false" ht="12.75" hidden="false" customHeight="false" outlineLevel="0" collapsed="false">
      <c r="C101" s="68"/>
      <c r="D101" s="68"/>
    </row>
    <row r="102" customFormat="false" ht="12.75" hidden="false" customHeight="false" outlineLevel="0" collapsed="false">
      <c r="C102" s="68"/>
      <c r="D102" s="68"/>
    </row>
    <row r="103" customFormat="false" ht="12.75" hidden="false" customHeight="false" outlineLevel="0" collapsed="false">
      <c r="C103" s="68"/>
      <c r="D103" s="68"/>
    </row>
    <row r="104" customFormat="false" ht="12.75" hidden="false" customHeight="false" outlineLevel="0" collapsed="false">
      <c r="C104" s="68"/>
      <c r="D104" s="68"/>
    </row>
    <row r="105" customFormat="false" ht="12.75" hidden="false" customHeight="false" outlineLevel="0" collapsed="false">
      <c r="C105" s="68"/>
      <c r="D105" s="68"/>
    </row>
    <row r="106" customFormat="false" ht="12.75" hidden="false" customHeight="false" outlineLevel="0" collapsed="false">
      <c r="C106" s="68"/>
      <c r="D106" s="68"/>
    </row>
    <row r="107" customFormat="false" ht="12.75" hidden="false" customHeight="false" outlineLevel="0" collapsed="false">
      <c r="C107" s="68"/>
      <c r="D107" s="68"/>
    </row>
    <row r="108" customFormat="false" ht="12.75" hidden="false" customHeight="false" outlineLevel="0" collapsed="false">
      <c r="C108" s="68"/>
      <c r="D108" s="68"/>
    </row>
    <row r="109" customFormat="false" ht="12.75" hidden="false" customHeight="false" outlineLevel="0" collapsed="false">
      <c r="C109" s="68"/>
      <c r="D109" s="68"/>
    </row>
    <row r="110" customFormat="false" ht="12.75" hidden="false" customHeight="false" outlineLevel="0" collapsed="false">
      <c r="C110" s="68"/>
      <c r="D110" s="68"/>
    </row>
    <row r="111" customFormat="false" ht="12.75" hidden="false" customHeight="false" outlineLevel="0" collapsed="false">
      <c r="C111" s="68"/>
      <c r="D111" s="68"/>
    </row>
    <row r="112" customFormat="false" ht="12.75" hidden="false" customHeight="false" outlineLevel="0" collapsed="false">
      <c r="C112" s="68"/>
      <c r="D112" s="68"/>
    </row>
    <row r="113" customFormat="false" ht="12.75" hidden="false" customHeight="false" outlineLevel="0" collapsed="false">
      <c r="C113" s="68"/>
      <c r="D113" s="68"/>
    </row>
    <row r="114" customFormat="false" ht="12.75" hidden="false" customHeight="false" outlineLevel="0" collapsed="false">
      <c r="C114" s="68"/>
      <c r="D114" s="68"/>
    </row>
    <row r="115" customFormat="false" ht="12.75" hidden="false" customHeight="false" outlineLevel="0" collapsed="false">
      <c r="C115" s="68"/>
      <c r="D115" s="68"/>
    </row>
    <row r="116" customFormat="false" ht="12.75" hidden="false" customHeight="false" outlineLevel="0" collapsed="false">
      <c r="C116" s="68"/>
      <c r="D116" s="68"/>
    </row>
    <row r="117" customFormat="false" ht="12.75" hidden="false" customHeight="false" outlineLevel="0" collapsed="false">
      <c r="C117" s="68"/>
      <c r="D117" s="68"/>
    </row>
    <row r="118" customFormat="false" ht="12.75" hidden="false" customHeight="false" outlineLevel="0" collapsed="false">
      <c r="C118" s="68"/>
      <c r="D118" s="68"/>
    </row>
    <row r="119" customFormat="false" ht="12.75" hidden="false" customHeight="false" outlineLevel="0" collapsed="false">
      <c r="C119" s="68"/>
      <c r="D119" s="68"/>
    </row>
    <row r="120" customFormat="false" ht="12.75" hidden="false" customHeight="false" outlineLevel="0" collapsed="false">
      <c r="C120" s="68"/>
      <c r="D120" s="68"/>
    </row>
    <row r="121" customFormat="false" ht="12.75" hidden="false" customHeight="false" outlineLevel="0" collapsed="false">
      <c r="C121" s="68"/>
      <c r="D121" s="68"/>
    </row>
    <row r="122" customFormat="false" ht="12.75" hidden="false" customHeight="false" outlineLevel="0" collapsed="false">
      <c r="C122" s="68"/>
      <c r="D122" s="68"/>
    </row>
    <row r="123" customFormat="false" ht="12.75" hidden="false" customHeight="false" outlineLevel="0" collapsed="false">
      <c r="C123" s="68"/>
      <c r="D123" s="68"/>
    </row>
    <row r="124" customFormat="false" ht="12.75" hidden="false" customHeight="false" outlineLevel="0" collapsed="false">
      <c r="C124" s="68"/>
      <c r="D124" s="68"/>
    </row>
    <row r="125" customFormat="false" ht="12.75" hidden="false" customHeight="false" outlineLevel="0" collapsed="false">
      <c r="C125" s="68"/>
      <c r="D125" s="68"/>
    </row>
    <row r="126" customFormat="false" ht="12.75" hidden="false" customHeight="false" outlineLevel="0" collapsed="false">
      <c r="C126" s="68"/>
      <c r="D126" s="68"/>
    </row>
    <row r="127" customFormat="false" ht="12.75" hidden="false" customHeight="false" outlineLevel="0" collapsed="false">
      <c r="C127" s="68"/>
      <c r="D127" s="68"/>
    </row>
    <row r="128" customFormat="false" ht="12.75" hidden="false" customHeight="false" outlineLevel="0" collapsed="false">
      <c r="C128" s="68"/>
      <c r="D128" s="68"/>
    </row>
    <row r="129" customFormat="false" ht="12.75" hidden="false" customHeight="false" outlineLevel="0" collapsed="false">
      <c r="C129" s="68"/>
      <c r="D129" s="68"/>
    </row>
    <row r="130" customFormat="false" ht="12.75" hidden="false" customHeight="false" outlineLevel="0" collapsed="false">
      <c r="C130" s="68"/>
      <c r="D130" s="68"/>
    </row>
    <row r="131" customFormat="false" ht="12.75" hidden="false" customHeight="false" outlineLevel="0" collapsed="false">
      <c r="C131" s="68"/>
      <c r="D131" s="68"/>
    </row>
    <row r="132" customFormat="false" ht="12.75" hidden="false" customHeight="false" outlineLevel="0" collapsed="false">
      <c r="C132" s="68"/>
      <c r="D132" s="68"/>
    </row>
    <row r="133" customFormat="false" ht="12.75" hidden="false" customHeight="false" outlineLevel="0" collapsed="false">
      <c r="C133" s="68"/>
      <c r="D133" s="68"/>
    </row>
    <row r="134" customFormat="false" ht="12.75" hidden="false" customHeight="false" outlineLevel="0" collapsed="false">
      <c r="C134" s="68"/>
      <c r="D134" s="68"/>
    </row>
    <row r="135" customFormat="false" ht="12.75" hidden="false" customHeight="false" outlineLevel="0" collapsed="false">
      <c r="C135" s="68"/>
      <c r="D135" s="68"/>
    </row>
    <row r="136" customFormat="false" ht="12.75" hidden="false" customHeight="false" outlineLevel="0" collapsed="false">
      <c r="C136" s="68"/>
      <c r="D136" s="68"/>
    </row>
    <row r="137" customFormat="false" ht="12.75" hidden="false" customHeight="false" outlineLevel="0" collapsed="false">
      <c r="C137" s="68"/>
      <c r="D137" s="68"/>
    </row>
    <row r="138" customFormat="false" ht="12.75" hidden="false" customHeight="false" outlineLevel="0" collapsed="false">
      <c r="C138" s="68"/>
      <c r="D138" s="68"/>
    </row>
    <row r="139" customFormat="false" ht="12.75" hidden="false" customHeight="false" outlineLevel="0" collapsed="false">
      <c r="C139" s="68"/>
      <c r="D139" s="68"/>
    </row>
    <row r="140" customFormat="false" ht="12.75" hidden="false" customHeight="false" outlineLevel="0" collapsed="false">
      <c r="C140" s="68"/>
      <c r="D140" s="68"/>
    </row>
    <row r="141" customFormat="false" ht="12.75" hidden="false" customHeight="false" outlineLevel="0" collapsed="false">
      <c r="C141" s="68"/>
      <c r="D141" s="68"/>
    </row>
    <row r="142" customFormat="false" ht="12.75" hidden="false" customHeight="false" outlineLevel="0" collapsed="false">
      <c r="C142" s="68"/>
      <c r="D142" s="68"/>
    </row>
    <row r="143" customFormat="false" ht="12.75" hidden="false" customHeight="false" outlineLevel="0" collapsed="false">
      <c r="C143" s="68"/>
      <c r="D143" s="68"/>
    </row>
    <row r="144" customFormat="false" ht="12.75" hidden="false" customHeight="false" outlineLevel="0" collapsed="false">
      <c r="C144" s="68"/>
      <c r="D144" s="68"/>
    </row>
    <row r="145" customFormat="false" ht="12.75" hidden="false" customHeight="false" outlineLevel="0" collapsed="false">
      <c r="C145" s="68"/>
      <c r="D145" s="68"/>
    </row>
    <row r="146" customFormat="false" ht="12.75" hidden="false" customHeight="false" outlineLevel="0" collapsed="false">
      <c r="C146" s="68"/>
      <c r="D146" s="68"/>
    </row>
    <row r="147" customFormat="false" ht="12.75" hidden="false" customHeight="false" outlineLevel="0" collapsed="false">
      <c r="C147" s="68"/>
      <c r="D147" s="68"/>
    </row>
    <row r="148" customFormat="false" ht="12.75" hidden="false" customHeight="false" outlineLevel="0" collapsed="false">
      <c r="C148" s="68"/>
      <c r="D148" s="68"/>
    </row>
    <row r="149" customFormat="false" ht="12.75" hidden="false" customHeight="false" outlineLevel="0" collapsed="false">
      <c r="C149" s="68"/>
      <c r="D149" s="68"/>
    </row>
    <row r="150" customFormat="false" ht="12.75" hidden="false" customHeight="false" outlineLevel="0" collapsed="false">
      <c r="C150" s="68"/>
      <c r="D150" s="68"/>
    </row>
    <row r="151" customFormat="false" ht="12.75" hidden="false" customHeight="false" outlineLevel="0" collapsed="false">
      <c r="C151" s="68"/>
      <c r="D151" s="68"/>
    </row>
    <row r="152" customFormat="false" ht="12.75" hidden="false" customHeight="false" outlineLevel="0" collapsed="false">
      <c r="C152" s="68"/>
      <c r="D152" s="68"/>
    </row>
    <row r="153" customFormat="false" ht="12.75" hidden="false" customHeight="false" outlineLevel="0" collapsed="false">
      <c r="C153" s="68"/>
      <c r="D153" s="68"/>
    </row>
    <row r="154" customFormat="false" ht="12.75" hidden="false" customHeight="false" outlineLevel="0" collapsed="false">
      <c r="C154" s="68"/>
      <c r="D154" s="68"/>
    </row>
    <row r="155" customFormat="false" ht="12.75" hidden="false" customHeight="false" outlineLevel="0" collapsed="false">
      <c r="C155" s="68"/>
      <c r="D155" s="68"/>
    </row>
  </sheetData>
  <mergeCells count="4">
    <mergeCell ref="A1:B1"/>
    <mergeCell ref="A2:B2"/>
    <mergeCell ref="A3:B3"/>
    <mergeCell ref="C29:Q29"/>
  </mergeCells>
  <printOptions headings="false" gridLines="false" gridLinesSet="true" horizontalCentered="false" verticalCentered="false"/>
  <pageMargins left="0.340277777777778" right="0.220138888888889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Z46"/>
  <sheetViews>
    <sheetView showFormulas="false" showGridLines="true" showRowColHeaders="true" showZeros="true" rightToLeft="false" tabSelected="false" showOutlineSymbols="true" defaultGridColor="true" view="normal" topLeftCell="A20" colorId="64" zoomScale="100" zoomScaleNormal="100" zoomScalePageLayoutView="100" workbookViewId="0">
      <selection pane="topLeft" activeCell="I38" activeCellId="0" sqref="I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8" width="14.41"/>
    <col collapsed="false" customWidth="true" hidden="false" outlineLevel="0" max="2" min="2" style="8" width="24.99"/>
    <col collapsed="false" customWidth="true" hidden="false" outlineLevel="0" max="3" min="3" style="0" width="10.71"/>
    <col collapsed="false" customWidth="true" hidden="false" outlineLevel="0" max="4" min="4" style="0" width="12.85"/>
    <col collapsed="false" customWidth="true" hidden="false" outlineLevel="0" max="10" min="5" style="0" width="10.28"/>
    <col collapsed="false" customWidth="true" hidden="false" outlineLevel="0" max="23" min="11" style="0" width="9.85"/>
    <col collapsed="false" customWidth="true" hidden="false" outlineLevel="0" max="24" min="24" style="0" width="13.41"/>
    <col collapsed="false" customWidth="true" hidden="false" outlineLevel="0" max="25" min="25" style="0" width="9.7"/>
  </cols>
  <sheetData>
    <row r="1" customFormat="false" ht="15" hidden="false" customHeight="true" outlineLevel="0" collapsed="false">
      <c r="A1" s="84" t="s">
        <v>71</v>
      </c>
      <c r="B1" s="84"/>
    </row>
    <row r="2" customFormat="false" ht="15" hidden="false" customHeight="true" outlineLevel="0" collapsed="false">
      <c r="A2" s="84"/>
      <c r="B2" s="84"/>
    </row>
    <row r="3" customFormat="false" ht="25.5" hidden="false" customHeight="true" outlineLevel="0" collapsed="false">
      <c r="A3" s="85"/>
      <c r="B3" s="85"/>
      <c r="C3" s="85"/>
      <c r="D3" s="2" t="n">
        <v>1</v>
      </c>
      <c r="E3" s="2" t="n">
        <v>2</v>
      </c>
      <c r="F3" s="2" t="n">
        <v>3</v>
      </c>
      <c r="G3" s="2" t="n">
        <v>4</v>
      </c>
      <c r="H3" s="2" t="n">
        <v>5</v>
      </c>
      <c r="I3" s="2" t="n">
        <v>6</v>
      </c>
      <c r="J3" s="2" t="n">
        <v>7</v>
      </c>
      <c r="K3" s="2" t="n">
        <v>8</v>
      </c>
      <c r="L3" s="2" t="n">
        <v>9</v>
      </c>
      <c r="M3" s="2" t="n">
        <v>10</v>
      </c>
      <c r="N3" s="2" t="n">
        <v>11</v>
      </c>
      <c r="O3" s="2" t="n">
        <v>12</v>
      </c>
      <c r="P3" s="2" t="n">
        <v>13</v>
      </c>
      <c r="Q3" s="2" t="n">
        <v>14</v>
      </c>
      <c r="R3" s="2" t="n">
        <v>15</v>
      </c>
      <c r="S3" s="2" t="n">
        <v>16</v>
      </c>
      <c r="T3" s="2" t="n">
        <v>17</v>
      </c>
      <c r="U3" s="2" t="n">
        <v>18</v>
      </c>
      <c r="V3" s="2" t="n">
        <v>19</v>
      </c>
      <c r="W3" s="2" t="n">
        <v>20</v>
      </c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r="4" customFormat="false" ht="12.75" hidden="false" customHeight="false" outlineLevel="0" collapsed="false">
      <c r="B4" s="8" t="s">
        <v>72</v>
      </c>
      <c r="C4" s="86"/>
      <c r="D4" s="87" t="n">
        <f aca="false">+DCF!C11*assumptions!B25</f>
        <v>6513.70995</v>
      </c>
      <c r="E4" s="87" t="n">
        <f aca="false">+D4</f>
        <v>6513.70995</v>
      </c>
      <c r="F4" s="87" t="n">
        <f aca="false">+E4</f>
        <v>6513.70995</v>
      </c>
      <c r="G4" s="87" t="n">
        <f aca="false">+F4</f>
        <v>6513.70995</v>
      </c>
      <c r="H4" s="87" t="n">
        <f aca="false">+G4</f>
        <v>6513.70995</v>
      </c>
      <c r="I4" s="87" t="n">
        <f aca="false">+H4</f>
        <v>6513.70995</v>
      </c>
      <c r="J4" s="87" t="n">
        <f aca="false">+I4</f>
        <v>6513.70995</v>
      </c>
      <c r="K4" s="87" t="n">
        <f aca="false">+J4</f>
        <v>6513.70995</v>
      </c>
      <c r="L4" s="87" t="n">
        <f aca="false">+K4</f>
        <v>6513.70995</v>
      </c>
      <c r="M4" s="87" t="n">
        <f aca="false">+L4</f>
        <v>6513.70995</v>
      </c>
      <c r="N4" s="87" t="n">
        <f aca="false">+M4</f>
        <v>6513.70995</v>
      </c>
      <c r="O4" s="87" t="n">
        <f aca="false">+N4</f>
        <v>6513.70995</v>
      </c>
      <c r="P4" s="87" t="n">
        <f aca="false">+O4</f>
        <v>6513.70995</v>
      </c>
      <c r="Q4" s="87" t="n">
        <f aca="false">+P4</f>
        <v>6513.70995</v>
      </c>
      <c r="R4" s="87" t="n">
        <f aca="false">+Q4</f>
        <v>6513.70995</v>
      </c>
      <c r="S4" s="87" t="n">
        <f aca="false">+R4</f>
        <v>6513.70995</v>
      </c>
      <c r="T4" s="87" t="n">
        <f aca="false">+S4</f>
        <v>6513.70995</v>
      </c>
      <c r="U4" s="87" t="n">
        <f aca="false">+T4</f>
        <v>6513.70995</v>
      </c>
      <c r="V4" s="87" t="n">
        <f aca="false">+U4</f>
        <v>6513.70995</v>
      </c>
      <c r="W4" s="87" t="n">
        <f aca="false">+V4</f>
        <v>6513.70995</v>
      </c>
      <c r="X4" s="88" t="n">
        <f aca="false">SUM(D4:R4)</f>
        <v>97705.64925</v>
      </c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</row>
    <row r="5" customFormat="false" ht="13.5" hidden="false" customHeight="false" outlineLevel="0" collapsed="false">
      <c r="A5" s="89"/>
      <c r="B5" s="89"/>
      <c r="C5" s="90"/>
      <c r="D5" s="90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</row>
    <row r="6" customFormat="false" ht="12.75" hidden="false" customHeight="false" outlineLevel="0" collapsed="false">
      <c r="B6" s="92" t="s">
        <v>73</v>
      </c>
      <c r="D6" s="93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</row>
    <row r="7" customFormat="false" ht="12.75" hidden="false" customHeight="false" outlineLevel="0" collapsed="false">
      <c r="B7" s="8" t="s">
        <v>74</v>
      </c>
      <c r="C7" s="94"/>
      <c r="D7" s="95" t="n">
        <f aca="false">+DCF!C11</f>
        <v>130274.199</v>
      </c>
      <c r="E7" s="94" t="n">
        <f aca="false">+D7</f>
        <v>130274.199</v>
      </c>
      <c r="F7" s="94" t="n">
        <f aca="false">+E7</f>
        <v>130274.199</v>
      </c>
      <c r="G7" s="94" t="n">
        <f aca="false">+F7</f>
        <v>130274.199</v>
      </c>
      <c r="H7" s="94" t="n">
        <f aca="false">+G7</f>
        <v>130274.199</v>
      </c>
      <c r="I7" s="94" t="n">
        <f aca="false">+H7</f>
        <v>130274.199</v>
      </c>
      <c r="J7" s="94" t="n">
        <f aca="false">+I7</f>
        <v>130274.199</v>
      </c>
      <c r="K7" s="94" t="n">
        <f aca="false">+J7</f>
        <v>130274.199</v>
      </c>
      <c r="L7" s="94" t="n">
        <f aca="false">+K7</f>
        <v>130274.199</v>
      </c>
      <c r="M7" s="94" t="n">
        <f aca="false">+L7</f>
        <v>130274.199</v>
      </c>
      <c r="N7" s="94" t="n">
        <f aca="false">+M7</f>
        <v>130274.199</v>
      </c>
      <c r="O7" s="94" t="n">
        <f aca="false">+N7</f>
        <v>130274.199</v>
      </c>
      <c r="P7" s="94" t="n">
        <f aca="false">+O7</f>
        <v>130274.199</v>
      </c>
      <c r="Q7" s="94" t="n">
        <f aca="false">+P7</f>
        <v>130274.199</v>
      </c>
      <c r="R7" s="94" t="n">
        <f aca="false">+Q7</f>
        <v>130274.199</v>
      </c>
      <c r="S7" s="94" t="n">
        <f aca="false">+R7</f>
        <v>130274.199</v>
      </c>
      <c r="T7" s="94" t="n">
        <f aca="false">+S7</f>
        <v>130274.199</v>
      </c>
      <c r="U7" s="94" t="n">
        <f aca="false">+T7</f>
        <v>130274.199</v>
      </c>
      <c r="V7" s="94" t="n">
        <f aca="false">+U7</f>
        <v>130274.199</v>
      </c>
      <c r="W7" s="94" t="n">
        <f aca="false">+V7</f>
        <v>130274.199</v>
      </c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</row>
    <row r="8" customFormat="false" ht="12.75" hidden="false" customHeight="false" outlineLevel="0" collapsed="false">
      <c r="B8" s="8" t="s">
        <v>75</v>
      </c>
      <c r="C8" s="94"/>
      <c r="D8" s="96" t="n">
        <f aca="false">0.0058*D7</f>
        <v>755.5903542</v>
      </c>
      <c r="E8" s="96" t="n">
        <f aca="false">0.0058*E7</f>
        <v>755.5903542</v>
      </c>
      <c r="F8" s="96" t="n">
        <f aca="false">0.0058*F7</f>
        <v>755.5903542</v>
      </c>
      <c r="G8" s="96" t="n">
        <f aca="false">0.0058*G7</f>
        <v>755.5903542</v>
      </c>
      <c r="H8" s="96" t="n">
        <f aca="false">0.0058*H7</f>
        <v>755.5903542</v>
      </c>
      <c r="I8" s="96" t="n">
        <f aca="false">0.0058*I7</f>
        <v>755.5903542</v>
      </c>
      <c r="J8" s="96" t="n">
        <f aca="false">0.0058*J7</f>
        <v>755.5903542</v>
      </c>
      <c r="K8" s="96" t="n">
        <f aca="false">0.0058*K7</f>
        <v>755.5903542</v>
      </c>
      <c r="L8" s="96" t="n">
        <f aca="false">0.0058*L7</f>
        <v>755.5903542</v>
      </c>
      <c r="M8" s="96" t="n">
        <f aca="false">0.0058*M7</f>
        <v>755.5903542</v>
      </c>
      <c r="N8" s="96" t="n">
        <f aca="false">0.0058*N7</f>
        <v>755.5903542</v>
      </c>
      <c r="O8" s="96" t="n">
        <f aca="false">0.0058*O7</f>
        <v>755.5903542</v>
      </c>
      <c r="P8" s="96" t="n">
        <f aca="false">0.0058*P7</f>
        <v>755.5903542</v>
      </c>
      <c r="Q8" s="96" t="n">
        <f aca="false">0.0058*Q7</f>
        <v>755.5903542</v>
      </c>
      <c r="R8" s="96" t="n">
        <f aca="false">0.0058*R7</f>
        <v>755.5903542</v>
      </c>
      <c r="S8" s="96" t="n">
        <f aca="false">0.0058*S7</f>
        <v>755.5903542</v>
      </c>
      <c r="T8" s="96" t="n">
        <f aca="false">0.0058*T7</f>
        <v>755.5903542</v>
      </c>
      <c r="U8" s="96" t="n">
        <f aca="false">0.0058*U7</f>
        <v>755.5903542</v>
      </c>
      <c r="V8" s="96" t="n">
        <f aca="false">0.0058*V7</f>
        <v>755.5903542</v>
      </c>
      <c r="W8" s="96" t="n">
        <f aca="false">0.0058*W7</f>
        <v>755.5903542</v>
      </c>
      <c r="X8" s="97"/>
      <c r="Y8" s="9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</row>
    <row r="9" customFormat="false" ht="12.75" hidden="false" customHeight="false" outlineLevel="0" collapsed="false">
      <c r="B9" s="8" t="s">
        <v>76</v>
      </c>
      <c r="C9" s="87"/>
      <c r="D9" s="87" t="n">
        <f aca="false">+D4/2</f>
        <v>3256.854975</v>
      </c>
      <c r="E9" s="97" t="n">
        <f aca="false">+D9+D4/2+E4/2</f>
        <v>9770.564925</v>
      </c>
      <c r="F9" s="97" t="n">
        <f aca="false">+E9+E4/2+F4/2</f>
        <v>16284.274875</v>
      </c>
      <c r="G9" s="97" t="n">
        <f aca="false">+F9+F4/2+G4/2</f>
        <v>22797.984825</v>
      </c>
      <c r="H9" s="97" t="n">
        <f aca="false">+G9+G4/2+H4/2</f>
        <v>29311.694775</v>
      </c>
      <c r="I9" s="97" t="n">
        <f aca="false">+H9+H4/2+I4/2</f>
        <v>35825.404725</v>
      </c>
      <c r="J9" s="97" t="n">
        <f aca="false">+I9+I4/2+J4/2</f>
        <v>42339.114675</v>
      </c>
      <c r="K9" s="97" t="n">
        <f aca="false">+J9+J4/2+K4/2</f>
        <v>48852.824625</v>
      </c>
      <c r="L9" s="97" t="n">
        <f aca="false">+K9+K4/2+L4/2</f>
        <v>55366.534575</v>
      </c>
      <c r="M9" s="97" t="n">
        <f aca="false">+L9+L4/2+M4/2</f>
        <v>61880.244525</v>
      </c>
      <c r="N9" s="97" t="n">
        <f aca="false">+M9+M4/2+N4/2</f>
        <v>68393.954475</v>
      </c>
      <c r="O9" s="97" t="n">
        <f aca="false">+N9+N4/2+O4/2</f>
        <v>74907.664425</v>
      </c>
      <c r="P9" s="97" t="n">
        <f aca="false">+O9+O4/2+P4/2</f>
        <v>81421.374375</v>
      </c>
      <c r="Q9" s="97" t="n">
        <f aca="false">+P9+P4/2+Q4/2</f>
        <v>87935.084325</v>
      </c>
      <c r="R9" s="97" t="n">
        <f aca="false">+Q9+Q4/2+R4/2</f>
        <v>94448.794275</v>
      </c>
      <c r="S9" s="97" t="n">
        <f aca="false">+R9+R4/2+S4/2</f>
        <v>100962.504225</v>
      </c>
      <c r="T9" s="97" t="n">
        <f aca="false">+S9+S4/2+T4/2</f>
        <v>107476.214175</v>
      </c>
      <c r="U9" s="97" t="n">
        <f aca="false">+T9+T4/2+U4/2</f>
        <v>113989.924125</v>
      </c>
      <c r="V9" s="97" t="n">
        <f aca="false">+U9+U4/2+V4/2</f>
        <v>120503.634075</v>
      </c>
      <c r="W9" s="97" t="n">
        <f aca="false">+V9+V4/2+W4/2</f>
        <v>127017.344025</v>
      </c>
      <c r="X9" s="87"/>
    </row>
    <row r="10" customFormat="false" ht="12.75" hidden="false" customHeight="false" outlineLevel="0" collapsed="false">
      <c r="B10" s="8" t="s">
        <v>77</v>
      </c>
      <c r="D10" s="87" t="n">
        <f aca="false">(+D7*0.05-D9)*0.3841</f>
        <v>1250.9579958975</v>
      </c>
      <c r="E10" s="87" t="n">
        <f aca="false">((E7*0.05+E7*0.095)-E9)*0.3841</f>
        <v>3502.682388513</v>
      </c>
      <c r="F10" s="87" t="n">
        <f aca="false">((F7*0.05+F7*0.095+F7*0.0855)-F9)*0.3841</f>
        <v>5279.04274268745</v>
      </c>
      <c r="G10" s="87" t="n">
        <f aca="false">((G7*0.05+G7*0.095+G7*0.0855+G7*0.077)-G9)*0.3841</f>
        <v>6630.07737825675</v>
      </c>
      <c r="H10" s="87" t="n">
        <f aca="false">((H7*0.05+H7*0.095+H7*0.0855+H7*0.077+H7*0.0693)-H9)*0.3841</f>
        <v>7595.81695108962</v>
      </c>
      <c r="I10" s="87" t="n">
        <f aca="false">((I7*0.05+I7*0.095+I7*0.0855+I7*0.077+I7*0.0693+I7*0.0623)-I9)*0.3841</f>
        <v>8211.28828507119</v>
      </c>
      <c r="J10" s="87" t="n">
        <f aca="false">((J7*0.05+J7*0.095+J7*0.0855+J7*0.077+J7*0.0693+J7*0.0623+J7*0.059)-J9)*0.3841</f>
        <v>8661.63316359428</v>
      </c>
      <c r="K10" s="87" t="n">
        <f aca="false">((K7*0.05+K7*0.095+K7*0.0855+K7*0.077+K7*0.0693+K7*0.0623+K7*0.059+K7*0.059)-K9)*0.3841</f>
        <v>9111.97804211738</v>
      </c>
      <c r="L10" s="87" t="n">
        <f aca="false">((L7*0.05+L7*0.095+L7*0.0855+L7*0.077+L7*0.0693+L7*0.0623+L7*0.059+L7*0.059+L7*0.0591)-L9)*0.3841</f>
        <v>9567.32675262407</v>
      </c>
      <c r="M10" s="87" t="n">
        <f aca="false">((M7*0.05+M7*0.095+M7*0.0855+M7*0.077+M7*0.0693+M7*0.0623+M7*0.059+M7*0.059+M7*0.0591+M7*0.059)-M9)*0.3841</f>
        <v>10017.6716311472</v>
      </c>
      <c r="N10" s="87" t="n">
        <f aca="false">((N7*0.05+N7*0.095+N7*0.0855+N7*0.077+N7*0.0693+N7*0.0623+N7*0.059+N7*0.059+N7*0.0591+N7*0.059+N7*0.0591)-N9)*0.3841</f>
        <v>10473.0203416539</v>
      </c>
      <c r="O10" s="87" t="n">
        <f aca="false">((O7*0.05+O7*0.095+O7*0.0855+O7*0.077+O7*0.0693+O7*0.0623+O7*0.059+O7*0.059+O7*0.0591+O7*0.059+O7*0.0591+O7*0.059)-O9)*0.3841</f>
        <v>10923.365220177</v>
      </c>
      <c r="P10" s="87" t="n">
        <f aca="false">((P7*0.05+P7*0.095+P7*0.0855+P7*0.077+P7*0.0693+P7*0.0623+P7*0.059+P7*0.059+P7*0.0591+P7*0.059+P7*0.0591+P7*0.059+P7*0.0591)-P9)*0.3841</f>
        <v>11378.7139306837</v>
      </c>
      <c r="Q10" s="87" t="n">
        <f aca="false">((Q7*0.05+Q7*0.095+Q7*0.0855+Q7*0.077+Q7*0.0693+Q7*0.0623+Q7*0.059+Q7*0.059+Q7*0.0591+Q7*0.059+Q7*0.059+Q7*0.0591+Q7*0.059+Q7*0.0591)-Q9)*0.3841</f>
        <v>11829.0588092068</v>
      </c>
      <c r="R10" s="87" t="n">
        <f aca="false">((R7*0.05+R7*0.095+R7*0.0855+R7*0.077+R7*0.0693+R7*0.0623+R7*0.059+R7*0.059+R7*0.0591+R7*0.059+R7*0.059+R7*0.0591+R7*0.059+R7*0.0591+R7*0.0295)-R9)*0.3841</f>
        <v>10803.2732525708</v>
      </c>
      <c r="S10" s="87" t="n">
        <f aca="false">((S7*0.05+S7*0.095+S7*0.0855+S7*0.077+S7*0.0693+S7*0.0623+S7*0.059+S7*0.059+S7*0.0591+S7*0.059+S7*0.059+S7*0.0591+S7*0.059+S7*0.0591+S7*0.0295)-S9)*0.3841</f>
        <v>8301.35726077582</v>
      </c>
      <c r="T10" s="87" t="n">
        <f aca="false">((T7*0.05+T7*0.095+T7*0.0855+T7*0.077+T7*0.0693+T7*0.0623+T7*0.059+T7*0.059+T7*0.0591+T7*0.059+T7*0.059+T7*0.0591+T7*0.059+T7*0.0591+T7*0.0295)-T9)*0.3841</f>
        <v>5799.44126898083</v>
      </c>
      <c r="U10" s="87" t="n">
        <f aca="false">((U7*0.05+U7*0.095+U7*0.0855+U7*0.077+U7*0.0693+U7*0.0623+U7*0.059+U7*0.059+U7*0.0591+U7*0.059+U7*0.059+U7*0.0591+U7*0.059+U7*0.0591+U7*0.0295)-U9)*0.3841</f>
        <v>3297.52527718583</v>
      </c>
      <c r="V10" s="87" t="n">
        <f aca="false">((V7*0.05+V7*0.095+V7*0.0855+V7*0.077+V7*0.0693+V7*0.0623+V7*0.059+V7*0.059+V7*0.0591+V7*0.059+V7*0.059+V7*0.0591+V7*0.059+V7*0.0591+V7*0.0295)-V9)*0.3841</f>
        <v>795.609285390836</v>
      </c>
      <c r="W10" s="87" t="n">
        <f aca="false">((W7*0.05+W7*0.095+W7*0.0855+W7*0.077+W7*0.0693+W7*0.0623+W7*0.059+W7*0.059+W7*0.0591+W7*0.059+W7*0.059+W7*0.0591+W7*0.059+W7*0.0591+W7*0.0295)-W9)*0.3841</f>
        <v>-1706.30670640416</v>
      </c>
    </row>
    <row r="11" customFormat="false" ht="13.5" hidden="false" customHeight="false" outlineLevel="0" collapsed="false">
      <c r="B11" s="8" t="s">
        <v>78</v>
      </c>
      <c r="D11" s="98" t="n">
        <f aca="false">+D7+D8-D9-D10</f>
        <v>126521.976383303</v>
      </c>
      <c r="E11" s="98" t="n">
        <f aca="false">+E7+E8-E9-E10</f>
        <v>117756.542040687</v>
      </c>
      <c r="F11" s="98" t="n">
        <f aca="false">+F7+F8-F9-F10</f>
        <v>109466.471736513</v>
      </c>
      <c r="G11" s="98" t="n">
        <f aca="false">+G7+G8-G9-G10</f>
        <v>101601.727150943</v>
      </c>
      <c r="H11" s="98" t="n">
        <f aca="false">+H7+H8-H9-H10</f>
        <v>94122.2776281104</v>
      </c>
      <c r="I11" s="98" t="n">
        <f aca="false">+I7+I8-I9-I10</f>
        <v>86993.0963441288</v>
      </c>
      <c r="J11" s="98" t="n">
        <f aca="false">+J7+J8-J9-J10</f>
        <v>80029.0415156057</v>
      </c>
      <c r="K11" s="98" t="n">
        <f aca="false">+K7+K8-K9-K10</f>
        <v>73064.9866870826</v>
      </c>
      <c r="L11" s="98" t="n">
        <f aca="false">+L7+L8-L9-L10</f>
        <v>66095.9280265759</v>
      </c>
      <c r="M11" s="98" t="n">
        <f aca="false">+M7+M8-M9-M10</f>
        <v>59131.8731980528</v>
      </c>
      <c r="N11" s="98" t="n">
        <f aca="false">+N7+N8-N9-N10</f>
        <v>52162.8145375461</v>
      </c>
      <c r="O11" s="98" t="n">
        <f aca="false">+O7+O8-O9-O10</f>
        <v>45198.759709023</v>
      </c>
      <c r="P11" s="98" t="n">
        <f aca="false">+P7+P8-P9-P10</f>
        <v>38229.7010485163</v>
      </c>
      <c r="Q11" s="98" t="n">
        <f aca="false">+Q7+Q8-Q9-Q10</f>
        <v>31265.6462199932</v>
      </c>
      <c r="R11" s="98" t="n">
        <f aca="false">+R7+R8-R9-R10</f>
        <v>25777.7218266292</v>
      </c>
      <c r="S11" s="98" t="n">
        <f aca="false">+S7+S8-S9-S10</f>
        <v>21765.9278684242</v>
      </c>
      <c r="T11" s="98" t="n">
        <f aca="false">+T7+T8-T9-T10</f>
        <v>17754.1339102192</v>
      </c>
      <c r="U11" s="98" t="n">
        <f aca="false">+U7+U8-U9-U10</f>
        <v>13742.3399520142</v>
      </c>
      <c r="V11" s="98" t="n">
        <f aca="false">+V7+V8-V9-V10</f>
        <v>9730.54599380922</v>
      </c>
      <c r="W11" s="98" t="n">
        <f aca="false">+W7+W8-W9-W10</f>
        <v>5718.75203560423</v>
      </c>
    </row>
    <row r="12" customFormat="false" ht="13.5" hidden="false" customHeight="false" outlineLevel="0" collapsed="false"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</row>
    <row r="13" customFormat="false" ht="12.75" hidden="false" customHeight="false" outlineLevel="0" collapsed="false">
      <c r="B13" s="8" t="s">
        <v>79</v>
      </c>
      <c r="C13" s="100" t="n">
        <f aca="false">+loan!B19/loan!D19</f>
        <v>0.6</v>
      </c>
      <c r="D13" s="101"/>
      <c r="E13" s="101"/>
    </row>
    <row r="14" customFormat="false" ht="12.75" hidden="false" customHeight="false" outlineLevel="0" collapsed="false">
      <c r="B14" s="8" t="s">
        <v>80</v>
      </c>
      <c r="D14" s="73" t="n">
        <f aca="false">+C15-D15</f>
        <v>7510.5941755878</v>
      </c>
      <c r="E14" s="73" t="n">
        <f aca="false">+D15-E15</f>
        <v>4974.04218250467</v>
      </c>
      <c r="F14" s="73" t="n">
        <f aca="false">+E15-F15</f>
        <v>4718.84675134159</v>
      </c>
      <c r="G14" s="73" t="n">
        <f aca="false">+F15-G15</f>
        <v>4487.6697136997</v>
      </c>
      <c r="H14" s="73" t="n">
        <f aca="false">+G15-H15</f>
        <v>4277.50877038896</v>
      </c>
      <c r="I14" s="73" t="n">
        <f aca="false">+H15-I15</f>
        <v>4178.43289711385</v>
      </c>
      <c r="J14" s="73" t="n">
        <f aca="false">+I15-J15</f>
        <v>4178.43289711387</v>
      </c>
      <c r="K14" s="73" t="n">
        <f aca="false">+J15-K15</f>
        <v>4181.435196304</v>
      </c>
      <c r="L14" s="73" t="n">
        <f aca="false">+K15-L15</f>
        <v>4178.43289711388</v>
      </c>
      <c r="M14" s="73" t="n">
        <f aca="false">+L15-M15</f>
        <v>4181.43519630401</v>
      </c>
      <c r="N14" s="73" t="n">
        <f aca="false">+M15-N15</f>
        <v>4178.43289711386</v>
      </c>
      <c r="O14" s="73" t="n">
        <f aca="false">+N15-O15</f>
        <v>4181.43519630401</v>
      </c>
      <c r="P14" s="73" t="n">
        <f aca="false">+O15-P15</f>
        <v>4178.43289711386</v>
      </c>
      <c r="Q14" s="73" t="n">
        <f aca="false">+P15-Q15</f>
        <v>3292.75463601843</v>
      </c>
      <c r="R14" s="73" t="n">
        <f aca="false">+Q15-R15</f>
        <v>2407.076374923</v>
      </c>
      <c r="S14" s="73" t="n">
        <f aca="false">+R15-S15</f>
        <v>2407.076374923</v>
      </c>
      <c r="T14" s="73" t="n">
        <f aca="false">+S15-T15</f>
        <v>2407.076374923</v>
      </c>
      <c r="U14" s="73" t="n">
        <f aca="false">+T15-U15</f>
        <v>2407.076374923</v>
      </c>
      <c r="V14" s="73" t="n">
        <f aca="false">+U15-V15</f>
        <v>2407.076374923</v>
      </c>
      <c r="W14" s="73" t="n">
        <f aca="false">+V15-W15</f>
        <v>3431.25122136254</v>
      </c>
    </row>
    <row r="15" customFormat="false" ht="22.5" hidden="false" customHeight="true" outlineLevel="0" collapsed="false">
      <c r="A15" s="89"/>
      <c r="B15" s="89" t="s">
        <v>81</v>
      </c>
      <c r="C15" s="102" t="n">
        <f aca="false">+loan!B19</f>
        <v>78164.5194</v>
      </c>
      <c r="D15" s="102" t="n">
        <f aca="false">+E11*$C$13</f>
        <v>70653.9252244122</v>
      </c>
      <c r="E15" s="102" t="n">
        <f aca="false">+F11*$C$13</f>
        <v>65679.8830419075</v>
      </c>
      <c r="F15" s="102" t="n">
        <f aca="false">+G11*$C$13</f>
        <v>60961.0362905659</v>
      </c>
      <c r="G15" s="102" t="n">
        <f aca="false">+H11*$C$13</f>
        <v>56473.3665768662</v>
      </c>
      <c r="H15" s="102" t="n">
        <f aca="false">+I11*$C$13</f>
        <v>52195.8578064773</v>
      </c>
      <c r="I15" s="102" t="n">
        <f aca="false">+J11*$C$13</f>
        <v>48017.4249093634</v>
      </c>
      <c r="J15" s="102" t="n">
        <f aca="false">+K11*$C$13</f>
        <v>43838.9920122496</v>
      </c>
      <c r="K15" s="102" t="n">
        <f aca="false">+L11*$C$13</f>
        <v>39657.5568159456</v>
      </c>
      <c r="L15" s="102" t="n">
        <f aca="false">+M11*$C$13</f>
        <v>35479.1239188317</v>
      </c>
      <c r="M15" s="102" t="n">
        <f aca="false">+N11*$C$13</f>
        <v>31297.6887225277</v>
      </c>
      <c r="N15" s="102" t="n">
        <f aca="false">+O11*$C$13</f>
        <v>27119.2558254138</v>
      </c>
      <c r="O15" s="102" t="n">
        <f aca="false">+P11*$C$13</f>
        <v>22937.8206291098</v>
      </c>
      <c r="P15" s="102" t="n">
        <f aca="false">+Q11*$C$13</f>
        <v>18759.3877319959</v>
      </c>
      <c r="Q15" s="102" t="n">
        <f aca="false">+R11*$C$13</f>
        <v>15466.6330959775</v>
      </c>
      <c r="R15" s="102" t="n">
        <f aca="false">+S11*$C$13</f>
        <v>13059.5567210545</v>
      </c>
      <c r="S15" s="102" t="n">
        <f aca="false">+T11*$C$13</f>
        <v>10652.4803461315</v>
      </c>
      <c r="T15" s="102" t="n">
        <f aca="false">+U11*$C$13</f>
        <v>8245.40397120853</v>
      </c>
      <c r="U15" s="102" t="n">
        <f aca="false">+V11*$C$13</f>
        <v>5838.32759628553</v>
      </c>
      <c r="V15" s="102" t="n">
        <f aca="false">+W11*$C$13</f>
        <v>3431.25122136254</v>
      </c>
      <c r="W15" s="102" t="n">
        <f aca="false">+X11*$C$13</f>
        <v>0</v>
      </c>
    </row>
    <row r="16" customFormat="false" ht="12.75" hidden="false" customHeight="false" outlineLevel="0" collapsed="false">
      <c r="C16" s="87"/>
      <c r="D16" s="103"/>
      <c r="E16" s="104"/>
      <c r="F16" s="88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</row>
    <row r="17" customFormat="false" ht="12.75" hidden="false" customHeight="false" outlineLevel="0" collapsed="false">
      <c r="D17" s="65"/>
      <c r="E17" s="104"/>
    </row>
    <row r="18" customFormat="false" ht="15.75" hidden="false" customHeight="false" outlineLevel="0" collapsed="false">
      <c r="A18" s="105" t="s">
        <v>82</v>
      </c>
      <c r="B18" s="0"/>
      <c r="G18" s="87"/>
      <c r="H18" s="88"/>
    </row>
    <row r="19" customFormat="false" ht="15.75" hidden="false" customHeight="false" outlineLevel="0" collapsed="false">
      <c r="A19" s="106" t="s">
        <v>83</v>
      </c>
      <c r="B19" s="107" t="n">
        <f aca="false">+D22</f>
        <v>78164.5194</v>
      </c>
      <c r="C19" s="0" t="s">
        <v>84</v>
      </c>
      <c r="D19" s="73" t="n">
        <f aca="false">IF(DCF!D17="Y",+DCF!C11,0)</f>
        <v>130274.199</v>
      </c>
      <c r="E19" s="108" t="n">
        <v>1</v>
      </c>
      <c r="F19" s="73"/>
    </row>
    <row r="20" customFormat="false" ht="15.75" hidden="false" customHeight="false" outlineLevel="0" collapsed="false">
      <c r="A20" s="106" t="s">
        <v>85</v>
      </c>
      <c r="B20" s="109" t="n">
        <v>0.085</v>
      </c>
      <c r="C20" s="0" t="s">
        <v>86</v>
      </c>
      <c r="D20" s="110" t="n">
        <v>0</v>
      </c>
      <c r="F20" s="73"/>
      <c r="G20" s="87"/>
      <c r="J20" s="87"/>
    </row>
    <row r="21" customFormat="false" ht="15.75" hidden="false" customHeight="false" outlineLevel="0" collapsed="false">
      <c r="A21" s="106" t="s">
        <v>87</v>
      </c>
      <c r="B21" s="111" t="n">
        <f aca="false">+inputs!B14</f>
        <v>20</v>
      </c>
      <c r="C21" s="0" t="s">
        <v>31</v>
      </c>
      <c r="D21" s="73" t="n">
        <f aca="false">+D19*E21</f>
        <v>52109.6796</v>
      </c>
      <c r="E21" s="112" t="n">
        <f aca="false">+inputs!B12</f>
        <v>0.4</v>
      </c>
      <c r="F21" s="73"/>
      <c r="H21" s="87"/>
    </row>
    <row r="22" customFormat="false" ht="12.75" hidden="false" customHeight="false" outlineLevel="0" collapsed="false">
      <c r="A22" s="113" t="s">
        <v>88</v>
      </c>
      <c r="B22" s="114" t="n">
        <f aca="false">PMT(B20,B21,-B19)</f>
        <v>8259.72092520316</v>
      </c>
      <c r="C22" s="0" t="s">
        <v>89</v>
      </c>
      <c r="D22" s="73" t="n">
        <f aca="false">+D19-D21</f>
        <v>78164.5194</v>
      </c>
      <c r="E22" s="114"/>
      <c r="F22" s="114"/>
      <c r="G22" s="87"/>
      <c r="J22" s="87"/>
    </row>
    <row r="23" customFormat="false" ht="12.75" hidden="false" customHeight="false" outlineLevel="0" collapsed="false">
      <c r="A23" s="114"/>
      <c r="B23" s="114"/>
      <c r="C23" s="114"/>
      <c r="D23" s="114"/>
      <c r="E23" s="114"/>
      <c r="F23" s="114"/>
    </row>
    <row r="24" customFormat="false" ht="12.75" hidden="false" customHeight="false" outlineLevel="0" collapsed="false">
      <c r="A24" s="115" t="s">
        <v>90</v>
      </c>
      <c r="B24" s="115" t="s">
        <v>91</v>
      </c>
      <c r="C24" s="115" t="s">
        <v>83</v>
      </c>
      <c r="D24" s="115" t="s">
        <v>85</v>
      </c>
      <c r="E24" s="115" t="s">
        <v>92</v>
      </c>
      <c r="F24" s="115" t="s">
        <v>93</v>
      </c>
    </row>
    <row r="25" customFormat="false" ht="15.75" hidden="false" customHeight="false" outlineLevel="0" collapsed="false">
      <c r="A25" s="116"/>
      <c r="B25" s="117" t="s">
        <v>94</v>
      </c>
      <c r="C25" s="117" t="s">
        <v>95</v>
      </c>
      <c r="D25" s="117" t="s">
        <v>95</v>
      </c>
      <c r="E25" s="117" t="s">
        <v>95</v>
      </c>
      <c r="F25" s="117" t="s">
        <v>94</v>
      </c>
    </row>
    <row r="26" customFormat="false" ht="12.75" hidden="false" customHeight="false" outlineLevel="0" collapsed="false">
      <c r="A26" s="118" t="n">
        <v>1</v>
      </c>
      <c r="B26" s="119" t="n">
        <f aca="false">B19</f>
        <v>78164.5194</v>
      </c>
      <c r="C26" s="120" t="n">
        <f aca="false">IF($B$21-A26&gt;-1,+loan!D14,0)</f>
        <v>7510.5941755878</v>
      </c>
      <c r="D26" s="120" t="n">
        <f aca="false">(+B26*-$B$20)*-1</f>
        <v>6643.984149</v>
      </c>
      <c r="E26" s="119" t="n">
        <f aca="false">+D26+C26</f>
        <v>14154.5783245878</v>
      </c>
      <c r="F26" s="119" t="n">
        <f aca="false">+B26-C26</f>
        <v>70653.9252244122</v>
      </c>
    </row>
    <row r="27" customFormat="false" ht="12.75" hidden="false" customHeight="false" outlineLevel="0" collapsed="false">
      <c r="A27" s="118" t="n">
        <v>2</v>
      </c>
      <c r="B27" s="119" t="n">
        <f aca="false">+F26</f>
        <v>70653.9252244122</v>
      </c>
      <c r="C27" s="120" t="n">
        <f aca="false">IF($B$21-A27&gt;-1,+loan!E14,0)</f>
        <v>4974.04218250467</v>
      </c>
      <c r="D27" s="120" t="n">
        <f aca="false">(+B27*-$B$20)*-1</f>
        <v>6005.58364407504</v>
      </c>
      <c r="E27" s="119" t="n">
        <f aca="false">+D27+C27</f>
        <v>10979.6258265797</v>
      </c>
      <c r="F27" s="119" t="n">
        <f aca="false">+B27-C27</f>
        <v>65679.8830419075</v>
      </c>
    </row>
    <row r="28" customFormat="false" ht="12.75" hidden="false" customHeight="false" outlineLevel="0" collapsed="false">
      <c r="A28" s="118" t="n">
        <v>3</v>
      </c>
      <c r="B28" s="119" t="n">
        <f aca="false">+F27</f>
        <v>65679.8830419075</v>
      </c>
      <c r="C28" s="120" t="n">
        <f aca="false">IF($B$21-A28&gt;-1,+loan!F14,0)</f>
        <v>4718.84675134159</v>
      </c>
      <c r="D28" s="120" t="n">
        <f aca="false">(+B28*-$B$20)*-1</f>
        <v>5582.79005856214</v>
      </c>
      <c r="E28" s="119" t="n">
        <f aca="false">+D28+C28</f>
        <v>10301.6368099037</v>
      </c>
      <c r="F28" s="119" t="n">
        <f aca="false">+B28-C28</f>
        <v>60961.0362905659</v>
      </c>
    </row>
    <row r="29" customFormat="false" ht="12.75" hidden="false" customHeight="false" outlineLevel="0" collapsed="false">
      <c r="A29" s="118" t="n">
        <v>4</v>
      </c>
      <c r="B29" s="119" t="n">
        <f aca="false">+F28</f>
        <v>60961.0362905659</v>
      </c>
      <c r="C29" s="120" t="n">
        <f aca="false">IF($B$21-A29&gt;-1,+loan!G14,0)</f>
        <v>4487.6697136997</v>
      </c>
      <c r="D29" s="120" t="n">
        <f aca="false">(+B29*-$B$20)*-1</f>
        <v>5181.68808469811</v>
      </c>
      <c r="E29" s="119" t="n">
        <f aca="false">+D29+C29</f>
        <v>9669.35779839781</v>
      </c>
      <c r="F29" s="119" t="n">
        <f aca="false">+B29-C29</f>
        <v>56473.3665768662</v>
      </c>
    </row>
    <row r="30" customFormat="false" ht="12.75" hidden="false" customHeight="false" outlineLevel="0" collapsed="false">
      <c r="A30" s="118" t="n">
        <v>5</v>
      </c>
      <c r="B30" s="119" t="n">
        <f aca="false">+F29</f>
        <v>56473.3665768662</v>
      </c>
      <c r="C30" s="120" t="n">
        <f aca="false">IF($B$21-A30&gt;-1,+loan!H14,0)</f>
        <v>4277.50877038896</v>
      </c>
      <c r="D30" s="120" t="n">
        <f aca="false">(+B30*-$B$20)*-1</f>
        <v>4800.23615903363</v>
      </c>
      <c r="E30" s="119" t="n">
        <f aca="false">+D30+C30</f>
        <v>9077.74492942259</v>
      </c>
      <c r="F30" s="119" t="n">
        <f aca="false">+B30-C30</f>
        <v>52195.8578064773</v>
      </c>
    </row>
    <row r="31" customFormat="false" ht="12.75" hidden="false" customHeight="false" outlineLevel="0" collapsed="false">
      <c r="A31" s="118" t="n">
        <v>6</v>
      </c>
      <c r="B31" s="119" t="n">
        <f aca="false">+F30</f>
        <v>52195.8578064773</v>
      </c>
      <c r="C31" s="120" t="n">
        <f aca="false">IF($B$21-A31&gt;-1,+loan!I14,0)</f>
        <v>4178.43289711385</v>
      </c>
      <c r="D31" s="120" t="n">
        <f aca="false">(+B31*-$B$20)*-1</f>
        <v>4436.64791355057</v>
      </c>
      <c r="E31" s="119" t="n">
        <f aca="false">+D31+C31</f>
        <v>8615.08081066442</v>
      </c>
      <c r="F31" s="119" t="n">
        <f aca="false">+B31-C31</f>
        <v>48017.4249093634</v>
      </c>
    </row>
    <row r="32" customFormat="false" ht="12.75" hidden="false" customHeight="false" outlineLevel="0" collapsed="false">
      <c r="A32" s="118" t="n">
        <v>7</v>
      </c>
      <c r="B32" s="119" t="n">
        <f aca="false">+F31</f>
        <v>48017.4249093634</v>
      </c>
      <c r="C32" s="120" t="n">
        <f aca="false">IF($B$21-A32&gt;-1,+loan!J$14,0)</f>
        <v>4178.43289711387</v>
      </c>
      <c r="D32" s="120" t="n">
        <f aca="false">(+B32*-$B$20)*-1</f>
        <v>4081.48111729589</v>
      </c>
      <c r="E32" s="119" t="n">
        <f aca="false">+D32+C32</f>
        <v>8259.91401440976</v>
      </c>
      <c r="F32" s="119" t="n">
        <f aca="false">+B32-C32</f>
        <v>43838.9920122496</v>
      </c>
    </row>
    <row r="33" customFormat="false" ht="12.75" hidden="false" customHeight="false" outlineLevel="0" collapsed="false">
      <c r="A33" s="118" t="n">
        <v>8</v>
      </c>
      <c r="B33" s="119" t="n">
        <f aca="false">+F32</f>
        <v>43838.9920122496</v>
      </c>
      <c r="C33" s="120" t="n">
        <f aca="false">IF($B$21-A33&gt;-1,+loan!K$14,0)</f>
        <v>4181.435196304</v>
      </c>
      <c r="D33" s="120" t="n">
        <f aca="false">(+B33*-$B$20)*-1</f>
        <v>3726.31432104121</v>
      </c>
      <c r="E33" s="119" t="n">
        <f aca="false">+D33+C33</f>
        <v>7907.74951734522</v>
      </c>
      <c r="F33" s="119" t="n">
        <f aca="false">+B33-C33</f>
        <v>39657.5568159456</v>
      </c>
    </row>
    <row r="34" customFormat="false" ht="12.75" hidden="false" customHeight="false" outlineLevel="0" collapsed="false">
      <c r="A34" s="118" t="n">
        <v>9</v>
      </c>
      <c r="B34" s="119" t="n">
        <f aca="false">+F33</f>
        <v>39657.5568159456</v>
      </c>
      <c r="C34" s="120" t="n">
        <f aca="false">IF($B$21-A34&gt;-1,+loan!L$14,0)</f>
        <v>4178.43289711388</v>
      </c>
      <c r="D34" s="120" t="n">
        <f aca="false">(+B34*-$B$20)*-1</f>
        <v>3370.89232935537</v>
      </c>
      <c r="E34" s="119" t="n">
        <f aca="false">+D34+C34</f>
        <v>7549.32522646925</v>
      </c>
      <c r="F34" s="119" t="n">
        <f aca="false">+B34-C34</f>
        <v>35479.1239188317</v>
      </c>
    </row>
    <row r="35" customFormat="false" ht="12.75" hidden="false" customHeight="false" outlineLevel="0" collapsed="false">
      <c r="A35" s="118" t="n">
        <v>10</v>
      </c>
      <c r="B35" s="119" t="n">
        <f aca="false">+F34</f>
        <v>35479.1239188317</v>
      </c>
      <c r="C35" s="120" t="n">
        <f aca="false">IF($B$21-A35&gt;-1,+loan!M$14,0)</f>
        <v>4181.43519630401</v>
      </c>
      <c r="D35" s="120" t="n">
        <f aca="false">(+B35*-$B$20)*-1</f>
        <v>3015.72553310069</v>
      </c>
      <c r="E35" s="119" t="n">
        <f aca="false">+D35+C35</f>
        <v>7197.1607294047</v>
      </c>
      <c r="F35" s="119" t="n">
        <f aca="false">+B35-C35</f>
        <v>31297.6887225277</v>
      </c>
    </row>
    <row r="36" customFormat="false" ht="12.75" hidden="false" customHeight="false" outlineLevel="0" collapsed="false">
      <c r="A36" s="118" t="n">
        <v>11</v>
      </c>
      <c r="B36" s="119" t="n">
        <f aca="false">+F35</f>
        <v>31297.6887225277</v>
      </c>
      <c r="C36" s="120" t="n">
        <f aca="false">IF($B$21-A36&gt;-1,+loan!N$14,0)</f>
        <v>4178.43289711386</v>
      </c>
      <c r="D36" s="120" t="n">
        <f aca="false">(+B36*-$B$20)*-1</f>
        <v>2660.30354141485</v>
      </c>
      <c r="E36" s="119" t="n">
        <f aca="false">+D36+C36</f>
        <v>6838.73643852871</v>
      </c>
      <c r="F36" s="119" t="n">
        <f aca="false">+B36-C36</f>
        <v>27119.2558254138</v>
      </c>
    </row>
    <row r="37" customFormat="false" ht="12.75" hidden="false" customHeight="false" outlineLevel="0" collapsed="false">
      <c r="A37" s="118" t="n">
        <v>12</v>
      </c>
      <c r="B37" s="119" t="n">
        <f aca="false">+F36</f>
        <v>27119.2558254138</v>
      </c>
      <c r="C37" s="120" t="n">
        <f aca="false">IF($B$21-A37&gt;-1,+loan!O$14,0)</f>
        <v>4181.43519630401</v>
      </c>
      <c r="D37" s="120" t="n">
        <f aca="false">(+B37*-$B$20)*-1</f>
        <v>2305.13674516017</v>
      </c>
      <c r="E37" s="119" t="n">
        <f aca="false">+D37+C37</f>
        <v>6486.57194146418</v>
      </c>
      <c r="F37" s="119" t="n">
        <f aca="false">+B37-C37</f>
        <v>22937.8206291098</v>
      </c>
    </row>
    <row r="38" customFormat="false" ht="12.75" hidden="false" customHeight="false" outlineLevel="0" collapsed="false">
      <c r="A38" s="118" t="n">
        <v>13</v>
      </c>
      <c r="B38" s="119" t="n">
        <f aca="false">+F37</f>
        <v>22937.8206291098</v>
      </c>
      <c r="C38" s="120" t="n">
        <f aca="false">IF($B$21-A38&gt;-1,+loan!P$14,0)</f>
        <v>4178.43289711386</v>
      </c>
      <c r="D38" s="120" t="n">
        <f aca="false">(+B38*-$B$20)*-1</f>
        <v>1949.71475347433</v>
      </c>
      <c r="E38" s="119" t="n">
        <f aca="false">+D38+C38</f>
        <v>6128.14765058819</v>
      </c>
      <c r="F38" s="119" t="n">
        <f aca="false">+B38-C38</f>
        <v>18759.3877319959</v>
      </c>
    </row>
    <row r="39" customFormat="false" ht="12.75" hidden="false" customHeight="false" outlineLevel="0" collapsed="false">
      <c r="A39" s="118" t="n">
        <v>14</v>
      </c>
      <c r="B39" s="119" t="n">
        <f aca="false">+F38</f>
        <v>18759.3877319959</v>
      </c>
      <c r="C39" s="120" t="n">
        <f aca="false">IF($B$21-A39&gt;-1,+loan!Q$14,0)</f>
        <v>3292.75463601843</v>
      </c>
      <c r="D39" s="120" t="n">
        <f aca="false">(+B39*-$B$20)*-1</f>
        <v>1594.54795721966</v>
      </c>
      <c r="E39" s="119" t="n">
        <f aca="false">+D39+C39</f>
        <v>4887.30259323808</v>
      </c>
      <c r="F39" s="119" t="n">
        <f aca="false">+B39-C39</f>
        <v>15466.6330959775</v>
      </c>
    </row>
    <row r="40" customFormat="false" ht="12.75" hidden="false" customHeight="false" outlineLevel="0" collapsed="false">
      <c r="A40" s="118" t="n">
        <v>15</v>
      </c>
      <c r="B40" s="119" t="n">
        <f aca="false">+F39</f>
        <v>15466.6330959775</v>
      </c>
      <c r="C40" s="120" t="n">
        <f aca="false">IF($B$21-A40&gt;-1,+loan!R$14,0)</f>
        <v>2407.076374923</v>
      </c>
      <c r="D40" s="120" t="n">
        <f aca="false">(+B40*-$B$20)*-1</f>
        <v>1314.66381315809</v>
      </c>
      <c r="E40" s="119" t="n">
        <f aca="false">+D40+C40</f>
        <v>3721.74018808108</v>
      </c>
      <c r="F40" s="119" t="n">
        <f aca="false">+B40-C40</f>
        <v>13059.5567210545</v>
      </c>
    </row>
    <row r="41" customFormat="false" ht="12.75" hidden="false" customHeight="false" outlineLevel="0" collapsed="false">
      <c r="A41" s="118" t="n">
        <v>16</v>
      </c>
      <c r="B41" s="119" t="n">
        <f aca="false">+F40</f>
        <v>13059.5567210545</v>
      </c>
      <c r="C41" s="120" t="n">
        <f aca="false">IF($B$21-A41&gt;-1,+loan!S$14,0)</f>
        <v>2407.076374923</v>
      </c>
      <c r="D41" s="120" t="n">
        <f aca="false">(+B41*-$B$20)*-1</f>
        <v>1110.06232128963</v>
      </c>
      <c r="E41" s="119" t="n">
        <f aca="false">+D41+C41</f>
        <v>3517.13869621263</v>
      </c>
      <c r="F41" s="119" t="n">
        <f aca="false">+B41-C41</f>
        <v>10652.4803461315</v>
      </c>
    </row>
    <row r="42" customFormat="false" ht="12.75" hidden="false" customHeight="false" outlineLevel="0" collapsed="false">
      <c r="A42" s="118" t="n">
        <v>17</v>
      </c>
      <c r="B42" s="119" t="n">
        <f aca="false">+F41</f>
        <v>10652.4803461315</v>
      </c>
      <c r="C42" s="120" t="n">
        <f aca="false">IF($B$21-A42&gt;-1,+loan!T$14,0)</f>
        <v>2407.076374923</v>
      </c>
      <c r="D42" s="120" t="n">
        <f aca="false">(+B42*-$B$20)*-1</f>
        <v>905.46082942118</v>
      </c>
      <c r="E42" s="119" t="n">
        <f aca="false">+D42+C42</f>
        <v>3312.53720434418</v>
      </c>
      <c r="F42" s="119" t="n">
        <f aca="false">+B42-C42</f>
        <v>8245.40397120853</v>
      </c>
    </row>
    <row r="43" customFormat="false" ht="12.75" hidden="false" customHeight="false" outlineLevel="0" collapsed="false">
      <c r="A43" s="118" t="n">
        <v>18</v>
      </c>
      <c r="B43" s="119" t="n">
        <f aca="false">+F42</f>
        <v>8245.40397120853</v>
      </c>
      <c r="C43" s="120" t="n">
        <f aca="false">IF($B$21-A43&gt;-1,+loan!U$14,0)</f>
        <v>2407.076374923</v>
      </c>
      <c r="D43" s="120" t="n">
        <f aca="false">(+B43*-$B$20)*-1</f>
        <v>700.859337552725</v>
      </c>
      <c r="E43" s="119" t="n">
        <f aca="false">+D43+C43</f>
        <v>3107.93571247572</v>
      </c>
      <c r="F43" s="119" t="n">
        <f aca="false">+B43-C43</f>
        <v>5838.32759628553</v>
      </c>
    </row>
    <row r="44" customFormat="false" ht="12.75" hidden="false" customHeight="false" outlineLevel="0" collapsed="false">
      <c r="A44" s="118" t="n">
        <v>19</v>
      </c>
      <c r="B44" s="119" t="n">
        <f aca="false">+F43</f>
        <v>5838.32759628553</v>
      </c>
      <c r="C44" s="120" t="n">
        <f aca="false">IF($B$21-A44&gt;-1,+loan!V$14,0)</f>
        <v>2407.076374923</v>
      </c>
      <c r="D44" s="120" t="n">
        <f aca="false">(+B44*-$B$20)*-1</f>
        <v>496.25784568427</v>
      </c>
      <c r="E44" s="119" t="n">
        <f aca="false">+D44+C44</f>
        <v>2903.33422060727</v>
      </c>
      <c r="F44" s="119" t="n">
        <f aca="false">+B44-C44</f>
        <v>3431.25122136254</v>
      </c>
    </row>
    <row r="45" customFormat="false" ht="12.75" hidden="false" customHeight="false" outlineLevel="0" collapsed="false">
      <c r="A45" s="118" t="n">
        <v>20</v>
      </c>
      <c r="B45" s="119" t="n">
        <f aca="false">+F44</f>
        <v>3431.25122136254</v>
      </c>
      <c r="C45" s="120" t="n">
        <f aca="false">IF($B$21-A45&gt;-1,+loan!W$14,0)</f>
        <v>3431.25122136254</v>
      </c>
      <c r="D45" s="120" t="n">
        <f aca="false">(+B45*-$B$20)*-1</f>
        <v>291.656353815816</v>
      </c>
      <c r="E45" s="119" t="n">
        <f aca="false">+D45+C45</f>
        <v>3722.90757517835</v>
      </c>
      <c r="F45" s="119" t="n">
        <f aca="false">+B45-C45</f>
        <v>0</v>
      </c>
    </row>
    <row r="46" customFormat="false" ht="12.75" hidden="false" customHeight="false" outlineLevel="0" collapsed="false">
      <c r="A46" s="118"/>
      <c r="B46" s="119"/>
      <c r="C46" s="119"/>
      <c r="D46" s="119"/>
      <c r="E46" s="119"/>
      <c r="F46" s="119"/>
    </row>
  </sheetData>
  <printOptions headings="false" gridLines="false" gridLinesSet="true" horizontalCentered="true" verticalCentered="false"/>
  <pageMargins left="0.25" right="0.240277777777778" top="0.409722222222222" bottom="0.170138888888889" header="0.511811023622047" footer="0.170138888888889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>&amp;C&amp;P</oddFooter>
  </headerFooter>
  <rowBreaks count="1" manualBreakCount="1">
    <brk id="14" man="true" max="16383" min="0"/>
  </rowBreaks>
  <colBreaks count="1" manualBreakCount="1">
    <brk id="1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F85"/>
  <sheetViews>
    <sheetView showFormulas="false" showGridLines="true" showRowColHeaders="true" showZeros="true" rightToLeft="false" tabSelected="true" showOutlineSymbols="true" defaultGridColor="true" view="normal" topLeftCell="A51" colorId="64" zoomScale="100" zoomScaleNormal="100" zoomScalePageLayoutView="100" workbookViewId="0">
      <selection pane="topLeft" activeCell="A55" activeCellId="0" sqref="A5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21" width="32.28"/>
    <col collapsed="false" customWidth="true" hidden="false" outlineLevel="0" max="2" min="2" style="121" width="6.28"/>
    <col collapsed="false" customWidth="true" hidden="false" outlineLevel="0" max="3" min="3" style="121" width="14.99"/>
    <col collapsed="false" customWidth="true" hidden="false" outlineLevel="0" max="4" min="4" style="121" width="9.85"/>
    <col collapsed="false" customWidth="true" hidden="false" outlineLevel="0" max="5" min="5" style="121" width="10.85"/>
    <col collapsed="false" customWidth="true" hidden="false" outlineLevel="0" max="6" min="6" style="121" width="9.56"/>
    <col collapsed="false" customWidth="true" hidden="false" outlineLevel="0" max="7" min="7" style="121" width="8.56"/>
    <col collapsed="false" customWidth="false" hidden="false" outlineLevel="0" max="8" min="8" style="121" width="9.14"/>
    <col collapsed="false" customWidth="true" hidden="false" outlineLevel="0" max="12" min="9" style="121" width="8.56"/>
    <col collapsed="false" customWidth="true" hidden="false" outlineLevel="0" max="13" min="13" style="121" width="9.85"/>
    <col collapsed="false" customWidth="true" hidden="false" outlineLevel="0" max="28" min="14" style="121" width="8.56"/>
    <col collapsed="false" customWidth="true" hidden="false" outlineLevel="0" max="29" min="29" style="121" width="9.85"/>
    <col collapsed="false" customWidth="false" hidden="false" outlineLevel="0" max="257" min="30" style="121" width="9.14"/>
  </cols>
  <sheetData>
    <row r="1" customFormat="false" ht="11.25" hidden="false" customHeight="false" outlineLevel="0" collapsed="false">
      <c r="A1" s="122" t="str">
        <f aca="false">+revenues!A1</f>
        <v>Transwestern Pipeline Company</v>
      </c>
      <c r="B1" s="123"/>
      <c r="C1" s="124" t="n">
        <f aca="true">NOW()</f>
        <v>45926.9280920336</v>
      </c>
      <c r="D1" s="125"/>
      <c r="E1" s="123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7"/>
    </row>
    <row r="2" customFormat="false" ht="11.25" hidden="false" customHeight="false" outlineLevel="0" collapsed="false">
      <c r="A2" s="122" t="s">
        <v>96</v>
      </c>
      <c r="B2" s="123"/>
      <c r="C2" s="128" t="n">
        <f aca="true">NOW()</f>
        <v>45926.9280920337</v>
      </c>
      <c r="D2" s="125"/>
      <c r="E2" s="123"/>
      <c r="F2" s="125"/>
      <c r="G2" s="125"/>
      <c r="H2" s="129"/>
      <c r="I2" s="130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</row>
    <row r="3" customFormat="false" ht="11.25" hidden="false" customHeight="false" outlineLevel="0" collapsed="false">
      <c r="A3" s="122" t="s">
        <v>97</v>
      </c>
      <c r="B3" s="123"/>
      <c r="C3" s="125"/>
      <c r="D3" s="125"/>
      <c r="E3" s="123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</row>
    <row r="4" customFormat="false" ht="11.25" hidden="false" customHeight="false" outlineLevel="0" collapsed="false">
      <c r="A4" s="131" t="str">
        <f aca="false">+assumptions!A2</f>
        <v>TransPecos Project</v>
      </c>
      <c r="B4" s="123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</row>
    <row r="5" customFormat="false" ht="11.25" hidden="false" customHeight="false" outlineLevel="0" collapsed="false">
      <c r="A5" s="131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</row>
    <row r="6" customFormat="false" ht="11.25" hidden="false" customHeight="false" outlineLevel="0" collapsed="false">
      <c r="A6" s="132"/>
      <c r="B6" s="123"/>
      <c r="C6" s="133" t="n">
        <v>0</v>
      </c>
      <c r="D6" s="133" t="n">
        <v>1</v>
      </c>
      <c r="E6" s="133" t="n">
        <f aca="false">D6+1</f>
        <v>2</v>
      </c>
      <c r="F6" s="133" t="n">
        <f aca="false">E6+1</f>
        <v>3</v>
      </c>
      <c r="G6" s="133" t="n">
        <f aca="false">F6+1</f>
        <v>4</v>
      </c>
      <c r="H6" s="133" t="n">
        <f aca="false">G6+1</f>
        <v>5</v>
      </c>
      <c r="I6" s="133" t="n">
        <f aca="false">H6+1</f>
        <v>6</v>
      </c>
      <c r="J6" s="133" t="n">
        <f aca="false">I6+1</f>
        <v>7</v>
      </c>
      <c r="K6" s="133" t="n">
        <f aca="false">J6+1</f>
        <v>8</v>
      </c>
      <c r="L6" s="133" t="n">
        <f aca="false">K6+1</f>
        <v>9</v>
      </c>
      <c r="M6" s="133" t="n">
        <f aca="false">L6+1</f>
        <v>10</v>
      </c>
      <c r="N6" s="133" t="n">
        <f aca="false">M6+1</f>
        <v>11</v>
      </c>
      <c r="O6" s="133" t="n">
        <f aca="false">N6+1</f>
        <v>12</v>
      </c>
      <c r="P6" s="133" t="n">
        <f aca="false">O6+1</f>
        <v>13</v>
      </c>
      <c r="Q6" s="133" t="n">
        <f aca="false">P6+1</f>
        <v>14</v>
      </c>
      <c r="R6" s="133" t="n">
        <f aca="false">Q6+1</f>
        <v>15</v>
      </c>
      <c r="S6" s="133" t="n">
        <f aca="false">R6+1</f>
        <v>16</v>
      </c>
      <c r="T6" s="133" t="n">
        <f aca="false">S6+1</f>
        <v>17</v>
      </c>
      <c r="U6" s="133" t="n">
        <f aca="false">T6+1</f>
        <v>18</v>
      </c>
      <c r="V6" s="133" t="n">
        <f aca="false">U6+1</f>
        <v>19</v>
      </c>
      <c r="W6" s="133" t="n">
        <f aca="false">V6+1</f>
        <v>20</v>
      </c>
      <c r="X6" s="133" t="n">
        <f aca="false">W6+1</f>
        <v>21</v>
      </c>
      <c r="Y6" s="133" t="n">
        <f aca="false">X6+1</f>
        <v>22</v>
      </c>
      <c r="Z6" s="133" t="n">
        <f aca="false">Y6+1</f>
        <v>23</v>
      </c>
      <c r="AA6" s="133" t="n">
        <f aca="false">Z6+1</f>
        <v>24</v>
      </c>
      <c r="AB6" s="133" t="n">
        <f aca="false">AA6+1</f>
        <v>25</v>
      </c>
      <c r="AC6" s="133" t="s">
        <v>98</v>
      </c>
    </row>
    <row r="7" customFormat="false" ht="11.25" hidden="false" customHeight="false" outlineLevel="0" collapsed="false">
      <c r="A7" s="134" t="s">
        <v>5</v>
      </c>
      <c r="B7" s="123"/>
      <c r="C7" s="135" t="n">
        <f aca="false">+assumptions!B6</f>
        <v>20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</row>
    <row r="8" customFormat="false" ht="11.25" hidden="false" customHeight="false" outlineLevel="0" collapsed="false">
      <c r="A8" s="134" t="s">
        <v>99</v>
      </c>
      <c r="B8" s="123"/>
      <c r="C8" s="135" t="n">
        <v>0</v>
      </c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</row>
    <row r="9" customFormat="false" ht="11.25" hidden="false" customHeight="false" outlineLevel="0" collapsed="false">
      <c r="A9" s="126" t="s">
        <v>28</v>
      </c>
      <c r="B9" s="123"/>
      <c r="C9" s="137" t="n">
        <f aca="false">+assumptions!B7</f>
        <v>15</v>
      </c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</row>
    <row r="10" customFormat="false" ht="12.75" hidden="false" customHeight="false" outlineLevel="0" collapsed="false">
      <c r="A10" s="126"/>
      <c r="B10" s="138"/>
      <c r="C10" s="123"/>
      <c r="D10" s="125"/>
      <c r="E10" s="0"/>
      <c r="F10" s="0"/>
      <c r="G10" s="0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</row>
    <row r="11" customFormat="false" ht="11.25" hidden="false" customHeight="false" outlineLevel="0" collapsed="false">
      <c r="A11" s="126" t="s">
        <v>100</v>
      </c>
      <c r="B11" s="139" t="n">
        <v>1</v>
      </c>
      <c r="C11" s="140" t="n">
        <f aca="false">(NPV(0.075,D11:G11)+assumptions!B16)*B11</f>
        <v>130274.199</v>
      </c>
      <c r="D11" s="121" t="n">
        <v>0</v>
      </c>
      <c r="E11" s="121" t="n">
        <v>0</v>
      </c>
      <c r="F11" s="121" t="n">
        <v>0</v>
      </c>
      <c r="G11" s="121" t="n">
        <f aca="false">+assumptions!C17</f>
        <v>0</v>
      </c>
      <c r="H11" s="141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25"/>
    </row>
    <row r="12" customFormat="false" ht="11.25" hidden="false" customHeight="false" outlineLevel="0" collapsed="false">
      <c r="A12" s="126" t="s">
        <v>32</v>
      </c>
      <c r="B12" s="123"/>
      <c r="C12" s="143" t="n">
        <f aca="false">+assumptions!B11</f>
        <v>112035.81114</v>
      </c>
      <c r="D12" s="142"/>
      <c r="E12" s="144"/>
      <c r="F12" s="141"/>
      <c r="G12" s="141"/>
      <c r="H12" s="141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  <c r="Z12" s="142"/>
      <c r="AA12" s="142"/>
      <c r="AB12" s="142"/>
      <c r="AC12" s="125"/>
    </row>
    <row r="13" customFormat="false" ht="11.25" hidden="false" customHeight="false" outlineLevel="0" collapsed="false">
      <c r="A13" s="126" t="s">
        <v>33</v>
      </c>
      <c r="B13" s="123"/>
      <c r="C13" s="143" t="n">
        <f aca="false">+assumptions!B12</f>
        <v>5210.96796</v>
      </c>
      <c r="D13" s="142"/>
      <c r="E13" s="144"/>
      <c r="F13" s="141"/>
      <c r="G13" s="141"/>
      <c r="H13" s="141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25"/>
    </row>
    <row r="14" customFormat="false" ht="11.25" hidden="false" customHeight="false" outlineLevel="0" collapsed="false">
      <c r="A14" s="126" t="s">
        <v>34</v>
      </c>
      <c r="B14" s="123"/>
      <c r="C14" s="143" t="n">
        <f aca="false">+assumptions!B13</f>
        <v>13027.4199</v>
      </c>
      <c r="D14" s="142"/>
      <c r="E14" s="144"/>
      <c r="F14" s="141"/>
      <c r="G14" s="141"/>
      <c r="H14" s="141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25"/>
    </row>
    <row r="15" customFormat="false" ht="11.25" hidden="false" customHeight="false" outlineLevel="0" collapsed="false">
      <c r="A15" s="126" t="s">
        <v>35</v>
      </c>
      <c r="B15" s="123"/>
      <c r="C15" s="143" t="n">
        <f aca="false">+assumptions!B14</f>
        <v>0</v>
      </c>
      <c r="D15" s="142"/>
      <c r="E15" s="144"/>
      <c r="F15" s="141"/>
      <c r="G15" s="141"/>
      <c r="H15" s="141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25"/>
    </row>
    <row r="16" customFormat="false" ht="11.25" hidden="false" customHeight="false" outlineLevel="0" collapsed="false">
      <c r="A16" s="126" t="s">
        <v>101</v>
      </c>
      <c r="B16" s="123"/>
      <c r="C16" s="145" t="n">
        <f aca="false">+assumptions!B15</f>
        <v>0</v>
      </c>
      <c r="D16" s="142" t="s">
        <v>102</v>
      </c>
      <c r="E16" s="146" t="s">
        <v>103</v>
      </c>
      <c r="F16" s="142" t="s">
        <v>64</v>
      </c>
      <c r="G16" s="142" t="s">
        <v>104</v>
      </c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25"/>
    </row>
    <row r="17" customFormat="false" ht="11.25" hidden="false" customHeight="false" outlineLevel="0" collapsed="false">
      <c r="A17" s="126" t="s">
        <v>39</v>
      </c>
      <c r="B17" s="123"/>
      <c r="C17" s="143" t="n">
        <f aca="false">IF(D17="y",+C11*loan!E21,+DCF!C11)-C18</f>
        <v>52109.6796</v>
      </c>
      <c r="D17" s="147" t="str">
        <f aca="false">+inputs!B11</f>
        <v>y</v>
      </c>
      <c r="E17" s="148" t="str">
        <f aca="false">+inputs!B8</f>
        <v>n</v>
      </c>
      <c r="F17" s="148" t="str">
        <f aca="false">+inputs!B17</f>
        <v>y</v>
      </c>
      <c r="G17" s="149" t="str">
        <f aca="false">+inputs!B31</f>
        <v>n</v>
      </c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25"/>
    </row>
    <row r="18" customFormat="false" ht="11.25" hidden="false" customHeight="false" outlineLevel="0" collapsed="false">
      <c r="A18" s="126" t="s">
        <v>105</v>
      </c>
      <c r="B18" s="123"/>
      <c r="C18" s="143" t="n">
        <f aca="false">IF(E17="y",NPV(0.095,D18:M18),0)</f>
        <v>0</v>
      </c>
      <c r="D18" s="150" t="n">
        <v>0</v>
      </c>
      <c r="E18" s="150" t="n">
        <v>0</v>
      </c>
      <c r="F18" s="150" t="n">
        <v>0</v>
      </c>
      <c r="G18" s="150" t="n">
        <v>0</v>
      </c>
      <c r="H18" s="150" t="n">
        <v>0</v>
      </c>
      <c r="I18" s="150" t="n">
        <v>0</v>
      </c>
      <c r="J18" s="150" t="n">
        <v>0</v>
      </c>
      <c r="K18" s="150" t="n">
        <v>0</v>
      </c>
      <c r="L18" s="150" t="n">
        <v>0</v>
      </c>
      <c r="M18" s="150" t="n">
        <v>13599.8237721753</v>
      </c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25"/>
    </row>
    <row r="19" customFormat="false" ht="11.25" hidden="false" customHeight="false" outlineLevel="0" collapsed="false">
      <c r="A19" s="126"/>
      <c r="B19" s="123"/>
      <c r="C19" s="151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C19" s="125"/>
    </row>
    <row r="20" customFormat="false" ht="11.25" hidden="false" customHeight="false" outlineLevel="0" collapsed="false">
      <c r="A20" s="126" t="s">
        <v>56</v>
      </c>
      <c r="B20" s="152"/>
      <c r="C20" s="153"/>
      <c r="D20" s="154" t="n">
        <f aca="false">+assumptions!C32</f>
        <v>0.9</v>
      </c>
      <c r="E20" s="154" t="n">
        <f aca="false">+assumptions!D32</f>
        <v>0.9</v>
      </c>
      <c r="F20" s="154" t="n">
        <f aca="false">+assumptions!E32</f>
        <v>0.9</v>
      </c>
      <c r="G20" s="154" t="n">
        <f aca="false">+assumptions!F32</f>
        <v>0.9</v>
      </c>
      <c r="H20" s="154" t="n">
        <f aca="false">+assumptions!G32</f>
        <v>0.9</v>
      </c>
      <c r="I20" s="154" t="n">
        <f aca="false">+assumptions!H32</f>
        <v>0.9</v>
      </c>
      <c r="J20" s="154" t="n">
        <f aca="false">+assumptions!I32</f>
        <v>0.9</v>
      </c>
      <c r="K20" s="154" t="n">
        <f aca="false">+assumptions!J32</f>
        <v>0.9</v>
      </c>
      <c r="L20" s="154" t="n">
        <f aca="false">+assumptions!K32</f>
        <v>0.9</v>
      </c>
      <c r="M20" s="154" t="n">
        <f aca="false">+assumptions!L32</f>
        <v>0.9</v>
      </c>
      <c r="N20" s="154" t="n">
        <f aca="false">+assumptions!M32</f>
        <v>0.9</v>
      </c>
      <c r="O20" s="154" t="n">
        <f aca="false">+assumptions!N32</f>
        <v>0.9</v>
      </c>
      <c r="P20" s="154" t="n">
        <f aca="false">+assumptions!O32</f>
        <v>0.9</v>
      </c>
      <c r="Q20" s="154" t="n">
        <f aca="false">+assumptions!P32</f>
        <v>0.9</v>
      </c>
      <c r="R20" s="154" t="n">
        <f aca="false">+assumptions!Q32</f>
        <v>0.9</v>
      </c>
      <c r="S20" s="154" t="n">
        <f aca="false">+assumptions!R32</f>
        <v>0.9</v>
      </c>
      <c r="T20" s="154" t="n">
        <f aca="false">+assumptions!S32</f>
        <v>0.9</v>
      </c>
      <c r="U20" s="154" t="n">
        <f aca="false">+assumptions!T32</f>
        <v>0.9</v>
      </c>
      <c r="V20" s="154" t="n">
        <f aca="false">+assumptions!U32</f>
        <v>0.9</v>
      </c>
      <c r="W20" s="154" t="n">
        <f aca="false">+assumptions!V32</f>
        <v>0.9</v>
      </c>
      <c r="X20" s="154" t="n">
        <f aca="false">+assumptions!W32</f>
        <v>0</v>
      </c>
      <c r="Y20" s="154" t="n">
        <f aca="false">+assumptions!X32</f>
        <v>0</v>
      </c>
      <c r="Z20" s="154" t="n">
        <f aca="false">+assumptions!Y32</f>
        <v>0</v>
      </c>
      <c r="AA20" s="154" t="n">
        <f aca="false">+assumptions!Z32</f>
        <v>0</v>
      </c>
      <c r="AB20" s="154" t="n">
        <f aca="false">+assumptions!AA32</f>
        <v>0</v>
      </c>
      <c r="AC20" s="155"/>
    </row>
    <row r="21" customFormat="false" ht="11.25" hidden="false" customHeight="false" outlineLevel="0" collapsed="false">
      <c r="A21" s="126" t="s">
        <v>106</v>
      </c>
      <c r="B21" s="123"/>
      <c r="C21" s="156" t="n">
        <v>1</v>
      </c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57"/>
    </row>
    <row r="22" customFormat="false" ht="11.25" hidden="false" customHeight="false" outlineLevel="0" collapsed="false">
      <c r="A22" s="126" t="s">
        <v>107</v>
      </c>
      <c r="B22" s="123"/>
      <c r="C22" s="158"/>
      <c r="D22" s="159" t="n">
        <f aca="false">0.0228+0.0347+0.0085+0.0126</f>
        <v>0.0786</v>
      </c>
      <c r="E22" s="123"/>
      <c r="F22" s="123"/>
      <c r="G22" s="123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</row>
    <row r="23" customFormat="false" ht="11.25" hidden="false" customHeight="false" outlineLevel="0" collapsed="false">
      <c r="A23" s="126" t="s">
        <v>108</v>
      </c>
      <c r="B23" s="123"/>
      <c r="C23" s="160"/>
      <c r="D23" s="125"/>
      <c r="E23" s="123"/>
      <c r="F23" s="123"/>
      <c r="G23" s="123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</row>
    <row r="24" customFormat="false" ht="11.25" hidden="false" customHeight="false" outlineLevel="0" collapsed="false">
      <c r="A24" s="126" t="s">
        <v>109</v>
      </c>
      <c r="B24" s="123"/>
      <c r="C24" s="138" t="n">
        <v>0.995</v>
      </c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61"/>
    </row>
    <row r="25" customFormat="false" ht="11.25" hidden="false" customHeight="false" outlineLevel="0" collapsed="false">
      <c r="A25" s="123"/>
      <c r="B25" s="123"/>
      <c r="C25" s="125"/>
      <c r="D25" s="125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61"/>
    </row>
    <row r="26" customFormat="false" ht="11.25" hidden="false" customHeight="false" outlineLevel="0" collapsed="false">
      <c r="A26" s="126" t="s">
        <v>110</v>
      </c>
      <c r="B26" s="162"/>
      <c r="C26" s="163"/>
      <c r="D26" s="164" t="n">
        <f aca="false">+revenues!C56</f>
        <v>240</v>
      </c>
      <c r="E26" s="164" t="n">
        <f aca="false">+revenues!D56</f>
        <v>240</v>
      </c>
      <c r="F26" s="164" t="n">
        <f aca="false">+revenues!E56</f>
        <v>240</v>
      </c>
      <c r="G26" s="164" t="n">
        <f aca="false">+revenues!F56</f>
        <v>240</v>
      </c>
      <c r="H26" s="164" t="n">
        <f aca="false">+revenues!G56</f>
        <v>240</v>
      </c>
      <c r="I26" s="164" t="n">
        <f aca="false">+revenues!H56</f>
        <v>240</v>
      </c>
      <c r="J26" s="164" t="n">
        <f aca="false">+revenues!I56</f>
        <v>240</v>
      </c>
      <c r="K26" s="164" t="n">
        <f aca="false">+revenues!J56</f>
        <v>240</v>
      </c>
      <c r="L26" s="164" t="n">
        <f aca="false">+revenues!K56</f>
        <v>240</v>
      </c>
      <c r="M26" s="164" t="n">
        <f aca="false">+revenues!L56</f>
        <v>240</v>
      </c>
      <c r="N26" s="164" t="n">
        <f aca="false">+revenues!M56</f>
        <v>240</v>
      </c>
      <c r="O26" s="164" t="n">
        <f aca="false">+revenues!N56</f>
        <v>240</v>
      </c>
      <c r="P26" s="164" t="n">
        <f aca="false">+revenues!O56</f>
        <v>240</v>
      </c>
      <c r="Q26" s="164" t="n">
        <f aca="false">+revenues!P56</f>
        <v>240</v>
      </c>
      <c r="R26" s="164" t="n">
        <f aca="false">+revenues!Q56</f>
        <v>240</v>
      </c>
      <c r="S26" s="164" t="n">
        <f aca="false">+revenues!R56</f>
        <v>240</v>
      </c>
      <c r="T26" s="164" t="n">
        <f aca="false">+revenues!S56</f>
        <v>240</v>
      </c>
      <c r="U26" s="164" t="n">
        <f aca="false">+revenues!T56</f>
        <v>240</v>
      </c>
      <c r="V26" s="164" t="n">
        <f aca="false">+revenues!U56</f>
        <v>240</v>
      </c>
      <c r="W26" s="164" t="n">
        <f aca="false">+revenues!V56</f>
        <v>240</v>
      </c>
      <c r="X26" s="164" t="n">
        <f aca="false">+revenues!W56</f>
        <v>0</v>
      </c>
      <c r="Y26" s="164" t="n">
        <f aca="false">+revenues!X56</f>
        <v>0</v>
      </c>
      <c r="Z26" s="164" t="n">
        <f aca="false">+revenues!Y56</f>
        <v>0</v>
      </c>
      <c r="AA26" s="164" t="n">
        <f aca="false">+revenues!Z56</f>
        <v>0</v>
      </c>
      <c r="AB26" s="164" t="n">
        <f aca="false">+revenues!AA56</f>
        <v>0</v>
      </c>
      <c r="AC26" s="161"/>
    </row>
    <row r="27" customFormat="false" ht="11.25" hidden="false" customHeight="false" outlineLevel="0" collapsed="false">
      <c r="A27" s="126" t="s">
        <v>111</v>
      </c>
      <c r="B27" s="123"/>
      <c r="C27" s="125"/>
      <c r="D27" s="165" t="n">
        <f aca="false">+revenues!C8</f>
        <v>0.261</v>
      </c>
      <c r="E27" s="165" t="n">
        <f aca="false">+revenues!D8</f>
        <v>0.261</v>
      </c>
      <c r="F27" s="165" t="n">
        <f aca="false">+revenues!E8</f>
        <v>0.261</v>
      </c>
      <c r="G27" s="165" t="n">
        <f aca="false">+revenues!F8</f>
        <v>0.261</v>
      </c>
      <c r="H27" s="165" t="n">
        <f aca="false">+revenues!G8</f>
        <v>0.261</v>
      </c>
      <c r="I27" s="165" t="n">
        <f aca="false">+revenues!H8</f>
        <v>0.261</v>
      </c>
      <c r="J27" s="165" t="n">
        <f aca="false">+revenues!I8</f>
        <v>0.261</v>
      </c>
      <c r="K27" s="165" t="n">
        <f aca="false">+revenues!J8</f>
        <v>0.261</v>
      </c>
      <c r="L27" s="165" t="n">
        <f aca="false">+revenues!K8</f>
        <v>0.261</v>
      </c>
      <c r="M27" s="165" t="n">
        <f aca="false">+revenues!L8</f>
        <v>0.261</v>
      </c>
      <c r="N27" s="165" t="n">
        <f aca="false">+revenues!M8</f>
        <v>0.261</v>
      </c>
      <c r="O27" s="165" t="n">
        <f aca="false">+revenues!N8</f>
        <v>0.261</v>
      </c>
      <c r="P27" s="165" t="n">
        <f aca="false">+revenues!O8</f>
        <v>0.261</v>
      </c>
      <c r="Q27" s="165" t="n">
        <f aca="false">+revenues!P8</f>
        <v>0.261</v>
      </c>
      <c r="R27" s="165" t="n">
        <f aca="false">+revenues!Q8</f>
        <v>0.261</v>
      </c>
      <c r="S27" s="165" t="n">
        <f aca="false">+revenues!R8</f>
        <v>0.261</v>
      </c>
      <c r="T27" s="165" t="n">
        <f aca="false">+revenues!S8</f>
        <v>0.261</v>
      </c>
      <c r="U27" s="165" t="n">
        <f aca="false">+revenues!T8</f>
        <v>0.261</v>
      </c>
      <c r="V27" s="165" t="n">
        <f aca="false">+revenues!U8</f>
        <v>0.261</v>
      </c>
      <c r="W27" s="165" t="n">
        <f aca="false">+revenues!V8</f>
        <v>0.261</v>
      </c>
      <c r="X27" s="165" t="n">
        <f aca="false">+revenues!W8</f>
        <v>0</v>
      </c>
      <c r="Y27" s="165" t="n">
        <f aca="false">+revenues!X8</f>
        <v>0</v>
      </c>
      <c r="Z27" s="165" t="n">
        <f aca="false">+revenues!Y8</f>
        <v>0</v>
      </c>
      <c r="AA27" s="165" t="n">
        <f aca="false">+revenues!Z8</f>
        <v>0</v>
      </c>
      <c r="AB27" s="165" t="n">
        <f aca="false">+revenues!AA8</f>
        <v>0</v>
      </c>
      <c r="AC27" s="161"/>
    </row>
    <row r="28" customFormat="false" ht="11.25" hidden="false" customHeight="false" outlineLevel="0" collapsed="false">
      <c r="A28" s="126" t="s">
        <v>112</v>
      </c>
      <c r="B28" s="123"/>
      <c r="C28" s="12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1"/>
    </row>
    <row r="29" customFormat="false" ht="11.25" hidden="false" customHeight="false" outlineLevel="0" collapsed="false">
      <c r="A29" s="123" t="s">
        <v>113</v>
      </c>
      <c r="B29" s="123"/>
      <c r="C29" s="125"/>
      <c r="D29" s="139" t="n">
        <v>1</v>
      </c>
      <c r="E29" s="139" t="n">
        <f aca="false">+D29</f>
        <v>1</v>
      </c>
      <c r="F29" s="139" t="n">
        <f aca="false">+E29</f>
        <v>1</v>
      </c>
      <c r="G29" s="139" t="n">
        <f aca="false">+F29</f>
        <v>1</v>
      </c>
      <c r="H29" s="139" t="n">
        <f aca="false">+G29</f>
        <v>1</v>
      </c>
      <c r="I29" s="139" t="n">
        <f aca="false">+H29</f>
        <v>1</v>
      </c>
      <c r="J29" s="139" t="n">
        <f aca="false">+I29</f>
        <v>1</v>
      </c>
      <c r="K29" s="139" t="n">
        <f aca="false">+J29</f>
        <v>1</v>
      </c>
      <c r="L29" s="139" t="n">
        <f aca="false">+K29</f>
        <v>1</v>
      </c>
      <c r="M29" s="139" t="n">
        <f aca="false">+L29</f>
        <v>1</v>
      </c>
      <c r="N29" s="139" t="n">
        <v>1</v>
      </c>
      <c r="O29" s="139" t="n">
        <f aca="false">+N29</f>
        <v>1</v>
      </c>
      <c r="P29" s="139" t="n">
        <f aca="false">+O29</f>
        <v>1</v>
      </c>
      <c r="Q29" s="139" t="n">
        <f aca="false">+P29</f>
        <v>1</v>
      </c>
      <c r="R29" s="139" t="n">
        <f aca="false">+Q29</f>
        <v>1</v>
      </c>
      <c r="S29" s="139" t="n">
        <f aca="false">+R29</f>
        <v>1</v>
      </c>
      <c r="T29" s="139" t="n">
        <f aca="false">+S29</f>
        <v>1</v>
      </c>
      <c r="U29" s="139" t="n">
        <f aca="false">+T29</f>
        <v>1</v>
      </c>
      <c r="V29" s="139" t="n">
        <f aca="false">+U29</f>
        <v>1</v>
      </c>
      <c r="W29" s="139" t="n">
        <f aca="false">+V29</f>
        <v>1</v>
      </c>
      <c r="X29" s="139" t="n">
        <f aca="false">+W29</f>
        <v>1</v>
      </c>
      <c r="Y29" s="139" t="n">
        <f aca="false">+X29</f>
        <v>1</v>
      </c>
      <c r="Z29" s="139" t="n">
        <f aca="false">+Y29</f>
        <v>1</v>
      </c>
      <c r="AA29" s="139" t="n">
        <f aca="false">+Z29</f>
        <v>1</v>
      </c>
      <c r="AB29" s="139" t="n">
        <f aca="false">+AA29</f>
        <v>1</v>
      </c>
      <c r="AC29" s="161"/>
    </row>
    <row r="30" customFormat="false" ht="11.25" hidden="false" customHeight="false" outlineLevel="0" collapsed="false">
      <c r="A30" s="126" t="s">
        <v>114</v>
      </c>
      <c r="B30" s="123"/>
      <c r="C30" s="125"/>
      <c r="D30" s="161" t="n">
        <f aca="false">IF($C$7-D6&gt;-1,+revenues!C58,0)</f>
        <v>22926.24</v>
      </c>
      <c r="E30" s="161" t="n">
        <f aca="false">IF($C$7-E6&gt;-1,+revenues!D58,0)</f>
        <v>22863.6</v>
      </c>
      <c r="F30" s="161" t="n">
        <f aca="false">IF($C$7-F6&gt;-1,+revenues!E58,0)</f>
        <v>22863.6</v>
      </c>
      <c r="G30" s="161" t="n">
        <f aca="false">IF($C$7-G6&gt;-1,+revenues!F58,0)</f>
        <v>22863.6</v>
      </c>
      <c r="H30" s="161" t="n">
        <f aca="false">IF($C$7-H6&gt;-1,+revenues!G58,0)</f>
        <v>22926.24</v>
      </c>
      <c r="I30" s="161" t="n">
        <f aca="false">IF($C$7-I6&gt;-1,+revenues!H58,0)</f>
        <v>22863.6</v>
      </c>
      <c r="J30" s="161" t="n">
        <f aca="false">IF($C$7-J6&gt;-1,+revenues!I58,0)</f>
        <v>22863.6</v>
      </c>
      <c r="K30" s="161" t="n">
        <f aca="false">IF($C$7-K6&gt;-1,+revenues!J58,0)</f>
        <v>22863.6</v>
      </c>
      <c r="L30" s="161" t="n">
        <f aca="false">IF($C$7-L6&gt;-1,+revenues!K58,0)</f>
        <v>22926.24</v>
      </c>
      <c r="M30" s="161" t="n">
        <f aca="false">IF($C$7-M6&gt;-1,+revenues!L58,0)</f>
        <v>22863.6</v>
      </c>
      <c r="N30" s="161" t="n">
        <f aca="false">IF($C$7-N6&gt;-1,+revenues!M58,0)</f>
        <v>22863.6</v>
      </c>
      <c r="O30" s="161" t="n">
        <f aca="false">IF($C$7-O6&gt;-1,+revenues!N58,0)</f>
        <v>22863.6</v>
      </c>
      <c r="P30" s="161" t="n">
        <f aca="false">IF($C$7-P6&gt;-1,+revenues!O58,0)</f>
        <v>22926.24</v>
      </c>
      <c r="Q30" s="161" t="n">
        <f aca="false">IF($C$7-Q6&gt;-1,+revenues!P58,0)</f>
        <v>22863.6</v>
      </c>
      <c r="R30" s="161" t="n">
        <f aca="false">IF($C$7-R6&gt;-1,+revenues!Q58,0)</f>
        <v>22863.6</v>
      </c>
      <c r="S30" s="161" t="n">
        <f aca="false">IF($C$7-S6&gt;-1,+revenues!R58,0)</f>
        <v>22863.6</v>
      </c>
      <c r="T30" s="161" t="n">
        <f aca="false">IF($C$7-T6&gt;-1,+revenues!S58,0)</f>
        <v>22926.24</v>
      </c>
      <c r="U30" s="161" t="n">
        <f aca="false">IF($C$7-U6&gt;-1,+revenues!T58,0)</f>
        <v>22863.6</v>
      </c>
      <c r="V30" s="161" t="n">
        <f aca="false">IF($C$7-V6&gt;-1,+revenues!U58,0)</f>
        <v>22863.6</v>
      </c>
      <c r="W30" s="161" t="n">
        <f aca="false">IF($C$7-W6&gt;-1,+revenues!V58,0)</f>
        <v>22863.6</v>
      </c>
      <c r="X30" s="161" t="n">
        <f aca="false">IF($C$7-X6&gt;-1,+revenues!W58,0)</f>
        <v>0</v>
      </c>
      <c r="Y30" s="161" t="n">
        <f aca="false">IF($C$7-Y6&gt;-1,+revenues!X58,0)</f>
        <v>0</v>
      </c>
      <c r="Z30" s="161" t="n">
        <f aca="false">IF($C$7-Z6&gt;-1,+revenues!Y58,0)</f>
        <v>0</v>
      </c>
      <c r="AA30" s="161" t="n">
        <f aca="false">IF($C$7-AA6&gt;-1,+revenues!Z58,0)</f>
        <v>0</v>
      </c>
      <c r="AB30" s="161" t="n">
        <f aca="false">IF($C$7-AB6&gt;-1,+revenues!AA58,0)</f>
        <v>0</v>
      </c>
      <c r="AC30" s="161" t="n">
        <f aca="false">SUM(D30:AB30)</f>
        <v>457585.2</v>
      </c>
    </row>
    <row r="31" customFormat="false" ht="11.25" hidden="false" customHeight="false" outlineLevel="0" collapsed="false">
      <c r="A31" s="123"/>
      <c r="B31" s="123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61"/>
    </row>
    <row r="32" customFormat="false" ht="11.25" hidden="false" customHeight="false" outlineLevel="0" collapsed="false">
      <c r="A32" s="126" t="s">
        <v>115</v>
      </c>
      <c r="B32" s="123"/>
      <c r="C32" s="125"/>
      <c r="D32" s="166" t="n">
        <f aca="false">IF(AND($C$7-D6&gt;-1,+inputs!B$17="n"),+revenues!C59,IF(AND($C$7-D6&gt;-1,inputs!B$17="y"),+D35,0))</f>
        <v>1.443204</v>
      </c>
      <c r="E32" s="166" t="n">
        <f aca="false">IF(AND($C$7-E6&gt;-1,+inputs!C$17="n"),+revenues!D59,IF(AND($C$7-E6&gt;-1,inputs!C$17="y"),+E35,0))</f>
        <v>1.443204</v>
      </c>
      <c r="F32" s="166" t="n">
        <f aca="false">IF(AND($C$7-F6&gt;-1,+inputs!D$17="n"),+revenues!E59,IF(AND($C$7-F6&gt;-1,inputs!D$17="y"),+F35,0))</f>
        <v>1.443204</v>
      </c>
      <c r="G32" s="166" t="n">
        <f aca="false">IF(AND($C$7-G6&gt;-1,+inputs!E$17="n"),+revenues!F59,IF(AND($C$7-G6&gt;-1,inputs!E$17="y"),+G35,0))</f>
        <v>1.443204</v>
      </c>
      <c r="H32" s="166" t="n">
        <f aca="false">IF(AND($C$7-H6&gt;-1,+inputs!$F$17="n"),+revenues!G59,IF(AND($C$7-H6&gt;-1,inputs!$F$17="y"),+H35,0))</f>
        <v>1.443204</v>
      </c>
      <c r="I32" s="166" t="n">
        <f aca="false">IF(AND($C$7-I6&gt;-1,+inputs!$F$17="n"),+revenues!H59,IF(AND($C$7-I6&gt;-1,inputs!$F$17="y"),+I35,0))</f>
        <v>1.443204</v>
      </c>
      <c r="J32" s="166" t="n">
        <f aca="false">IF(AND($C$7-J6&gt;-1,+inputs!$F$17="n"),+revenues!I59,IF(AND($C$7-J6&gt;-1,inputs!$F$17="y"),+J35,0))</f>
        <v>1.443204</v>
      </c>
      <c r="K32" s="166" t="n">
        <f aca="false">IF(AND($C$7-K6&gt;-1,+inputs!$F$17="n"),+revenues!J59,IF(AND($C$7-K6&gt;-1,inputs!$F$17="y"),+K35,0))</f>
        <v>1.443204</v>
      </c>
      <c r="L32" s="166" t="n">
        <f aca="false">IF(AND($C$7-L6&gt;-1,+inputs!$F$17="n"),+revenues!K59,IF(AND($C$7-L6&gt;-1,inputs!$F$17="y"),+L35,0))</f>
        <v>1.443204</v>
      </c>
      <c r="M32" s="166" t="n">
        <f aca="false">IF(AND($C$7-M6&gt;-1,+inputs!$F$17="n"),+revenues!L59,IF(AND($C$7-M6&gt;-1,inputs!$F$17="y"),+M35,0))</f>
        <v>1.443204</v>
      </c>
      <c r="N32" s="166" t="n">
        <f aca="false">IF(AND($C$7-N6&gt;-1,+inputs!$F$17="n"),+revenues!M59,IF(AND($C$7-N6&gt;-1,inputs!$F$17="y"),+N35,0))</f>
        <v>1.443204</v>
      </c>
      <c r="O32" s="166" t="n">
        <f aca="false">IF(AND($C$7-O6&gt;-1,+inputs!$F$17="n"),+revenues!N59,IF(AND($C$7-O6&gt;-1,inputs!$F$17="y"),+O35,0))</f>
        <v>1.443204</v>
      </c>
      <c r="P32" s="166" t="n">
        <f aca="false">IF(AND($C$7-P6&gt;-1,+inputs!$F$17="n"),+revenues!O59,IF(AND($C$7-P6&gt;-1,inputs!$F$17="y"),+P35,0))</f>
        <v>1.443204</v>
      </c>
      <c r="Q32" s="166" t="n">
        <f aca="false">IF(AND($C$7-Q6&gt;-1,+inputs!$F$17="n"),+revenues!P59,IF(AND($C$7-Q6&gt;-1,inputs!$F$17="y"),+Q35,0))</f>
        <v>1.443204</v>
      </c>
      <c r="R32" s="166" t="n">
        <f aca="false">IF(AND($C$7-R6&gt;-1,+inputs!$F$17="n"),+revenues!Q59,IF(AND($C$7-R6&gt;-1,inputs!$F$17="y"),+R35,0))</f>
        <v>1.443204</v>
      </c>
      <c r="S32" s="166" t="n">
        <f aca="false">IF(AND($C$7-S6&gt;-1,+inputs!$F$17="n"),+revenues!R59,IF(AND($C$7-S6&gt;-1,inputs!$F$17="y"),+S35,0))</f>
        <v>1.443204</v>
      </c>
      <c r="T32" s="166" t="n">
        <f aca="false">IF(AND($C$7-T6&gt;-1,+inputs!$F$17="n"),+revenues!S59,IF(AND($C$7-T6&gt;-1,inputs!$F$17="y"),+T35,0))</f>
        <v>1.443204</v>
      </c>
      <c r="U32" s="166" t="n">
        <f aca="false">IF(AND($C$7-U6&gt;-1,+inputs!$F$17="n"),+revenues!T59,IF(AND($C$7-U6&gt;-1,inputs!$F$17="y"),+U35,0))</f>
        <v>1.443204</v>
      </c>
      <c r="V32" s="166" t="n">
        <f aca="false">IF(AND($C$7-V6&gt;-1,+inputs!$F$17="n"),+revenues!U59,IF(AND($C$7-V6&gt;-1,inputs!$F$17="y"),+V35,0))</f>
        <v>1.443204</v>
      </c>
      <c r="W32" s="166" t="n">
        <f aca="false">IF(AND($C$7-W6&gt;-1,+inputs!$F$17="n"),+revenues!V59,IF(AND($C$7-W6&gt;-1,inputs!$F$17="y"),+W35,0))</f>
        <v>1.443204</v>
      </c>
      <c r="X32" s="166" t="n">
        <f aca="false">IF(AND($C$7-X6&gt;-1,+inputs!$F$17="n"),+revenues!W59,IF(AND($C$7-X6&gt;-1,inputs!$F$17="y"),+X35,0))</f>
        <v>0</v>
      </c>
      <c r="Y32" s="166" t="n">
        <f aca="false">IF(AND($C$7-Y6&gt;-1,+inputs!$F$17="n"),+revenues!X59,IF(AND($C$7-Y6&gt;-1,inputs!$F$17="y"),+Y35,0))</f>
        <v>0</v>
      </c>
      <c r="Z32" s="166" t="n">
        <f aca="false">IF(AND($C$7-Z6&gt;-1,+inputs!$F$17="n"),+revenues!Y59,IF(AND($C$7-Z6&gt;-1,inputs!$F$17="y"),+Z35,0))</f>
        <v>0</v>
      </c>
      <c r="AA32" s="166" t="n">
        <f aca="false">IF(AND($C$7-AA6&gt;-1,+inputs!$F$17="n"),+revenues!Z59,IF(AND($C$7-AA6&gt;-1,inputs!$F$17="y"),+AA35,0))</f>
        <v>0</v>
      </c>
      <c r="AB32" s="166" t="n">
        <f aca="false">IF(AND($C$7-AB6&gt;-1,+inputs!$F$17="n"),+revenues!AA59,IF(AND($C$7-AB6&gt;-1,inputs!$F$17="y"),+AB35,0))</f>
        <v>0</v>
      </c>
      <c r="AC32" s="161"/>
    </row>
    <row r="33" customFormat="false" ht="11.25" hidden="false" customHeight="false" outlineLevel="0" collapsed="false">
      <c r="A33" s="126" t="s">
        <v>116</v>
      </c>
      <c r="B33" s="123"/>
      <c r="C33" s="125"/>
      <c r="D33" s="167" t="n">
        <f aca="false">D32*D36*365</f>
        <v>1568.00543994355</v>
      </c>
      <c r="E33" s="167" t="n">
        <f aca="false">E32*E36*365</f>
        <v>1601.97520779135</v>
      </c>
      <c r="F33" s="167" t="n">
        <f aca="false">F32*F36*365</f>
        <v>1420.38298418293</v>
      </c>
      <c r="G33" s="167" t="n">
        <f aca="false">G32*G36*365</f>
        <v>1568.82043970175</v>
      </c>
      <c r="H33" s="167" t="n">
        <f aca="false">H32*H36*365</f>
        <v>1835.61880629305</v>
      </c>
      <c r="I33" s="167" t="n">
        <f aca="false">I32*I36*365</f>
        <v>1807.99146937692</v>
      </c>
      <c r="J33" s="167" t="n">
        <f aca="false">J32*J36*365</f>
        <v>1646.61973059224</v>
      </c>
      <c r="K33" s="167" t="n">
        <f aca="false">K32*K36*365</f>
        <v>1764.84574401283</v>
      </c>
      <c r="L33" s="167" t="n">
        <f aca="false">L32*L36*365</f>
        <v>2137.1104698325</v>
      </c>
      <c r="M33" s="167" t="n">
        <f aca="false">M32*M36*365</f>
        <v>2051.63492439462</v>
      </c>
      <c r="N33" s="167" t="n">
        <f aca="false">N32*N36*365</f>
        <v>1801.35063587505</v>
      </c>
      <c r="O33" s="167" t="n">
        <f aca="false">O32*O36*365</f>
        <v>2021.98288015534</v>
      </c>
      <c r="P33" s="167" t="n">
        <f aca="false">P32*P36*365</f>
        <v>2068.42785209841</v>
      </c>
      <c r="Q33" s="167" t="n">
        <f aca="false">Q32*Q36*365</f>
        <v>1964.06658285598</v>
      </c>
      <c r="R33" s="167" t="n">
        <f aca="false">R32*R36*365</f>
        <v>2487.5328690934</v>
      </c>
      <c r="S33" s="167" t="n">
        <f aca="false">S32*S36*365</f>
        <v>1972.59793860873</v>
      </c>
      <c r="T33" s="167" t="n">
        <f aca="false">T32*T36*365</f>
        <v>2217.03564431399</v>
      </c>
      <c r="U33" s="167" t="n">
        <f aca="false">U32*U36*365</f>
        <v>2573.02936239767</v>
      </c>
      <c r="V33" s="167" t="n">
        <f aca="false">V32*V36*365</f>
        <v>2282.90432152538</v>
      </c>
      <c r="W33" s="167" t="n">
        <f aca="false">W32*W36*365</f>
        <v>2387.08802830408</v>
      </c>
      <c r="X33" s="167" t="n">
        <f aca="false">X32*X36*365</f>
        <v>0</v>
      </c>
      <c r="Y33" s="167" t="n">
        <f aca="false">Y32*Y36*365</f>
        <v>0</v>
      </c>
      <c r="Z33" s="167" t="n">
        <f aca="false">Z32*Z36*365</f>
        <v>0</v>
      </c>
      <c r="AA33" s="167" t="n">
        <f aca="false">AA32*AA36*365</f>
        <v>0</v>
      </c>
      <c r="AB33" s="167" t="n">
        <f aca="false">AB32*AB36*365</f>
        <v>0</v>
      </c>
      <c r="AC33" s="161" t="n">
        <f aca="false">SUM(D33:AB33)</f>
        <v>39179.0213313498</v>
      </c>
    </row>
    <row r="34" customFormat="false" ht="11.25" hidden="false" customHeight="false" outlineLevel="0" collapsed="false">
      <c r="A34" s="123"/>
      <c r="B34" s="123"/>
      <c r="C34" s="125"/>
      <c r="D34" s="123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61"/>
    </row>
    <row r="35" customFormat="false" ht="11.25" hidden="false" customHeight="false" outlineLevel="0" collapsed="false">
      <c r="A35" s="126" t="s">
        <v>117</v>
      </c>
      <c r="B35" s="123"/>
      <c r="C35" s="125"/>
      <c r="D35" s="168" t="n">
        <f aca="false">+assumptions!C34+assumptions!C33</f>
        <v>1.443204</v>
      </c>
      <c r="E35" s="168" t="n">
        <f aca="false">IF($C$7-E6&gt;-1,+assumptions!D34+assumptions!D33,0)</f>
        <v>1.443204</v>
      </c>
      <c r="F35" s="168" t="n">
        <f aca="false">IF($C$7-F6&gt;-1,+assumptions!E34+assumptions!E33,0)</f>
        <v>1.443204</v>
      </c>
      <c r="G35" s="168" t="n">
        <f aca="false">IF($C$7-G6&gt;-1,+assumptions!F34+assumptions!F33,0)</f>
        <v>1.443204</v>
      </c>
      <c r="H35" s="168" t="n">
        <f aca="false">IF($C$7-H6&gt;-1,+assumptions!G34+assumptions!G33,0)</f>
        <v>1.443204</v>
      </c>
      <c r="I35" s="168" t="n">
        <f aca="false">IF($C$7-I6&gt;-1,+assumptions!H34+assumptions!H33,0)</f>
        <v>1.443204</v>
      </c>
      <c r="J35" s="168" t="n">
        <f aca="false">IF($C$7-J6&gt;-1,+assumptions!I34+assumptions!I33,0)</f>
        <v>1.443204</v>
      </c>
      <c r="K35" s="168" t="n">
        <f aca="false">IF($C$7-K6&gt;-1,+assumptions!J34+assumptions!J33,0)</f>
        <v>1.443204</v>
      </c>
      <c r="L35" s="168" t="n">
        <f aca="false">IF($C$7-L6&gt;-1,+assumptions!K34+assumptions!K33,0)</f>
        <v>1.443204</v>
      </c>
      <c r="M35" s="168" t="n">
        <f aca="false">IF($C$7-M6&gt;-1,+assumptions!L34+assumptions!L33,0)</f>
        <v>1.443204</v>
      </c>
      <c r="N35" s="168" t="n">
        <f aca="false">IF($C$7-N6&gt;-1,+assumptions!M34+assumptions!M33,0)</f>
        <v>1.443204</v>
      </c>
      <c r="O35" s="168" t="n">
        <f aca="false">IF($C$7-O6&gt;-1,+assumptions!N34+assumptions!N33,0)</f>
        <v>1.443204</v>
      </c>
      <c r="P35" s="168" t="n">
        <f aca="false">IF($C$7-P6&gt;-1,+assumptions!O34+assumptions!O33,0)</f>
        <v>1.443204</v>
      </c>
      <c r="Q35" s="168" t="n">
        <f aca="false">IF($C$7-Q6&gt;-1,+assumptions!P34+assumptions!P33,0)</f>
        <v>1.443204</v>
      </c>
      <c r="R35" s="168" t="n">
        <f aca="false">IF($C$7-R6&gt;-1,+assumptions!Q34+assumptions!Q33,0)</f>
        <v>1.443204</v>
      </c>
      <c r="S35" s="168" t="n">
        <f aca="false">IF($C$7-S6&gt;-1,+assumptions!R34+assumptions!R33,0)</f>
        <v>1.443204</v>
      </c>
      <c r="T35" s="168" t="n">
        <f aca="false">IF($C$7-T6&gt;-1,+assumptions!S34+assumptions!S33,0)</f>
        <v>1.443204</v>
      </c>
      <c r="U35" s="168" t="n">
        <f aca="false">IF($C$7-U6&gt;-1,+assumptions!T34+assumptions!T33,0)</f>
        <v>1.443204</v>
      </c>
      <c r="V35" s="168" t="n">
        <f aca="false">IF($C$7-V6&gt;-1,+assumptions!U34+assumptions!U33,0)</f>
        <v>1.443204</v>
      </c>
      <c r="W35" s="168" t="n">
        <f aca="false">IF($C$7-W6&gt;-1,+assumptions!V34+assumptions!V33,0)</f>
        <v>1.443204</v>
      </c>
      <c r="X35" s="168" t="n">
        <f aca="false">IF($C$7-X6&gt;-1,+assumptions!W34+assumptions!W33,0)</f>
        <v>0</v>
      </c>
      <c r="Y35" s="168" t="n">
        <f aca="false">IF($C$7-Y6&gt;-1,+assumptions!X34+assumptions!X33,0)</f>
        <v>0</v>
      </c>
      <c r="Z35" s="168" t="n">
        <f aca="false">IF($C$7-Z6&gt;-1,+assumptions!Y34+assumptions!Y33,0)</f>
        <v>0</v>
      </c>
      <c r="AA35" s="168" t="n">
        <f aca="false">IF($C$7-AA6&gt;-1,+assumptions!Z34+assumptions!Z33,0)</f>
        <v>0</v>
      </c>
      <c r="AB35" s="168" t="n">
        <f aca="false">IF($C$7-AB6&gt;-1,+assumptions!AA34+assumptions!AA33,0)</f>
        <v>0</v>
      </c>
      <c r="AC35" s="161"/>
    </row>
    <row r="36" customFormat="false" ht="11.25" hidden="false" customHeight="false" outlineLevel="0" collapsed="false">
      <c r="A36" s="126" t="s">
        <v>59</v>
      </c>
      <c r="B36" s="169" t="n">
        <f aca="false">+assumptions!B24</f>
        <v>1.03</v>
      </c>
      <c r="C36" s="125"/>
      <c r="D36" s="170" t="n">
        <f aca="false">+assumptions!C35</f>
        <v>2.97664454568712</v>
      </c>
      <c r="E36" s="170" t="n">
        <f aca="false">+assumptions!D35</f>
        <v>3.04113151850403</v>
      </c>
      <c r="F36" s="170" t="n">
        <f aca="false">+assumptions!E35</f>
        <v>2.69640344028852</v>
      </c>
      <c r="G36" s="170" t="n">
        <f aca="false">+assumptions!F35</f>
        <v>2.9781917116109</v>
      </c>
      <c r="H36" s="170" t="n">
        <f aca="false">+assumptions!G35</f>
        <v>3.48467203526386</v>
      </c>
      <c r="I36" s="170" t="n">
        <f aca="false">+assumptions!H35</f>
        <v>3.43222530284295</v>
      </c>
      <c r="J36" s="170" t="n">
        <f aca="false">+assumptions!I35</f>
        <v>3.12588305820205</v>
      </c>
      <c r="K36" s="170" t="n">
        <f aca="false">+assumptions!J35</f>
        <v>3.35031902573249</v>
      </c>
      <c r="L36" s="170" t="n">
        <f aca="false">+assumptions!K35</f>
        <v>4.05701285308472</v>
      </c>
      <c r="M36" s="170" t="n">
        <f aca="false">+assumptions!L35</f>
        <v>3.89474918381681</v>
      </c>
      <c r="N36" s="170" t="n">
        <f aca="false">+assumptions!M35</f>
        <v>3.41961858585168</v>
      </c>
      <c r="O36" s="170" t="n">
        <f aca="false">+assumptions!N35</f>
        <v>3.83845882059172</v>
      </c>
      <c r="P36" s="170" t="n">
        <f aca="false">+assumptions!O35</f>
        <v>3.92662826751271</v>
      </c>
      <c r="Q36" s="170" t="n">
        <f aca="false">+assumptions!P35</f>
        <v>3.72851262648367</v>
      </c>
      <c r="R36" s="170" t="n">
        <f aca="false">+assumptions!Q35</f>
        <v>4.7222420014505</v>
      </c>
      <c r="S36" s="170" t="n">
        <f aca="false">+assumptions!R35</f>
        <v>3.74470824221421</v>
      </c>
      <c r="T36" s="170" t="n">
        <f aca="false">+assumptions!S35</f>
        <v>4.20873989983017</v>
      </c>
      <c r="U36" s="170" t="n">
        <f aca="false">+assumptions!T35</f>
        <v>4.88454543738673</v>
      </c>
      <c r="V36" s="170" t="n">
        <f aca="false">+assumptions!U35</f>
        <v>4.33378260297282</v>
      </c>
      <c r="W36" s="170" t="n">
        <f aca="false">+assumptions!V35</f>
        <v>4.53156116587336</v>
      </c>
      <c r="X36" s="170" t="n">
        <f aca="false">+assumptions!W35</f>
        <v>0</v>
      </c>
      <c r="Y36" s="170" t="n">
        <f aca="false">+assumptions!X35</f>
        <v>0</v>
      </c>
      <c r="Z36" s="170" t="n">
        <f aca="false">+assumptions!Y35</f>
        <v>0</v>
      </c>
      <c r="AA36" s="170" t="n">
        <f aca="false">+assumptions!Z35</f>
        <v>0</v>
      </c>
      <c r="AB36" s="170" t="n">
        <f aca="false">+assumptions!AA35</f>
        <v>0</v>
      </c>
      <c r="AC36" s="161"/>
    </row>
    <row r="37" customFormat="false" ht="11.25" hidden="false" customHeight="false" outlineLevel="0" collapsed="false">
      <c r="A37" s="123" t="s">
        <v>118</v>
      </c>
      <c r="B37" s="171"/>
      <c r="C37" s="125"/>
      <c r="D37" s="167" t="n">
        <f aca="false">(D35*D36*365)</f>
        <v>1568.00543994355</v>
      </c>
      <c r="E37" s="167" t="n">
        <f aca="false">(E35*E36*365)</f>
        <v>1601.97520779135</v>
      </c>
      <c r="F37" s="167" t="n">
        <f aca="false">(F35*F36*365)</f>
        <v>1420.38298418293</v>
      </c>
      <c r="G37" s="167" t="n">
        <f aca="false">(G35*G36*365)</f>
        <v>1568.82043970175</v>
      </c>
      <c r="H37" s="167" t="n">
        <f aca="false">(H35*H36*365)</f>
        <v>1835.61880629305</v>
      </c>
      <c r="I37" s="167" t="n">
        <f aca="false">(I35*I36*365)</f>
        <v>1807.99146937692</v>
      </c>
      <c r="J37" s="167" t="n">
        <f aca="false">(J35*J36*365)</f>
        <v>1646.61973059224</v>
      </c>
      <c r="K37" s="167" t="n">
        <f aca="false">(K35*K36*365)</f>
        <v>1764.84574401283</v>
      </c>
      <c r="L37" s="167" t="n">
        <f aca="false">(L35*L36*365)</f>
        <v>2137.1104698325</v>
      </c>
      <c r="M37" s="167" t="n">
        <f aca="false">(M35*M36*365)</f>
        <v>2051.63492439462</v>
      </c>
      <c r="N37" s="167" t="n">
        <f aca="false">(N35*N36*365)</f>
        <v>1801.35063587505</v>
      </c>
      <c r="O37" s="167" t="n">
        <f aca="false">(O35*O36*365)</f>
        <v>2021.98288015534</v>
      </c>
      <c r="P37" s="167" t="n">
        <f aca="false">(P35*P36*365)</f>
        <v>2068.42785209841</v>
      </c>
      <c r="Q37" s="167" t="n">
        <f aca="false">(Q35*Q36*365)</f>
        <v>1964.06658285598</v>
      </c>
      <c r="R37" s="167" t="n">
        <f aca="false">(R35*R36*365)</f>
        <v>2487.5328690934</v>
      </c>
      <c r="S37" s="167" t="n">
        <f aca="false">(S35*S36*365)</f>
        <v>1972.59793860873</v>
      </c>
      <c r="T37" s="167" t="n">
        <f aca="false">(T35*T36*365)</f>
        <v>2217.03564431399</v>
      </c>
      <c r="U37" s="167" t="n">
        <f aca="false">(U35*U36*365)</f>
        <v>2573.02936239767</v>
      </c>
      <c r="V37" s="167" t="n">
        <f aca="false">(V35*V36*365)</f>
        <v>2282.90432152538</v>
      </c>
      <c r="W37" s="167" t="n">
        <f aca="false">(W35*W36*365)</f>
        <v>2387.08802830408</v>
      </c>
      <c r="X37" s="167" t="n">
        <f aca="false">(X35*X36*365)</f>
        <v>0</v>
      </c>
      <c r="Y37" s="167" t="n">
        <f aca="false">(Y35*Y36*365)</f>
        <v>0</v>
      </c>
      <c r="Z37" s="167" t="n">
        <f aca="false">(Z35*Z36*365)</f>
        <v>0</v>
      </c>
      <c r="AA37" s="167" t="n">
        <f aca="false">(AA35*AA36*365)</f>
        <v>0</v>
      </c>
      <c r="AB37" s="167" t="n">
        <f aca="false">(AB35*AB36*365)</f>
        <v>0</v>
      </c>
      <c r="AC37" s="161" t="n">
        <f aca="false">SUM(D37:AB37)</f>
        <v>39179.0213313498</v>
      </c>
    </row>
    <row r="38" customFormat="false" ht="11.25" hidden="false" customHeight="false" outlineLevel="0" collapsed="false">
      <c r="A38" s="123"/>
      <c r="B38" s="171"/>
      <c r="C38" s="172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61"/>
    </row>
    <row r="39" customFormat="false" ht="11.25" hidden="false" customHeight="false" outlineLevel="0" collapsed="false">
      <c r="A39" s="126" t="s">
        <v>119</v>
      </c>
      <c r="B39" s="171"/>
      <c r="C39" s="172"/>
      <c r="D39" s="174" t="n">
        <v>0</v>
      </c>
      <c r="E39" s="168" t="n">
        <f aca="false">IF($C$7-E6&gt;-1,+D39,0)</f>
        <v>0</v>
      </c>
      <c r="F39" s="168" t="n">
        <f aca="false">IF($C$7-F6&gt;-1,+E39,0)</f>
        <v>0</v>
      </c>
      <c r="G39" s="168" t="n">
        <f aca="false">IF($C$7-G6&gt;-1,+F39,0)</f>
        <v>0</v>
      </c>
      <c r="H39" s="168" t="n">
        <f aca="false">IF($C$7-H6&gt;-1,+G39,0)</f>
        <v>0</v>
      </c>
      <c r="I39" s="168" t="n">
        <f aca="false">IF($C$7-I6&gt;-1,+H39,0)</f>
        <v>0</v>
      </c>
      <c r="J39" s="168" t="n">
        <f aca="false">IF($C$7-J6&gt;-1,+I39,0)</f>
        <v>0</v>
      </c>
      <c r="K39" s="168" t="n">
        <f aca="false">IF($C$7-K6&gt;-1,+J39,0)</f>
        <v>0</v>
      </c>
      <c r="L39" s="168" t="n">
        <f aca="false">IF($C$7-L6&gt;-1,+K39,0)</f>
        <v>0</v>
      </c>
      <c r="M39" s="168" t="n">
        <f aca="false">IF($C$7-M6&gt;-1,+L39,0)</f>
        <v>0</v>
      </c>
      <c r="N39" s="168" t="n">
        <f aca="false">IF($C$7-N6&gt;-1,+M39,0)</f>
        <v>0</v>
      </c>
      <c r="O39" s="168" t="n">
        <f aca="false">IF($C$7-O6&gt;-1,+N39,0)</f>
        <v>0</v>
      </c>
      <c r="P39" s="168" t="n">
        <f aca="false">IF($C$7-P6&gt;-1,+O39,0)</f>
        <v>0</v>
      </c>
      <c r="Q39" s="168" t="n">
        <f aca="false">IF($C$7-Q6&gt;-1,+P39,0)</f>
        <v>0</v>
      </c>
      <c r="R39" s="168" t="n">
        <f aca="false">IF($C$7-R6&gt;-1,+Q39,0)</f>
        <v>0</v>
      </c>
      <c r="S39" s="168" t="n">
        <f aca="false">IF($C$7-S6&gt;-1,+R39,0)</f>
        <v>0</v>
      </c>
      <c r="T39" s="168" t="n">
        <f aca="false">IF($C$7-T6&gt;-1,+S39,0)</f>
        <v>0</v>
      </c>
      <c r="U39" s="168" t="n">
        <f aca="false">IF($C$7-U6&gt;-1,+T39,0)</f>
        <v>0</v>
      </c>
      <c r="V39" s="168" t="n">
        <f aca="false">IF($C$7-V6&gt;-1,+U39,0)</f>
        <v>0</v>
      </c>
      <c r="W39" s="168" t="n">
        <f aca="false">IF($C$7-W6&gt;-1,+V39,0)</f>
        <v>0</v>
      </c>
      <c r="X39" s="168" t="n">
        <f aca="false">IF($C$7-X6&gt;-1,+W39,0)</f>
        <v>0</v>
      </c>
      <c r="Y39" s="168" t="n">
        <f aca="false">IF($C$7-Y6&gt;-1,+X39,0)</f>
        <v>0</v>
      </c>
      <c r="Z39" s="168" t="n">
        <f aca="false">IF($C$7-Z6&gt;-1,+Y39,0)</f>
        <v>0</v>
      </c>
      <c r="AA39" s="168" t="n">
        <f aca="false">IF($C$7-AA6&gt;-1,+Z39,0)</f>
        <v>0</v>
      </c>
      <c r="AB39" s="168" t="n">
        <f aca="false">IF($C$7-AB6&gt;-1,+AA39,0)</f>
        <v>0</v>
      </c>
      <c r="AC39" s="161"/>
    </row>
    <row r="40" customFormat="false" ht="11.25" hidden="false" customHeight="false" outlineLevel="0" collapsed="false">
      <c r="A40" s="126" t="s">
        <v>120</v>
      </c>
      <c r="B40" s="171"/>
      <c r="C40" s="172"/>
      <c r="D40" s="175" t="n">
        <v>0.04</v>
      </c>
      <c r="E40" s="175" t="n">
        <f aca="false">+D40</f>
        <v>0.04</v>
      </c>
      <c r="F40" s="175" t="n">
        <f aca="false">+E40</f>
        <v>0.04</v>
      </c>
      <c r="G40" s="175" t="n">
        <f aca="false">+F40</f>
        <v>0.04</v>
      </c>
      <c r="H40" s="175" t="n">
        <f aca="false">+G40</f>
        <v>0.04</v>
      </c>
      <c r="I40" s="175" t="n">
        <f aca="false">+H40</f>
        <v>0.04</v>
      </c>
      <c r="J40" s="175" t="n">
        <f aca="false">+I40</f>
        <v>0.04</v>
      </c>
      <c r="K40" s="175" t="n">
        <f aca="false">+J40</f>
        <v>0.04</v>
      </c>
      <c r="L40" s="175" t="n">
        <f aca="false">+K40</f>
        <v>0.04</v>
      </c>
      <c r="M40" s="175" t="n">
        <f aca="false">+L40</f>
        <v>0.04</v>
      </c>
      <c r="N40" s="175" t="n">
        <f aca="false">+M40</f>
        <v>0.04</v>
      </c>
      <c r="O40" s="175" t="n">
        <f aca="false">+N40</f>
        <v>0.04</v>
      </c>
      <c r="P40" s="175" t="n">
        <f aca="false">+O40</f>
        <v>0.04</v>
      </c>
      <c r="Q40" s="175" t="n">
        <f aca="false">+P40</f>
        <v>0.04</v>
      </c>
      <c r="R40" s="175" t="n">
        <f aca="false">+Q40</f>
        <v>0.04</v>
      </c>
      <c r="S40" s="175" t="n">
        <f aca="false">+R40</f>
        <v>0.04</v>
      </c>
      <c r="T40" s="175" t="n">
        <f aca="false">+S40</f>
        <v>0.04</v>
      </c>
      <c r="U40" s="175" t="n">
        <f aca="false">+T40</f>
        <v>0.04</v>
      </c>
      <c r="V40" s="175" t="n">
        <f aca="false">+U40</f>
        <v>0.04</v>
      </c>
      <c r="W40" s="175" t="n">
        <f aca="false">+V40</f>
        <v>0.04</v>
      </c>
      <c r="X40" s="175" t="n">
        <f aca="false">+W40</f>
        <v>0.04</v>
      </c>
      <c r="Y40" s="175" t="n">
        <f aca="false">+X40</f>
        <v>0.04</v>
      </c>
      <c r="Z40" s="175" t="n">
        <f aca="false">+Y40</f>
        <v>0.04</v>
      </c>
      <c r="AA40" s="175" t="n">
        <f aca="false">+Z40</f>
        <v>0.04</v>
      </c>
      <c r="AB40" s="175" t="n">
        <f aca="false">+AA40</f>
        <v>0.04</v>
      </c>
      <c r="AC40" s="161"/>
    </row>
    <row r="41" customFormat="false" ht="11.25" hidden="false" customHeight="false" outlineLevel="0" collapsed="false">
      <c r="A41" s="123" t="s">
        <v>118</v>
      </c>
      <c r="B41" s="171"/>
      <c r="C41" s="172"/>
      <c r="D41" s="167" t="n">
        <f aca="false">+D39*D40*365</f>
        <v>0</v>
      </c>
      <c r="E41" s="167" t="n">
        <f aca="false">+E39*E40*365</f>
        <v>0</v>
      </c>
      <c r="F41" s="167" t="n">
        <f aca="false">+F39*F40*365</f>
        <v>0</v>
      </c>
      <c r="G41" s="167" t="n">
        <f aca="false">+G39*G40*365</f>
        <v>0</v>
      </c>
      <c r="H41" s="167" t="n">
        <f aca="false">+H39*H40*365</f>
        <v>0</v>
      </c>
      <c r="I41" s="167" t="n">
        <f aca="false">+I39*I40*365</f>
        <v>0</v>
      </c>
      <c r="J41" s="167" t="n">
        <f aca="false">+J39*J40*365</f>
        <v>0</v>
      </c>
      <c r="K41" s="167" t="n">
        <f aca="false">+K39*K40*365</f>
        <v>0</v>
      </c>
      <c r="L41" s="167" t="n">
        <f aca="false">+L39*L40*365</f>
        <v>0</v>
      </c>
      <c r="M41" s="167" t="n">
        <f aca="false">+M39*M40*365</f>
        <v>0</v>
      </c>
      <c r="N41" s="167" t="n">
        <f aca="false">+N39*N40*365</f>
        <v>0</v>
      </c>
      <c r="O41" s="167" t="n">
        <f aca="false">+O39*O40*365</f>
        <v>0</v>
      </c>
      <c r="P41" s="167" t="n">
        <f aca="false">+P39*P40*365</f>
        <v>0</v>
      </c>
      <c r="Q41" s="167" t="n">
        <f aca="false">+Q39*Q40*365</f>
        <v>0</v>
      </c>
      <c r="R41" s="167" t="n">
        <f aca="false">+R39*R40*365</f>
        <v>0</v>
      </c>
      <c r="S41" s="167" t="n">
        <f aca="false">+S39*S40*365</f>
        <v>0</v>
      </c>
      <c r="T41" s="167" t="n">
        <f aca="false">+T39*T40*365</f>
        <v>0</v>
      </c>
      <c r="U41" s="167" t="n">
        <f aca="false">+U39*U40*365</f>
        <v>0</v>
      </c>
      <c r="V41" s="167" t="n">
        <f aca="false">+V39*V40*365</f>
        <v>0</v>
      </c>
      <c r="W41" s="167" t="n">
        <f aca="false">+W39*W40*365</f>
        <v>0</v>
      </c>
      <c r="X41" s="167" t="n">
        <f aca="false">+X39*X40*365</f>
        <v>0</v>
      </c>
      <c r="Y41" s="167" t="n">
        <f aca="false">+Y39*Y40*365</f>
        <v>0</v>
      </c>
      <c r="Z41" s="167" t="n">
        <f aca="false">+Z39*Z40*365</f>
        <v>0</v>
      </c>
      <c r="AA41" s="167" t="n">
        <f aca="false">+AA39*AA40*365</f>
        <v>0</v>
      </c>
      <c r="AB41" s="167" t="n">
        <f aca="false">+AB39*AB40*365</f>
        <v>0</v>
      </c>
      <c r="AC41" s="161" t="n">
        <f aca="false">SUM(D41:AB41)</f>
        <v>0</v>
      </c>
    </row>
    <row r="42" customFormat="false" ht="11.25" hidden="false" customHeight="false" outlineLevel="0" collapsed="false">
      <c r="A42" s="123"/>
      <c r="B42" s="171"/>
      <c r="C42" s="172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61"/>
    </row>
    <row r="43" customFormat="false" ht="11.25" hidden="false" customHeight="false" outlineLevel="0" collapsed="false">
      <c r="A43" s="126" t="s">
        <v>60</v>
      </c>
      <c r="B43" s="123"/>
      <c r="C43" s="125"/>
      <c r="D43" s="176"/>
      <c r="E43" s="176"/>
      <c r="F43" s="176"/>
      <c r="G43" s="176"/>
      <c r="H43" s="176"/>
      <c r="I43" s="176"/>
      <c r="J43" s="176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61"/>
    </row>
    <row r="44" customFormat="false" ht="11.25" hidden="false" customHeight="false" outlineLevel="0" collapsed="false">
      <c r="A44" s="126" t="s">
        <v>121</v>
      </c>
      <c r="B44" s="123"/>
      <c r="C44" s="125"/>
      <c r="D44" s="176" t="n">
        <v>750</v>
      </c>
      <c r="E44" s="142" t="n">
        <f aca="false">IF($C$7-E6&gt;-1,D44,0)*$B$45</f>
        <v>772.5</v>
      </c>
      <c r="F44" s="142" t="n">
        <f aca="false">IF($C$7-F6&gt;-1,E44,0)*$B$45</f>
        <v>795.675</v>
      </c>
      <c r="G44" s="142" t="n">
        <f aca="false">IF($C$7-G6&gt;-1,F44,0)*$B$45</f>
        <v>819.54525</v>
      </c>
      <c r="H44" s="142" t="n">
        <f aca="false">IF($C$7-H6&gt;-1,G44,0)*$B$45</f>
        <v>844.1316075</v>
      </c>
      <c r="I44" s="142" t="n">
        <f aca="false">IF($C$7-I6&gt;-1,H44,0)*$B$45</f>
        <v>869.455555725</v>
      </c>
      <c r="J44" s="142" t="n">
        <f aca="false">IF($C$7-J6&gt;-1,I44,0)*$B$45</f>
        <v>895.53922239675</v>
      </c>
      <c r="K44" s="142" t="n">
        <f aca="false">IF($C$7-K6&gt;-1,J44,0)*$B$45</f>
        <v>922.405399068653</v>
      </c>
      <c r="L44" s="142" t="n">
        <f aca="false">IF($C$7-L6&gt;-1,K44,0)*$B$45</f>
        <v>950.077561040712</v>
      </c>
      <c r="M44" s="142" t="n">
        <f aca="false">IF($C$7-M6&gt;-1,L44,0)*$B$45</f>
        <v>978.579887871934</v>
      </c>
      <c r="N44" s="142" t="n">
        <f aca="false">IF($C$7-N6&gt;-1,M44,0)*$B$45</f>
        <v>1007.93728450809</v>
      </c>
      <c r="O44" s="142" t="n">
        <f aca="false">IF($C$7-O6&gt;-1,N44,0)*$B$45</f>
        <v>1038.17540304333</v>
      </c>
      <c r="P44" s="142" t="n">
        <f aca="false">IF($C$7-P6&gt;-1,O44,0)*$B$45</f>
        <v>1069.32066513463</v>
      </c>
      <c r="Q44" s="142" t="n">
        <f aca="false">IF($C$7-Q6&gt;-1,P44,0)*$B$45</f>
        <v>1101.40028508867</v>
      </c>
      <c r="R44" s="142" t="n">
        <f aca="false">IF($C$7-R6&gt;-1,Q44,0)*$B$45</f>
        <v>1134.44229364133</v>
      </c>
      <c r="S44" s="142" t="n">
        <f aca="false">IF($C$7-S6&gt;-1,R44,0)*$B$45</f>
        <v>1168.47556245057</v>
      </c>
      <c r="T44" s="142" t="n">
        <f aca="false">IF($C$7-T6&gt;-1,S44,0)*$B$45</f>
        <v>1203.52982932409</v>
      </c>
      <c r="U44" s="142" t="n">
        <f aca="false">IF($C$7-U6&gt;-1,T44,0)*$B$45</f>
        <v>1239.63572420381</v>
      </c>
      <c r="V44" s="142" t="n">
        <f aca="false">IF($C$7-V6&gt;-1,U44,0)*$B$45</f>
        <v>1276.82479592993</v>
      </c>
      <c r="W44" s="142" t="n">
        <f aca="false">IF($C$7-W6&gt;-1,V44,0)*$B$45</f>
        <v>1315.12953980783</v>
      </c>
      <c r="X44" s="142" t="n">
        <f aca="false">IF($C$7-X6&gt;-1,W44,0)*$B$45</f>
        <v>0</v>
      </c>
      <c r="Y44" s="142" t="n">
        <f aca="false">IF($C$7-Y6&gt;-1,X44,0)*$B$45</f>
        <v>0</v>
      </c>
      <c r="Z44" s="142" t="n">
        <f aca="false">IF($C$7-Z6&gt;-1,Y44,0)*$B$45</f>
        <v>0</v>
      </c>
      <c r="AA44" s="142" t="n">
        <f aca="false">IF($C$7-AA6&gt;-1,Z44,0)*$B$45</f>
        <v>0</v>
      </c>
      <c r="AB44" s="142" t="n">
        <f aca="false">IF($C$7-AB6&gt;-1,AA44,0)*$B$45</f>
        <v>0</v>
      </c>
      <c r="AC44" s="161"/>
    </row>
    <row r="45" customFormat="false" ht="11.25" hidden="false" customHeight="false" outlineLevel="0" collapsed="false">
      <c r="A45" s="126" t="s">
        <v>122</v>
      </c>
      <c r="B45" s="177" t="n">
        <f aca="false">+assumptions!B24</f>
        <v>1.03</v>
      </c>
      <c r="C45" s="125"/>
      <c r="D45" s="142" t="n">
        <f aca="false">+assumptions!C39</f>
        <v>755.6</v>
      </c>
      <c r="E45" s="142" t="n">
        <f aca="false">IF($C$7-E6&gt;-1,D45,0)*$B$45</f>
        <v>778.268</v>
      </c>
      <c r="F45" s="142" t="n">
        <f aca="false">IF($C$7-F6&gt;-1,E45,0)*$B$45</f>
        <v>801.61604</v>
      </c>
      <c r="G45" s="142" t="n">
        <f aca="false">IF($C$7-G6&gt;-1,F45,0)*$B$45</f>
        <v>825.6645212</v>
      </c>
      <c r="H45" s="142" t="n">
        <f aca="false">IF($C$7-H6&gt;-1,G45,0)*$B$45</f>
        <v>850.434456836</v>
      </c>
      <c r="I45" s="142" t="n">
        <f aca="false">IF($C$7-I6&gt;-1,H45,0)*$B$45</f>
        <v>875.94749054108</v>
      </c>
      <c r="J45" s="142" t="n">
        <f aca="false">IF($C$7-J6&gt;-1,I45,0)*$B$45</f>
        <v>902.225915257312</v>
      </c>
      <c r="K45" s="142" t="n">
        <f aca="false">IF($C$7-K6&gt;-1,J45,0)*$B$45</f>
        <v>929.292692715032</v>
      </c>
      <c r="L45" s="142" t="n">
        <f aca="false">IF($C$7-L6&gt;-1,K45,0)*$B$45</f>
        <v>957.171473496483</v>
      </c>
      <c r="M45" s="142" t="n">
        <f aca="false">IF($C$7-M6&gt;-1,L45,0)*$B$45</f>
        <v>985.886617701377</v>
      </c>
      <c r="N45" s="142" t="n">
        <f aca="false">IF($C$7-N6&gt;-1,M45,0)*$B$45</f>
        <v>1015.46321623242</v>
      </c>
      <c r="O45" s="142" t="n">
        <f aca="false">IF($C$7-O6&gt;-1,N45,0)*$B$45</f>
        <v>1045.92711271939</v>
      </c>
      <c r="P45" s="142" t="n">
        <f aca="false">IF($C$7-P6&gt;-1,O45,0)*$B$45</f>
        <v>1077.30492610097</v>
      </c>
      <c r="Q45" s="142" t="n">
        <f aca="false">IF($C$7-Q6&gt;-1,P45,0)*$B$45</f>
        <v>1109.624073884</v>
      </c>
      <c r="R45" s="142" t="n">
        <f aca="false">IF($C$7-R6&gt;-1,Q45,0)*$B$45</f>
        <v>1142.91279610052</v>
      </c>
      <c r="S45" s="142" t="n">
        <f aca="false">IF($C$7-S6&gt;-1,R45,0)*$B$45</f>
        <v>1177.20017998354</v>
      </c>
      <c r="T45" s="142" t="n">
        <f aca="false">IF($C$7-T6&gt;-1,S45,0)*$B$45</f>
        <v>1212.51618538304</v>
      </c>
      <c r="U45" s="142" t="n">
        <f aca="false">IF($C$7-U6&gt;-1,T45,0)*$B$45</f>
        <v>1248.89167094454</v>
      </c>
      <c r="V45" s="142" t="n">
        <f aca="false">IF($C$7-V6&gt;-1,U45,0)*$B$45</f>
        <v>1286.35842107287</v>
      </c>
      <c r="W45" s="142" t="n">
        <f aca="false">IF($C$7-W6&gt;-1,V45,0)*$B$45</f>
        <v>1324.94917370506</v>
      </c>
      <c r="X45" s="142" t="n">
        <f aca="false">IF($C$7-X6&gt;-1,W45,0)*$B$45</f>
        <v>0</v>
      </c>
      <c r="Y45" s="142" t="n">
        <f aca="false">IF($C$7-Y6&gt;-1,X45,0)*$B$45</f>
        <v>0</v>
      </c>
      <c r="Z45" s="142" t="n">
        <f aca="false">IF($C$7-Z6&gt;-1,Y45,0)*$B$45</f>
        <v>0</v>
      </c>
      <c r="AA45" s="142" t="n">
        <f aca="false">IF($C$7-AA6&gt;-1,Z45,0)*$B$45</f>
        <v>0</v>
      </c>
      <c r="AB45" s="142" t="n">
        <f aca="false">IF($C$7-AB6&gt;-1,AA45,0)*$B$45</f>
        <v>0</v>
      </c>
      <c r="AC45" s="161" t="n">
        <f aca="false">SUM(D45:AB45)</f>
        <v>20303.2549638736</v>
      </c>
    </row>
    <row r="46" customFormat="false" ht="11.25" hidden="false" customHeight="false" outlineLevel="0" collapsed="false">
      <c r="A46" s="126" t="s">
        <v>123</v>
      </c>
      <c r="B46" s="177"/>
      <c r="C46" s="125"/>
      <c r="D46" s="142" t="n">
        <f aca="false">+loan!$D26</f>
        <v>6643.984149</v>
      </c>
      <c r="E46" s="142" t="n">
        <f aca="false">+loan!$D27</f>
        <v>6005.58364407504</v>
      </c>
      <c r="F46" s="142" t="n">
        <f aca="false">+loan!$D28</f>
        <v>5582.79005856214</v>
      </c>
      <c r="G46" s="142" t="n">
        <f aca="false">+loan!$D29</f>
        <v>5181.68808469811</v>
      </c>
      <c r="H46" s="142" t="n">
        <f aca="false">+loan!$D30</f>
        <v>4800.23615903363</v>
      </c>
      <c r="I46" s="142" t="n">
        <f aca="false">+loan!$D31</f>
        <v>4436.64791355057</v>
      </c>
      <c r="J46" s="142" t="n">
        <f aca="false">+loan!$D32</f>
        <v>4081.48111729589</v>
      </c>
      <c r="K46" s="142" t="n">
        <f aca="false">+loan!$D33</f>
        <v>3726.31432104121</v>
      </c>
      <c r="L46" s="142" t="n">
        <f aca="false">+loan!$D34</f>
        <v>3370.89232935537</v>
      </c>
      <c r="M46" s="142" t="n">
        <f aca="false">+loan!$D35</f>
        <v>3015.72553310069</v>
      </c>
      <c r="N46" s="142" t="n">
        <f aca="false">+loan!$D36</f>
        <v>2660.30354141485</v>
      </c>
      <c r="O46" s="142" t="n">
        <f aca="false">+loan!$D37</f>
        <v>2305.13674516017</v>
      </c>
      <c r="P46" s="142" t="n">
        <f aca="false">+loan!$D38</f>
        <v>1949.71475347433</v>
      </c>
      <c r="Q46" s="142" t="n">
        <f aca="false">+loan!$D39</f>
        <v>1594.54795721966</v>
      </c>
      <c r="R46" s="142" t="n">
        <f aca="false">+loan!$D40</f>
        <v>1314.66381315809</v>
      </c>
      <c r="S46" s="142" t="n">
        <f aca="false">+loan!$D41</f>
        <v>1110.06232128963</v>
      </c>
      <c r="T46" s="142" t="n">
        <f aca="false">+loan!$D42</f>
        <v>905.46082942118</v>
      </c>
      <c r="U46" s="142" t="n">
        <f aca="false">+loan!$D43</f>
        <v>700.859337552725</v>
      </c>
      <c r="V46" s="142" t="n">
        <f aca="false">+loan!$D44</f>
        <v>496.25784568427</v>
      </c>
      <c r="W46" s="142" t="n">
        <f aca="false">+loan!$D45</f>
        <v>291.656353815816</v>
      </c>
      <c r="X46" s="142" t="n">
        <f aca="false">+loan!$D46</f>
        <v>0</v>
      </c>
      <c r="Y46" s="142" t="n">
        <v>0</v>
      </c>
      <c r="Z46" s="142" t="n">
        <v>0</v>
      </c>
      <c r="AA46" s="142" t="n">
        <v>0</v>
      </c>
      <c r="AB46" s="142" t="n">
        <v>0</v>
      </c>
      <c r="AC46" s="161" t="n">
        <f aca="false">SUM(D46:AB46)</f>
        <v>60174.0068079034</v>
      </c>
    </row>
    <row r="47" customFormat="false" ht="11.25" hidden="false" customHeight="false" outlineLevel="0" collapsed="false">
      <c r="A47" s="126" t="s">
        <v>124</v>
      </c>
      <c r="B47" s="123"/>
      <c r="C47" s="125"/>
      <c r="D47" s="142" t="n">
        <f aca="false">D37-D33+D41</f>
        <v>0</v>
      </c>
      <c r="E47" s="142" t="n">
        <f aca="false">E37-E33+E41</f>
        <v>0</v>
      </c>
      <c r="F47" s="142" t="n">
        <f aca="false">F37-F33+F41</f>
        <v>0</v>
      </c>
      <c r="G47" s="142" t="n">
        <f aca="false">G37-G33+G41</f>
        <v>0</v>
      </c>
      <c r="H47" s="142" t="n">
        <f aca="false">H37-H33+H41</f>
        <v>0</v>
      </c>
      <c r="I47" s="142" t="n">
        <f aca="false">I37-I33+I41</f>
        <v>0</v>
      </c>
      <c r="J47" s="142" t="n">
        <f aca="false">J37-J33+J41</f>
        <v>0</v>
      </c>
      <c r="K47" s="142" t="n">
        <f aca="false">K37-K33+K41</f>
        <v>0</v>
      </c>
      <c r="L47" s="142" t="n">
        <f aca="false">L37-L33+L41</f>
        <v>0</v>
      </c>
      <c r="M47" s="142" t="n">
        <f aca="false">M37-M33+M41</f>
        <v>0</v>
      </c>
      <c r="N47" s="142" t="n">
        <f aca="false">N37-N33+N41</f>
        <v>0</v>
      </c>
      <c r="O47" s="142" t="n">
        <f aca="false">O37-O33+O41</f>
        <v>0</v>
      </c>
      <c r="P47" s="142" t="n">
        <f aca="false">P37-P33+P41</f>
        <v>0</v>
      </c>
      <c r="Q47" s="142" t="n">
        <f aca="false">Q37-Q33+Q41</f>
        <v>0</v>
      </c>
      <c r="R47" s="142" t="n">
        <f aca="false">R37-R33+R41</f>
        <v>0</v>
      </c>
      <c r="S47" s="142" t="n">
        <f aca="false">S37-S33+S41</f>
        <v>0</v>
      </c>
      <c r="T47" s="142" t="n">
        <f aca="false">T37-T33+T41</f>
        <v>0</v>
      </c>
      <c r="U47" s="142" t="n">
        <f aca="false">U37-U33+U41</f>
        <v>0</v>
      </c>
      <c r="V47" s="142" t="n">
        <f aca="false">V37-V33+V41</f>
        <v>0</v>
      </c>
      <c r="W47" s="142" t="n">
        <f aca="false">W37-W33+W41</f>
        <v>0</v>
      </c>
      <c r="X47" s="142" t="n">
        <f aca="false">X37-X33+X41</f>
        <v>0</v>
      </c>
      <c r="Y47" s="142" t="n">
        <f aca="false">Y37-Y33+Y41</f>
        <v>0</v>
      </c>
      <c r="Z47" s="142" t="n">
        <f aca="false">Z37-Z33+Z41</f>
        <v>0</v>
      </c>
      <c r="AA47" s="142" t="n">
        <f aca="false">AA37-AA33+AA41</f>
        <v>0</v>
      </c>
      <c r="AB47" s="142" t="n">
        <f aca="false">AB37-AB33+AB41</f>
        <v>0</v>
      </c>
      <c r="AC47" s="161" t="n">
        <f aca="false">SUM(D47:AB47)</f>
        <v>0</v>
      </c>
    </row>
    <row r="48" customFormat="false" ht="11.25" hidden="false" customHeight="false" outlineLevel="0" collapsed="false">
      <c r="A48" s="126" t="s">
        <v>65</v>
      </c>
      <c r="B48" s="178" t="n">
        <f aca="false">+assumptions!B27</f>
        <v>0.02</v>
      </c>
      <c r="C48" s="125"/>
      <c r="D48" s="142" t="n">
        <f aca="false">+assumptions!C41</f>
        <v>2605.48398</v>
      </c>
      <c r="E48" s="142" t="n">
        <f aca="false">+assumptions!D41</f>
        <v>2683.6484994</v>
      </c>
      <c r="F48" s="142" t="n">
        <f aca="false">+assumptions!E41</f>
        <v>2764.157954382</v>
      </c>
      <c r="G48" s="142" t="n">
        <f aca="false">+assumptions!F41</f>
        <v>2847.08269301346</v>
      </c>
      <c r="H48" s="142" t="n">
        <f aca="false">+assumptions!G41</f>
        <v>2932.49517380386</v>
      </c>
      <c r="I48" s="142" t="n">
        <f aca="false">IF($C$7-I6&gt;-1,H48,0)*$B$45</f>
        <v>3020.47002901798</v>
      </c>
      <c r="J48" s="142" t="n">
        <f aca="false">IF($C$7-J6&gt;-1,I48,0)*$B$45</f>
        <v>3111.08412988852</v>
      </c>
      <c r="K48" s="142" t="n">
        <f aca="false">IF($C$7-K6&gt;-1,J48,0)*$B$45</f>
        <v>3204.41665378518</v>
      </c>
      <c r="L48" s="142" t="n">
        <f aca="false">IF($C$7-L6&gt;-1,K48,0)*$B$45</f>
        <v>3300.54915339873</v>
      </c>
      <c r="M48" s="142" t="n">
        <f aca="false">IF($C$7-M6&gt;-1,L48,0)*$B$45</f>
        <v>3399.56562800069</v>
      </c>
      <c r="N48" s="142" t="n">
        <f aca="false">IF($C$7-N6&gt;-1,M48,0)*$B$45</f>
        <v>3501.55259684071</v>
      </c>
      <c r="O48" s="142" t="n">
        <f aca="false">IF($C$7-O6&gt;-1,N48,0)*$B$45</f>
        <v>3606.59917474594</v>
      </c>
      <c r="P48" s="142" t="n">
        <f aca="false">IF($C$7-P6&gt;-1,O48,0)*$B$45</f>
        <v>3714.79714998831</v>
      </c>
      <c r="Q48" s="142" t="n">
        <f aca="false">IF($C$7-Q6&gt;-1,P48,0)*$B$45</f>
        <v>3826.24106448796</v>
      </c>
      <c r="R48" s="142" t="n">
        <f aca="false">IF($C$7-R6&gt;-1,Q48,0)*$B$45</f>
        <v>3941.0282964226</v>
      </c>
      <c r="S48" s="142" t="n">
        <f aca="false">IF($C$7-S6&gt;-1,R48,0)*$B$45</f>
        <v>4059.25914531528</v>
      </c>
      <c r="T48" s="142" t="n">
        <f aca="false">IF($C$7-T6&gt;-1,S48,0)*$B$45</f>
        <v>4181.03691967474</v>
      </c>
      <c r="U48" s="142" t="n">
        <f aca="false">IF($C$7-U6&gt;-1,T48,0)*$B$45</f>
        <v>4306.46802726498</v>
      </c>
      <c r="V48" s="142" t="n">
        <f aca="false">IF($C$7-V6&gt;-1,U48,0)*$B$45</f>
        <v>4435.66206808293</v>
      </c>
      <c r="W48" s="142" t="n">
        <f aca="false">IF($C$7-W6&gt;-1,V48,0)*$B$45</f>
        <v>4568.73193012542</v>
      </c>
      <c r="X48" s="142" t="n">
        <f aca="false">IF($C$7-X6&gt;-1,W48,0)*$B$45</f>
        <v>0</v>
      </c>
      <c r="Y48" s="142" t="n">
        <f aca="false">IF($C$7-Y6&gt;-1,X48,0)*$B$45</f>
        <v>0</v>
      </c>
      <c r="Z48" s="142" t="n">
        <f aca="false">IF($C$7-Z6&gt;-1,Y48,0)*$B$45</f>
        <v>0</v>
      </c>
      <c r="AA48" s="142" t="n">
        <f aca="false">IF($C$7-AA6&gt;-1,Z48,0)*$B$45</f>
        <v>0</v>
      </c>
      <c r="AB48" s="142" t="n">
        <f aca="false">IF($C$7-AB6&gt;-1,AA48,0)*$B$45</f>
        <v>0</v>
      </c>
      <c r="AC48" s="161" t="n">
        <f aca="false">SUM(D48:AB48)</f>
        <v>70010.3302676393</v>
      </c>
      <c r="AD48" s="179"/>
    </row>
    <row r="49" customFormat="false" ht="11.25" hidden="false" customHeight="false" outlineLevel="0" collapsed="false">
      <c r="A49" s="126" t="s">
        <v>125</v>
      </c>
      <c r="B49" s="178"/>
      <c r="C49" s="125"/>
      <c r="D49" s="161" t="n">
        <f aca="false">IF(AND($C$7=D6,$G$17="y"),(-$C$11+($C$11*assumptions!$B$25*D6)),0)</f>
        <v>0</v>
      </c>
      <c r="E49" s="161" t="n">
        <f aca="false">IF(AND($C$7=E6,$G$17="y"),(-$C$11+($C$11*assumptions!$B$25*E6)),0)</f>
        <v>0</v>
      </c>
      <c r="F49" s="161" t="n">
        <f aca="false">IF(AND($C$7=F6,$G$17="y"),(-$C$11+($C$11*assumptions!$B$25*F6)),0)</f>
        <v>0</v>
      </c>
      <c r="G49" s="161" t="n">
        <f aca="false">IF(AND($C$7=G6,$G$17="y"),(-$C$11+($C$11*assumptions!$B$25*G6)),0)</f>
        <v>0</v>
      </c>
      <c r="H49" s="161" t="n">
        <f aca="false">IF(AND($C$7=H6,$G$17="y"),(-$C$11+($C$11*assumptions!$B$25*H6)),0)</f>
        <v>0</v>
      </c>
      <c r="I49" s="161" t="n">
        <f aca="false">IF(AND($C$7=I6,$G$17="y"),(-$C$11+($C$11*assumptions!$B$25*I6)),0)</f>
        <v>0</v>
      </c>
      <c r="J49" s="161" t="n">
        <f aca="false">IF(AND($C$7=J6,$G$17="y"),(-$C$11+($C$11*assumptions!$B$25*J6)),0)</f>
        <v>0</v>
      </c>
      <c r="K49" s="161" t="n">
        <f aca="false">IF(AND($C$7=K6,$G$17="y"),(-$C$11+($C$11*assumptions!$B$25*K6)),0)</f>
        <v>0</v>
      </c>
      <c r="L49" s="161" t="n">
        <f aca="false">IF(AND($C$7=L6,$G$17="y"),(-$C$11+($C$11*assumptions!$B$25*L6)),0)</f>
        <v>0</v>
      </c>
      <c r="M49" s="161" t="n">
        <f aca="false">IF(AND($C$7=M6,$G$17="y"),(-$C$11+($C$11*assumptions!$B$25*M6)),0)</f>
        <v>0</v>
      </c>
      <c r="N49" s="161" t="n">
        <f aca="false">IF(AND($C$7=N6,$G$17="y"),(-$C$11+($C$11*assumptions!$B$25*N6)),0)</f>
        <v>0</v>
      </c>
      <c r="O49" s="161" t="n">
        <f aca="false">IF(AND($C$7=O6,$G$17="y"),(-$C$11+($C$11*assumptions!$B$25*O6)),0)</f>
        <v>0</v>
      </c>
      <c r="P49" s="161" t="n">
        <f aca="false">IF(AND($C$7=P6,$G$17="y"),(-$C$11+($C$11*assumptions!$B$25*P6)),0)</f>
        <v>0</v>
      </c>
      <c r="Q49" s="161" t="n">
        <f aca="false">IF(AND($C$7=Q6,$G$17="y"),(-$C$11+($C$11*assumptions!$B$25*Q6)),0)</f>
        <v>0</v>
      </c>
      <c r="R49" s="161" t="n">
        <f aca="false">IF(AND($C$7=R6,$G$17="y"),(-$C$11+($C$11*assumptions!$B$25*R6)),0)</f>
        <v>0</v>
      </c>
      <c r="S49" s="161" t="n">
        <f aca="false">IF(AND($C$7=S6,$G$17="y"),(-$C$11+($C$11*assumptions!$B$25*S6)),0)</f>
        <v>0</v>
      </c>
      <c r="T49" s="161" t="n">
        <f aca="false">IF(AND($C$7=T6,$G$17="y"),(-$C$11+($C$11*assumptions!$B$25*T6)),0)</f>
        <v>0</v>
      </c>
      <c r="U49" s="161" t="n">
        <f aca="false">IF(AND($C$7=U6,$G$17="y"),(-$C$11+($C$11*assumptions!$B$25*U6)),0)</f>
        <v>0</v>
      </c>
      <c r="V49" s="161" t="n">
        <f aca="false">IF(AND($C$7=V6,$G$17="y"),(-$C$11+($C$11*assumptions!$B$25*V6)),0)</f>
        <v>0</v>
      </c>
      <c r="W49" s="161" t="n">
        <f aca="false">IF(AND($C$7=W6,$G$17="y"),(-$C$11+($C$11*assumptions!$B$25*W6)),0)</f>
        <v>0</v>
      </c>
      <c r="X49" s="161" t="n">
        <f aca="false">IF(AND($C$7=X6,$G$17="y"),(-$C$11+($C$11*assumptions!$B$25*X6)),0)</f>
        <v>0</v>
      </c>
      <c r="Y49" s="161" t="n">
        <f aca="false">IF(AND($C$7=Y6,$G$17="y"),(-$C$11+($C$11*assumptions!$B$25*Y6)),0)</f>
        <v>0</v>
      </c>
      <c r="Z49" s="161" t="n">
        <f aca="false">IF(AND($C$7=Z6,$G$17="y"),(-$C$11+($C$11*assumptions!$B$25*Z6)),0)</f>
        <v>0</v>
      </c>
      <c r="AA49" s="161" t="n">
        <f aca="false">IF(AND($C$7=AA6,$G$17="y"),(-$C$11+($C$11*assumptions!$B$25*AA6)),0)</f>
        <v>0</v>
      </c>
      <c r="AB49" s="161" t="n">
        <f aca="false">IF(AND($C$7=AB6,$G$17="y"),(-$C$11+($C$11*assumptions!$B$25*AB6)),0)</f>
        <v>0</v>
      </c>
      <c r="AC49" s="161"/>
      <c r="AD49" s="179"/>
    </row>
    <row r="50" customFormat="false" ht="11.25" hidden="false" customHeight="false" outlineLevel="0" collapsed="false">
      <c r="A50" s="123"/>
      <c r="B50" s="123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  <c r="AA50" s="125"/>
      <c r="AB50" s="125"/>
      <c r="AC50" s="161"/>
    </row>
    <row r="51" customFormat="false" ht="11.25" hidden="false" customHeight="false" outlineLevel="0" collapsed="false">
      <c r="A51" s="126" t="s">
        <v>126</v>
      </c>
      <c r="B51" s="123"/>
      <c r="C51" s="125"/>
      <c r="D51" s="142" t="n">
        <f aca="false">IF(+D30-D45-D46-D47-D48-D49&lt;&gt;0,+D30-D45-D46-D47-D48-D49,0)</f>
        <v>12921.171871</v>
      </c>
      <c r="E51" s="142" t="n">
        <f aca="false">IF(+E30-E45-E46-E47-E48-E49&lt;&gt;0,+E30-E45-E46-E47-E48-E49,0)</f>
        <v>13396.099856525</v>
      </c>
      <c r="F51" s="142" t="n">
        <f aca="false">IF(+F30-F45-F46-F47-F48-F49&lt;&gt;0,+F30-F45-F46-F47-F48-F49,0)</f>
        <v>13715.0359470559</v>
      </c>
      <c r="G51" s="142" t="n">
        <f aca="false">IF(+G30-G45-G46-G47-G48-G49&lt;&gt;0,+G30-G45-G46-G47-G48-G49,0)</f>
        <v>14009.1647010884</v>
      </c>
      <c r="H51" s="142" t="n">
        <f aca="false">IF(+H30-H45-H46-H47-H48-H49&lt;&gt;0,+H30-H45-H46-H47-H48-H49,0)</f>
        <v>14343.0742103265</v>
      </c>
      <c r="I51" s="142" t="n">
        <f aca="false">IF(+I30-I45-I46-I47-I48-I49&lt;&gt;0,+I30-I45-I46-I47-I48-I49,0)</f>
        <v>14530.5345668904</v>
      </c>
      <c r="J51" s="142" t="n">
        <f aca="false">IF(+J30-J45-J46-J47-J48-J49&lt;&gt;0,+J30-J45-J46-J47-J48-J49,0)</f>
        <v>14768.8088375583</v>
      </c>
      <c r="K51" s="142" t="n">
        <f aca="false">IF(+K30-K45-K46-K47-K48-K49&lt;&gt;0,+K30-K45-K46-K47-K48-K49,0)</f>
        <v>15003.5763324586</v>
      </c>
      <c r="L51" s="142" t="n">
        <f aca="false">IF(+L30-L45-L46-L47-L48-L49&lt;&gt;0,+L30-L45-L46-L47-L48-L49,0)</f>
        <v>15297.6270437494</v>
      </c>
      <c r="M51" s="142" t="n">
        <f aca="false">IF(+M30-M45-M46-M47-M48-M49&lt;&gt;0,+M30-M45-M46-M47-M48-M49,0)</f>
        <v>15462.4222211972</v>
      </c>
      <c r="N51" s="142" t="n">
        <f aca="false">IF(+N30-N45-N46-N47-N48-N49&lt;&gt;0,+N30-N45-N46-N47-N48-N49,0)</f>
        <v>15686.280645512</v>
      </c>
      <c r="O51" s="142" t="n">
        <f aca="false">IF(+O30-O45-O46-O47-O48-O49&lt;&gt;0,+O30-O45-O46-O47-O48-O49,0)</f>
        <v>15905.9369673745</v>
      </c>
      <c r="P51" s="142" t="n">
        <f aca="false">IF(+P30-P45-P46-P47-P48-P49&lt;&gt;0,+P30-P45-P46-P47-P48-P49,0)</f>
        <v>16184.4231704364</v>
      </c>
      <c r="Q51" s="142" t="n">
        <f aca="false">IF(+Q30-Q45-Q46-Q47-Q48-Q49&lt;&gt;0,+Q30-Q45-Q46-Q47-Q48-Q49,0)</f>
        <v>16333.1869044084</v>
      </c>
      <c r="R51" s="142" t="n">
        <f aca="false">IF(+R30-R45-R46-R47-R48-R49&lt;&gt;0,+R30-R45-R46-R47-R48-R49,0)</f>
        <v>16464.9950943188</v>
      </c>
      <c r="S51" s="142" t="n">
        <f aca="false">IF(+S30-S45-S46-S47-S48-S49&lt;&gt;0,+S30-S45-S46-S47-S48-S49,0)</f>
        <v>16517.0783534115</v>
      </c>
      <c r="T51" s="142" t="n">
        <f aca="false">IF(+T30-T45-T46-T47-T48-T49&lt;&gt;0,+T30-T45-T46-T47-T48-T49,0)</f>
        <v>16627.226065521</v>
      </c>
      <c r="U51" s="142" t="n">
        <f aca="false">IF(+U30-U45-U46-U47-U48-U49&lt;&gt;0,+U30-U45-U46-U47-U48-U49,0)</f>
        <v>16607.3809642378</v>
      </c>
      <c r="V51" s="142" t="n">
        <f aca="false">IF(+V30-V45-V46-V47-V48-V49&lt;&gt;0,+V30-V45-V46-V47-V48-V49,0)</f>
        <v>16645.3216651599</v>
      </c>
      <c r="W51" s="142" t="n">
        <f aca="false">IF(+W30-W45-W46-W47-W48-W49&lt;&gt;0,+W30-W45-W46-W47-W48-W49,0)</f>
        <v>16678.2625423537</v>
      </c>
      <c r="X51" s="142" t="n">
        <f aca="false">IF(+X30-X45-X46-X47-X48-X49&lt;&gt;0,+X30-X45-X46-X47-X48-X49,0)</f>
        <v>0</v>
      </c>
      <c r="Y51" s="142" t="n">
        <f aca="false">IF(+Y30-Y45-Y46-Y47-Y48-Y49&lt;&gt;0,+Y30-Y45-Y46-Y47-Y48-Y49,0)</f>
        <v>0</v>
      </c>
      <c r="Z51" s="142" t="n">
        <f aca="false">IF(+Z30-Z45-Z46-Z47-Z48-Z49&lt;&gt;0,+Z30-Z45-Z46-Z47-Z48-Z49,0)</f>
        <v>0</v>
      </c>
      <c r="AA51" s="142" t="n">
        <f aca="false">IF(+AA30-AA45-AA46-AA47-AA48-AA49&lt;&gt;0,+AA30-AA45-AA46-AA47-AA48-AA49,0)</f>
        <v>0</v>
      </c>
      <c r="AB51" s="142" t="n">
        <f aca="false">IF(+AB30-AB45-AB46-AB47-AB48-AB49&lt;&gt;0,+AB30-AB45-AB46-AB47-AB48-AB49,0)</f>
        <v>0</v>
      </c>
      <c r="AC51" s="161" t="n">
        <f aca="false">SUM(D51:AB51)</f>
        <v>307097.607960584</v>
      </c>
    </row>
    <row r="52" customFormat="false" ht="11.25" hidden="false" customHeight="false" outlineLevel="0" collapsed="false">
      <c r="A52" s="123"/>
      <c r="B52" s="123"/>
      <c r="C52" s="125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61"/>
    </row>
    <row r="53" customFormat="false" ht="11.25" hidden="false" customHeight="false" outlineLevel="0" collapsed="false">
      <c r="A53" s="126" t="s">
        <v>127</v>
      </c>
      <c r="B53" s="123"/>
      <c r="C53" s="125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61"/>
    </row>
    <row r="54" customFormat="false" ht="11.25" hidden="false" customHeight="false" outlineLevel="0" collapsed="false">
      <c r="A54" s="126" t="s">
        <v>128</v>
      </c>
      <c r="B54" s="123"/>
      <c r="C54" s="125"/>
      <c r="D54" s="142" t="n">
        <f aca="false">C11</f>
        <v>130274.199</v>
      </c>
      <c r="E54" s="142" t="n">
        <f aca="false">D54-D57</f>
        <v>123760.48905</v>
      </c>
      <c r="F54" s="142" t="n">
        <f aca="false">E54-E57</f>
        <v>111384.440145</v>
      </c>
      <c r="G54" s="142" t="n">
        <f aca="false">F54-F57</f>
        <v>100245.9961305</v>
      </c>
      <c r="H54" s="142" t="n">
        <f aca="false">G54-G57</f>
        <v>90214.8828075</v>
      </c>
      <c r="I54" s="142" t="n">
        <f aca="false">H54-H57</f>
        <v>81186.8808168</v>
      </c>
      <c r="J54" s="142" t="n">
        <f aca="false">I54-I57</f>
        <v>73070.7982191</v>
      </c>
      <c r="K54" s="142" t="n">
        <f aca="false">J54-J57</f>
        <v>65384.6204781</v>
      </c>
      <c r="L54" s="142" t="n">
        <f aca="false">K54-K57</f>
        <v>57698.4427371</v>
      </c>
      <c r="M54" s="142" t="n">
        <f aca="false">L54-L57</f>
        <v>49999.2375762</v>
      </c>
      <c r="N54" s="142" t="n">
        <f aca="false">M54-M57</f>
        <v>42313.0598352</v>
      </c>
      <c r="O54" s="142" t="n">
        <f aca="false">N54-N57</f>
        <v>34613.8546743</v>
      </c>
      <c r="P54" s="142" t="n">
        <f aca="false">O54-O57</f>
        <v>26927.6769333</v>
      </c>
      <c r="Q54" s="142" t="n">
        <f aca="false">P54-P57</f>
        <v>19228.4717724</v>
      </c>
      <c r="R54" s="142" t="n">
        <f aca="false">Q54-Q57</f>
        <v>11542.2940314</v>
      </c>
      <c r="S54" s="142" t="n">
        <f aca="false">R54-R57</f>
        <v>3843.0888705</v>
      </c>
      <c r="T54" s="142" t="n">
        <f aca="false">S54-S57</f>
        <v>0</v>
      </c>
      <c r="U54" s="142" t="n">
        <f aca="false">T54-T57</f>
        <v>0</v>
      </c>
      <c r="V54" s="142" t="n">
        <f aca="false">U54-U57</f>
        <v>0</v>
      </c>
      <c r="W54" s="142" t="n">
        <f aca="false">V54-V57</f>
        <v>0</v>
      </c>
      <c r="X54" s="142" t="n">
        <f aca="false">W54-W57</f>
        <v>0</v>
      </c>
      <c r="Y54" s="142" t="n">
        <f aca="false">X54-X57</f>
        <v>0</v>
      </c>
      <c r="Z54" s="142" t="n">
        <f aca="false">Y54-Y57</f>
        <v>0</v>
      </c>
      <c r="AA54" s="142" t="n">
        <f aca="false">Z54-Z57</f>
        <v>0</v>
      </c>
      <c r="AB54" s="142" t="n">
        <f aca="false">AA54-AA57</f>
        <v>0</v>
      </c>
      <c r="AC54" s="161"/>
    </row>
    <row r="55" customFormat="false" ht="11.25" hidden="false" customHeight="false" outlineLevel="0" collapsed="false">
      <c r="A55" s="126" t="s">
        <v>129</v>
      </c>
      <c r="B55" s="123"/>
      <c r="C55" s="125"/>
      <c r="D55" s="142" t="n">
        <f aca="false">IF($C$7=D6,D54,0)</f>
        <v>0</v>
      </c>
      <c r="E55" s="142" t="n">
        <f aca="false">IF($C$7=E6,E54,0)</f>
        <v>0</v>
      </c>
      <c r="F55" s="142" t="n">
        <f aca="false">IF($C$7=F6,F54,0)</f>
        <v>0</v>
      </c>
      <c r="G55" s="142" t="n">
        <f aca="false">IF($C$7=G6,G54,0)</f>
        <v>0</v>
      </c>
      <c r="H55" s="142" t="n">
        <f aca="false">IF($C$7=H6,H54,0)</f>
        <v>0</v>
      </c>
      <c r="I55" s="142" t="n">
        <f aca="false">IF($C$7=I6,I54,0)</f>
        <v>0</v>
      </c>
      <c r="J55" s="142" t="n">
        <f aca="false">IF($C$7=J6,J54,0)</f>
        <v>0</v>
      </c>
      <c r="K55" s="142" t="n">
        <f aca="false">IF($C$7=K6,K54,0)</f>
        <v>0</v>
      </c>
      <c r="L55" s="142" t="n">
        <f aca="false">IF($C$7=L6,L54,0)</f>
        <v>0</v>
      </c>
      <c r="M55" s="142" t="n">
        <f aca="false">IF($C$7=M6,M54,0)</f>
        <v>0</v>
      </c>
      <c r="N55" s="142" t="n">
        <f aca="false">IF($C$7=N6,N54,0)</f>
        <v>0</v>
      </c>
      <c r="O55" s="142" t="n">
        <f aca="false">IF($C$7=O6,O54,0)</f>
        <v>0</v>
      </c>
      <c r="P55" s="142" t="n">
        <f aca="false">IF($C$7=P6,P54,0)</f>
        <v>0</v>
      </c>
      <c r="Q55" s="142" t="n">
        <f aca="false">IF($C$7=Q6,Q54,0)</f>
        <v>0</v>
      </c>
      <c r="R55" s="142" t="n">
        <f aca="false">IF($C$7=R6,R54,0)</f>
        <v>0</v>
      </c>
      <c r="S55" s="142" t="n">
        <f aca="false">IF($C$7=S6,S54,0)</f>
        <v>0</v>
      </c>
      <c r="T55" s="142" t="n">
        <f aca="false">IF($C$7=T6,T54,0)</f>
        <v>0</v>
      </c>
      <c r="U55" s="142" t="n">
        <f aca="false">IF($C$7=U6,U54,0)</f>
        <v>0</v>
      </c>
      <c r="V55" s="142" t="n">
        <f aca="false">IF($C$7=V6,V54,0)</f>
        <v>0</v>
      </c>
      <c r="W55" s="142" t="n">
        <f aca="false">IF($C$7=W6,W54,0)</f>
        <v>0</v>
      </c>
      <c r="X55" s="142" t="n">
        <f aca="false">IF($C$7=X6,X54,0)</f>
        <v>0</v>
      </c>
      <c r="Y55" s="142" t="n">
        <f aca="false">IF($C$7=Y6,Y54,0)</f>
        <v>0</v>
      </c>
      <c r="Z55" s="142" t="n">
        <f aca="false">IF($C$7=Z6,Z54,0)</f>
        <v>0</v>
      </c>
      <c r="AA55" s="142" t="n">
        <f aca="false">IF($C$7=AA6,AA54,0)</f>
        <v>0</v>
      </c>
      <c r="AB55" s="142" t="n">
        <f aca="false">IF($C$7=AB6,AB54,0)</f>
        <v>0</v>
      </c>
      <c r="AC55" s="161"/>
    </row>
    <row r="56" customFormat="false" ht="11.25" hidden="false" customHeight="false" outlineLevel="0" collapsed="false">
      <c r="A56" s="126" t="s">
        <v>130</v>
      </c>
      <c r="B56" s="123"/>
      <c r="C56" s="125"/>
      <c r="D56" s="142" t="n">
        <f aca="false">IF($C$9=3,$C$11*assumptions!B45,IF($C$9=5,$C$11*assumptions!B46,IF($C$9=7,$C$11*assumptions!B47,IF($C$9=15,$C$11*assumptions!B48,"n/a"))))</f>
        <v>6513.70995</v>
      </c>
      <c r="E56" s="142" t="n">
        <f aca="false">IF($C$9=3,$C$11*assumptions!C45,IF($C$9=5,$C$11*assumptions!C46,IF($C$9=7,$C$11*assumptions!C47,IF($C$9=15,$C$11*assumptions!C48,"n/a"))))</f>
        <v>12376.048905</v>
      </c>
      <c r="F56" s="142" t="n">
        <f aca="false">IF($C$9=3,$C$11*assumptions!D45,IF($C$9=5,$C$11*assumptions!D46,IF($C$9=7,$C$11*assumptions!D47,IF($C$9=15,$C$11*assumptions!D48,"n/a"))))</f>
        <v>11138.4440145</v>
      </c>
      <c r="G56" s="142" t="n">
        <f aca="false">IF($C$9=3,$C$11*assumptions!E45,IF($C$9=5,$C$11*assumptions!E46,IF($C$9=7,$C$11*assumptions!E47,IF($C$9=15,$C$11*assumptions!E48,"n/a"))))</f>
        <v>10031.113323</v>
      </c>
      <c r="H56" s="142" t="n">
        <f aca="false">IF($C$9=3,$C$11*assumptions!F45,IF($C$9=5,$C$11*assumptions!F46,IF($C$9=7,$C$11*assumptions!F47,IF($C$9=15,$C$11*assumptions!F48,"n/a"))))</f>
        <v>9028.0019907</v>
      </c>
      <c r="I56" s="142" t="n">
        <f aca="false">IF($C$9=3,$C$11*assumptions!G45,IF($C$9=5,$C$11*assumptions!G46,IF($C$9=7,$C$11*assumptions!G47,IF($C$9=15,$C$11*assumptions!G48,"n/a"))))</f>
        <v>8116.0825977</v>
      </c>
      <c r="J56" s="142" t="n">
        <f aca="false">IF($C$9=3,$C$11*assumptions!H45,IF($C$9=5,$C$11*assumptions!H46,IF($C$9=7,$C$11*assumptions!H47,IF($C$9=15,$C$11*assumptions!H48,"n/a"))))</f>
        <v>7686.177741</v>
      </c>
      <c r="K56" s="142" t="n">
        <f aca="false">IF($C$9=3,$C$11*assumptions!I45,IF($C$9=5,$C$11*assumptions!I46,IF($C$9=7,$C$11*assumptions!I47,IF($C$9=15,$C$11*assumptions!I48,"n/a"))))</f>
        <v>7686.177741</v>
      </c>
      <c r="L56" s="142" t="n">
        <f aca="false">IF($C$9=3,$C$11*assumptions!J45,IF($C$9=5,$C$11*assumptions!J46,IF($C$9=7,$C$11*assumptions!J47,IF($C$9=15,$C$11*assumptions!J48,"n/a"))))</f>
        <v>7699.2051609</v>
      </c>
      <c r="M56" s="142" t="n">
        <f aca="false">IF($C$9=3,$C$11*assumptions!K45,IF($C$9=5,$C$11*assumptions!K46,IF($C$9=7,$C$11*assumptions!K47,IF($C$9=15,$C$11*assumptions!K48,"n/a"))))</f>
        <v>7686.177741</v>
      </c>
      <c r="N56" s="142" t="n">
        <f aca="false">IF($C$9=3,$C$11*assumptions!L45,IF($C$9=5,$C$11*assumptions!L46,IF($C$9=7,$C$11*assumptions!L47,IF($C$9=15,$C$11*assumptions!L48,"n/a"))))</f>
        <v>7699.2051609</v>
      </c>
      <c r="O56" s="142" t="n">
        <f aca="false">IF($C$9=3,$C$11*assumptions!M45,IF($C$9=5,$C$11*assumptions!M46,IF($C$9=7,$C$11*assumptions!M47,IF($C$9=15,$C$11*assumptions!M48,"n/a"))))</f>
        <v>7686.177741</v>
      </c>
      <c r="P56" s="142" t="n">
        <f aca="false">IF($C$9=3,$C$11*assumptions!N45,IF($C$9=5,$C$11*assumptions!N46,IF($C$9=7,$C$11*assumptions!N47,IF($C$9=15,$C$11*assumptions!N48,"n/a"))))</f>
        <v>7699.2051609</v>
      </c>
      <c r="Q56" s="142" t="n">
        <f aca="false">IF($C$9=3,$C$11*assumptions!O45,IF($C$9=5,$C$11*assumptions!O46,IF($C$9=7,$C$11*assumptions!O47,IF($C$9=15,$C$11*assumptions!O48,"n/a"))))</f>
        <v>7686.177741</v>
      </c>
      <c r="R56" s="142" t="n">
        <f aca="false">IF($C$9=3,$C$11*assumptions!P45,IF($C$9=5,$C$11*assumptions!P46,IF($C$9=7,$C$11*assumptions!P47,IF($C$9=15,$C$11*assumptions!P48,"n/a"))))</f>
        <v>7699.2051609</v>
      </c>
      <c r="S56" s="142" t="n">
        <f aca="false">IF($C$9=3,$C$11*assumptions!Q45,IF($C$9=5,$C$11*assumptions!Q46,IF($C$9=7,$C$11*assumptions!Q47,IF($C$9=15,$C$11*assumptions!Q48,"n/a"))))</f>
        <v>3843.0888705</v>
      </c>
      <c r="T56" s="142" t="n">
        <f aca="false">IF($C$9=3,$C$11*assumptions!R45,IF($C$9=5,$C$11*assumptions!R46,IF($C$9=7,$C$11*assumptions!R47,IF($C$9=15,$C$11*assumptions!R48,"n/a"))))</f>
        <v>0</v>
      </c>
      <c r="U56" s="142" t="n">
        <f aca="false">IF($C$9=3,$C$11*assumptions!S45,IF($C$9=5,$C$11*assumptions!S46,IF($C$9=7,$C$11*assumptions!S47,IF($C$9=15,$C$11*assumptions!S48,"n/a"))))</f>
        <v>0</v>
      </c>
      <c r="V56" s="142" t="n">
        <f aca="false">IF($C$9=3,$C$11*assumptions!T45,IF($C$9=5,$C$11*assumptions!T46,IF($C$9=7,$C$11*assumptions!T47,IF($C$9=15,$C$11*assumptions!T48,"n/a"))))</f>
        <v>0</v>
      </c>
      <c r="W56" s="142" t="n">
        <f aca="false">IF($C$9=3,$C$11*assumptions!U45,IF($C$9=5,$C$11*assumptions!U46,IF($C$9=7,$C$11*assumptions!U47,IF($C$9=15,$C$11*assumptions!U48,"n/a"))))</f>
        <v>0</v>
      </c>
      <c r="X56" s="142" t="n">
        <f aca="false">IF($C$9=3,$C$11*assumptions!V45,IF($C$9=5,$C$11*assumptions!V46,IF($C$9=7,$C$11*assumptions!V47,IF($C$9=15,$C$11*assumptions!V48,"n/a"))))</f>
        <v>0</v>
      </c>
      <c r="Y56" s="142" t="n">
        <f aca="false">IF($C$9=3,$C$11*assumptions!W45,IF($C$9=5,$C$11*assumptions!W46,IF($C$9=7,$C$11*assumptions!W47,IF($C$9=15,$C$11*assumptions!W48,"n/a"))))</f>
        <v>0</v>
      </c>
      <c r="Z56" s="142" t="n">
        <f aca="false">IF($C$9=3,$C$11*assumptions!X45,IF($C$9=5,$C$11*assumptions!X46,IF($C$9=7,$C$11*assumptions!X47,IF($C$9=15,$C$11*assumptions!X48,"n/a"))))</f>
        <v>0</v>
      </c>
      <c r="AA56" s="142" t="n">
        <f aca="false">IF($C$9=3,$C$11*assumptions!Y45,IF($C$9=5,$C$11*assumptions!Y46,IF($C$9=7,$C$11*assumptions!Y47,IF($C$9=15,$C$11*assumptions!Y48,"n/a"))))</f>
        <v>0</v>
      </c>
      <c r="AB56" s="142" t="n">
        <f aca="false">IF($C$9=3,$C$11*assumptions!Z45,IF($C$9=5,$C$11*assumptions!Z46,IF($C$9=7,$C$11*assumptions!Z47,IF($C$9=15,$C$11*assumptions!Z48,"n/a"))))</f>
        <v>0</v>
      </c>
      <c r="AC56" s="161" t="n">
        <f aca="false">SUM(D56:AB56)</f>
        <v>130274.199</v>
      </c>
      <c r="AD56" s="180"/>
      <c r="AE56" s="179"/>
    </row>
    <row r="57" customFormat="false" ht="11.25" hidden="false" customHeight="false" outlineLevel="0" collapsed="false">
      <c r="A57" s="126" t="s">
        <v>131</v>
      </c>
      <c r="B57" s="123"/>
      <c r="C57" s="125"/>
      <c r="D57" s="142" t="n">
        <f aca="false">IF(AND($C$8=1,D54&gt;0),MAXA(D56,D55),IF($C$8=0,D56,0))</f>
        <v>6513.70995</v>
      </c>
      <c r="E57" s="142" t="n">
        <f aca="false">IF(AND($C$8=1,E54&gt;0),MAXA(E56,E55),IF($C$8=0,E56,0))</f>
        <v>12376.048905</v>
      </c>
      <c r="F57" s="142" t="n">
        <f aca="false">IF(AND($C$8=1,F54&gt;0),MAXA(F56,F55),IF($C$8=0,F56,0))</f>
        <v>11138.4440145</v>
      </c>
      <c r="G57" s="142" t="n">
        <f aca="false">IF(AND($C$8=1,G54&gt;0),MAXA(G56,G55),IF($C$8=0,G56,0))</f>
        <v>10031.113323</v>
      </c>
      <c r="H57" s="142" t="n">
        <f aca="false">IF(AND($C$8=1,H54&gt;0),MAXA(H56,H55),IF($C$8=0,H56,0))</f>
        <v>9028.0019907</v>
      </c>
      <c r="I57" s="142" t="n">
        <f aca="false">IF(AND($C$8=1,I54&gt;0),MAXA(I56,I55),IF($C$8=0,I56,0))</f>
        <v>8116.0825977</v>
      </c>
      <c r="J57" s="142" t="n">
        <f aca="false">IF(AND($C$8=1,J54&gt;0),MAXA(J56,J55),IF($C$8=0,J56,0))</f>
        <v>7686.177741</v>
      </c>
      <c r="K57" s="142" t="n">
        <f aca="false">IF(AND($C$8=1,K54&gt;0),MAXA(K56,K55),IF($C$8=0,K56,0))</f>
        <v>7686.177741</v>
      </c>
      <c r="L57" s="142" t="n">
        <f aca="false">IF(AND($C$8=1,L54&gt;0),MAXA(L56,L55),IF($C$8=0,L56,0))</f>
        <v>7699.2051609</v>
      </c>
      <c r="M57" s="142" t="n">
        <f aca="false">IF(AND($C$8=1,M54&gt;0),MAXA(M56,M55),IF($C$8=0,M56,0))</f>
        <v>7686.177741</v>
      </c>
      <c r="N57" s="142" t="n">
        <f aca="false">IF(AND($C$8=1,N54&gt;0),MAXA(N56,N55),IF($C$8=0,N56,0))</f>
        <v>7699.2051609</v>
      </c>
      <c r="O57" s="142" t="n">
        <f aca="false">IF(AND($C$8=1,O54&gt;0),MAXA(O56,O55),IF($C$8=0,O56,0))</f>
        <v>7686.177741</v>
      </c>
      <c r="P57" s="142" t="n">
        <f aca="false">IF(AND($C$8=1,P54&gt;0),MAXA(P56,P55),IF($C$8=0,P56,0))</f>
        <v>7699.2051609</v>
      </c>
      <c r="Q57" s="142" t="n">
        <f aca="false">IF(AND($C$8=1,Q54&gt;0),MAXA(Q56,Q55),IF($C$8=0,Q56,0))</f>
        <v>7686.177741</v>
      </c>
      <c r="R57" s="142" t="n">
        <f aca="false">IF(AND($C$8=1,R54&gt;0),MAXA(R56,R55),IF($C$8=0,R56,0))</f>
        <v>7699.2051609</v>
      </c>
      <c r="S57" s="142" t="n">
        <f aca="false">IF(AND($C$8=1,S54&gt;0),MAXA(S56,S55),IF($C$8=0,S56,0))</f>
        <v>3843.0888705</v>
      </c>
      <c r="T57" s="142" t="n">
        <f aca="false">IF(AND($C$8=1,T54&gt;0),MAXA(T56,T55),IF($C$8=0,T56,0))</f>
        <v>0</v>
      </c>
      <c r="U57" s="142" t="n">
        <f aca="false">IF(AND($C$8=1,U54&gt;0),MAXA(U56,U55),IF($C$8=0,U56,0))</f>
        <v>0</v>
      </c>
      <c r="V57" s="142" t="n">
        <f aca="false">IF(AND($C$8=1,V54&gt;0),MAXA(V56,V55),IF($C$8=0,V56,0))</f>
        <v>0</v>
      </c>
      <c r="W57" s="142" t="n">
        <f aca="false">IF(AND($C$8=1,W54&gt;0),MAXA(W56,W55),IF($C$8=0,W56,0))</f>
        <v>0</v>
      </c>
      <c r="X57" s="142" t="n">
        <f aca="false">IF(AND($C$8=1,X54&gt;0),MAXA(X56,X55),IF($C$8=0,X56,0))</f>
        <v>0</v>
      </c>
      <c r="Y57" s="142" t="n">
        <f aca="false">IF(AND($C$8=1,Y54&gt;0),MAXA(Y56,Y55),IF($C$8=0,Y56,0))</f>
        <v>0</v>
      </c>
      <c r="Z57" s="142" t="n">
        <f aca="false">IF(AND($C$8=1,Z54&gt;0),MAXA(Z56,Z55),IF($C$8=0,Z56,0))</f>
        <v>0</v>
      </c>
      <c r="AA57" s="142" t="n">
        <f aca="false">IF(AND($C$8=1,AA54&gt;0),MAXA(AA56,AA55),IF($C$8=0,AA56,0))</f>
        <v>0</v>
      </c>
      <c r="AB57" s="142" t="n">
        <f aca="false">IF(AND($C$8=1,AB54&gt;0),MAXA(AB56,AB55),IF($C$8=0,AB56,0))</f>
        <v>0</v>
      </c>
      <c r="AC57" s="161"/>
    </row>
    <row r="58" customFormat="false" ht="11.25" hidden="false" customHeight="false" outlineLevel="0" collapsed="false">
      <c r="A58" s="123"/>
      <c r="B58" s="123"/>
      <c r="C58" s="125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61"/>
    </row>
    <row r="59" customFormat="false" ht="11.25" hidden="false" customHeight="false" outlineLevel="0" collapsed="false">
      <c r="A59" s="126" t="s">
        <v>132</v>
      </c>
      <c r="B59" s="123"/>
      <c r="C59" s="125"/>
      <c r="D59" s="181" t="n">
        <f aca="false">C16</f>
        <v>0</v>
      </c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  <c r="AA59" s="125"/>
      <c r="AB59" s="125"/>
      <c r="AC59" s="161"/>
    </row>
    <row r="60" customFormat="false" ht="11.25" hidden="false" customHeight="false" outlineLevel="0" collapsed="false">
      <c r="A60" s="126" t="s">
        <v>133</v>
      </c>
      <c r="B60" s="123"/>
      <c r="C60" s="125"/>
      <c r="D60" s="142" t="n">
        <f aca="false">D51-D57+D59</f>
        <v>6407.461921</v>
      </c>
      <c r="E60" s="142" t="n">
        <f aca="false">E51-E57+E59</f>
        <v>1020.05095152496</v>
      </c>
      <c r="F60" s="142" t="n">
        <f aca="false">F51-F57+F59</f>
        <v>2576.59193255586</v>
      </c>
      <c r="G60" s="142" t="n">
        <f aca="false">G51-G57+G59</f>
        <v>3978.05137808843</v>
      </c>
      <c r="H60" s="142" t="n">
        <f aca="false">H51-H57+H59</f>
        <v>5315.07221962651</v>
      </c>
      <c r="I60" s="142" t="n">
        <f aca="false">I51-I57+I59</f>
        <v>6414.45196919037</v>
      </c>
      <c r="J60" s="142" t="n">
        <f aca="false">J51-J57+J59</f>
        <v>7082.63109655827</v>
      </c>
      <c r="K60" s="142" t="n">
        <f aca="false">K51-K57+K59</f>
        <v>7317.39859145858</v>
      </c>
      <c r="L60" s="142" t="n">
        <f aca="false">L51-L57+L59</f>
        <v>7598.42188284942</v>
      </c>
      <c r="M60" s="142" t="n">
        <f aca="false">M51-M57+M59</f>
        <v>7776.24448019724</v>
      </c>
      <c r="N60" s="142" t="n">
        <f aca="false">N51-N57+N59</f>
        <v>7987.07548461202</v>
      </c>
      <c r="O60" s="142" t="n">
        <f aca="false">O51-O57+O59</f>
        <v>8219.7592263745</v>
      </c>
      <c r="P60" s="142" t="n">
        <f aca="false">P51-P57+P59</f>
        <v>8485.21800953638</v>
      </c>
      <c r="Q60" s="142" t="n">
        <f aca="false">Q51-Q57+Q59</f>
        <v>8647.00916340838</v>
      </c>
      <c r="R60" s="142" t="n">
        <f aca="false">R51-R57+R59</f>
        <v>8765.78993341879</v>
      </c>
      <c r="S60" s="142" t="n">
        <f aca="false">S51-S57+S59</f>
        <v>12673.9894829115</v>
      </c>
      <c r="T60" s="142" t="n">
        <f aca="false">T51-T57+T59</f>
        <v>16627.226065521</v>
      </c>
      <c r="U60" s="142" t="n">
        <f aca="false">U51-U57+U59</f>
        <v>16607.3809642378</v>
      </c>
      <c r="V60" s="142" t="n">
        <f aca="false">V51-V57+V59</f>
        <v>16645.3216651599</v>
      </c>
      <c r="W60" s="142" t="n">
        <f aca="false">W51-W57+W59</f>
        <v>16678.2625423537</v>
      </c>
      <c r="X60" s="142" t="n">
        <f aca="false">X51-X57+X59</f>
        <v>0</v>
      </c>
      <c r="Y60" s="142" t="n">
        <f aca="false">Y51-Y57+Y59</f>
        <v>0</v>
      </c>
      <c r="Z60" s="142" t="n">
        <f aca="false">Z51-Z57+Z59</f>
        <v>0</v>
      </c>
      <c r="AA60" s="142" t="n">
        <f aca="false">AA51-AA57+AA59</f>
        <v>0</v>
      </c>
      <c r="AB60" s="142" t="n">
        <f aca="false">AB51-AB57+AB59</f>
        <v>0</v>
      </c>
      <c r="AC60" s="161" t="n">
        <f aca="false">SUM(D60:AB60)</f>
        <v>176823.408960584</v>
      </c>
    </row>
    <row r="61" customFormat="false" ht="11.25" hidden="false" customHeight="false" outlineLevel="0" collapsed="false">
      <c r="A61" s="126" t="s">
        <v>134</v>
      </c>
      <c r="B61" s="178" t="n">
        <f aca="false">+assumptions!B26</f>
        <v>0.3888</v>
      </c>
      <c r="C61" s="125"/>
      <c r="D61" s="142" t="n">
        <f aca="false">D60*$B$61</f>
        <v>2491.2211948848</v>
      </c>
      <c r="E61" s="142" t="n">
        <f aca="false">E60*$B$61</f>
        <v>396.595809952906</v>
      </c>
      <c r="F61" s="142" t="n">
        <f aca="false">F60*$B$61</f>
        <v>1001.77894337772</v>
      </c>
      <c r="G61" s="142" t="n">
        <f aca="false">G60*$B$61</f>
        <v>1546.66637580078</v>
      </c>
      <c r="H61" s="142" t="n">
        <f aca="false">H60*$B$61</f>
        <v>2066.50007899079</v>
      </c>
      <c r="I61" s="142" t="n">
        <f aca="false">I60*$B$61</f>
        <v>2493.93892562122</v>
      </c>
      <c r="J61" s="142" t="n">
        <f aca="false">J60*$B$61</f>
        <v>2753.72697034186</v>
      </c>
      <c r="K61" s="142" t="n">
        <f aca="false">K60*$B$61</f>
        <v>2845.00457235909</v>
      </c>
      <c r="L61" s="142" t="n">
        <f aca="false">L60*$B$61</f>
        <v>2954.26642805185</v>
      </c>
      <c r="M61" s="142" t="n">
        <f aca="false">M60*$B$61</f>
        <v>3023.40385390069</v>
      </c>
      <c r="N61" s="142" t="n">
        <f aca="false">N60*$B$61</f>
        <v>3105.37494841715</v>
      </c>
      <c r="O61" s="142" t="n">
        <f aca="false">O60*$B$61</f>
        <v>3195.84238721441</v>
      </c>
      <c r="P61" s="142" t="n">
        <f aca="false">P60*$B$61</f>
        <v>3299.05276210774</v>
      </c>
      <c r="Q61" s="142" t="n">
        <f aca="false">Q60*$B$61</f>
        <v>3361.95716273318</v>
      </c>
      <c r="R61" s="142" t="n">
        <f aca="false">R60*$B$61</f>
        <v>3408.13912611322</v>
      </c>
      <c r="S61" s="142" t="n">
        <f aca="false">S60*$B$61</f>
        <v>4927.64711095601</v>
      </c>
      <c r="T61" s="142" t="n">
        <f aca="false">T60*$B$61</f>
        <v>6464.66549427458</v>
      </c>
      <c r="U61" s="142" t="n">
        <f aca="false">U60*$B$61</f>
        <v>6456.94971889564</v>
      </c>
      <c r="V61" s="142" t="n">
        <f aca="false">V60*$B$61</f>
        <v>6471.70106341418</v>
      </c>
      <c r="W61" s="142" t="n">
        <f aca="false">W60*$B$61</f>
        <v>6484.50847646712</v>
      </c>
      <c r="X61" s="142" t="n">
        <f aca="false">X60*$B$61</f>
        <v>0</v>
      </c>
      <c r="Y61" s="142" t="n">
        <f aca="false">Y60*$B$61</f>
        <v>0</v>
      </c>
      <c r="Z61" s="142" t="n">
        <f aca="false">Z60*$B$61</f>
        <v>0</v>
      </c>
      <c r="AA61" s="142" t="n">
        <f aca="false">AA60*$B$61</f>
        <v>0</v>
      </c>
      <c r="AB61" s="142" t="n">
        <f aca="false">AB60*$B$61</f>
        <v>0</v>
      </c>
      <c r="AC61" s="161" t="n">
        <f aca="false">SUM(D61:AB61)</f>
        <v>68748.9414038749</v>
      </c>
    </row>
    <row r="62" customFormat="false" ht="11.25" hidden="false" customHeight="false" outlineLevel="0" collapsed="false">
      <c r="A62" s="123" t="s">
        <v>80</v>
      </c>
      <c r="B62" s="123"/>
      <c r="C62" s="125"/>
      <c r="D62" s="182" t="n">
        <f aca="false" t="array" ref="D62:W62">TRANSPOSE(loan!C26:C45)</f>
        <v>7510.5941755878</v>
      </c>
      <c r="E62" s="182" t="n">
        <v>4974.04218250467</v>
      </c>
      <c r="F62" s="182" t="n">
        <v>4718.84675134159</v>
      </c>
      <c r="G62" s="182" t="n">
        <v>4487.6697136997</v>
      </c>
      <c r="H62" s="182" t="n">
        <v>4277.50877038896</v>
      </c>
      <c r="I62" s="182" t="n">
        <v>4178.43289711385</v>
      </c>
      <c r="J62" s="182" t="n">
        <v>4178.43289711387</v>
      </c>
      <c r="K62" s="182" t="n">
        <v>4181.435196304</v>
      </c>
      <c r="L62" s="182" t="n">
        <v>4178.43289711388</v>
      </c>
      <c r="M62" s="182" t="n">
        <v>4181.43519630401</v>
      </c>
      <c r="N62" s="182" t="n">
        <v>4178.43289711386</v>
      </c>
      <c r="O62" s="182" t="n">
        <v>4181.43519630401</v>
      </c>
      <c r="P62" s="182" t="n">
        <v>4178.43289711386</v>
      </c>
      <c r="Q62" s="182" t="n">
        <v>3292.75463601843</v>
      </c>
      <c r="R62" s="182" t="n">
        <v>2407.076374923</v>
      </c>
      <c r="S62" s="182" t="n">
        <v>2407.076374923</v>
      </c>
      <c r="T62" s="182" t="n">
        <v>2407.076374923</v>
      </c>
      <c r="U62" s="182" t="n">
        <v>2407.076374923</v>
      </c>
      <c r="V62" s="182" t="n">
        <v>2407.076374923</v>
      </c>
      <c r="W62" s="182" t="n">
        <v>3431.25122136254</v>
      </c>
      <c r="X62" s="182"/>
      <c r="Y62" s="182"/>
      <c r="Z62" s="182"/>
      <c r="AA62" s="182"/>
      <c r="AB62" s="182"/>
      <c r="AC62" s="161"/>
    </row>
    <row r="63" customFormat="false" ht="11.25" hidden="false" customHeight="false" outlineLevel="0" collapsed="false">
      <c r="A63" s="123"/>
      <c r="B63" s="123"/>
      <c r="C63" s="125"/>
      <c r="D63" s="182"/>
      <c r="E63" s="182"/>
      <c r="F63" s="182"/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  <c r="AA63" s="182"/>
      <c r="AB63" s="182"/>
      <c r="AC63" s="161"/>
    </row>
    <row r="64" customFormat="false" ht="11.25" hidden="false" customHeight="false" outlineLevel="0" collapsed="false">
      <c r="A64" s="126" t="s">
        <v>135</v>
      </c>
      <c r="B64" s="183"/>
      <c r="C64" s="167" t="n">
        <f aca="false">(+C17-C16)*-1</f>
        <v>-52109.6796</v>
      </c>
      <c r="D64" s="167" t="n">
        <f aca="false">D51-D61-D62</f>
        <v>2919.3565005274</v>
      </c>
      <c r="E64" s="167" t="n">
        <f aca="false">E51-E61-E62</f>
        <v>8025.46186406739</v>
      </c>
      <c r="F64" s="167" t="n">
        <f aca="false">F51-F61-F62</f>
        <v>7994.41025233655</v>
      </c>
      <c r="G64" s="167" t="n">
        <f aca="false">G51-G61-G62</f>
        <v>7974.82861158795</v>
      </c>
      <c r="H64" s="167" t="n">
        <f aca="false">H51-H61-H62</f>
        <v>7999.06536094676</v>
      </c>
      <c r="I64" s="167" t="n">
        <f aca="false">I51-I61-I62</f>
        <v>7858.1627441553</v>
      </c>
      <c r="J64" s="167" t="n">
        <f aca="false">J51-J61-J62</f>
        <v>7836.64897010255</v>
      </c>
      <c r="K64" s="167" t="n">
        <f aca="false">K51-K61-K62</f>
        <v>7977.13656379548</v>
      </c>
      <c r="L64" s="167" t="n">
        <f aca="false">L51-L61-L62</f>
        <v>8164.92771858369</v>
      </c>
      <c r="M64" s="167" t="n">
        <f aca="false">M51-M61-M62</f>
        <v>8257.58317099254</v>
      </c>
      <c r="N64" s="167" t="n">
        <f aca="false">N51-N61-N62</f>
        <v>8402.472799981</v>
      </c>
      <c r="O64" s="167" t="n">
        <f aca="false">O51-O61-O62</f>
        <v>8528.65938385609</v>
      </c>
      <c r="P64" s="167" t="n">
        <f aca="false">P51-P61-P62</f>
        <v>8706.93751121478</v>
      </c>
      <c r="Q64" s="167" t="n">
        <f aca="false">Q51-Q61-Q62</f>
        <v>9678.47510565677</v>
      </c>
      <c r="R64" s="167" t="n">
        <f aca="false">R51-R61-R62</f>
        <v>10649.7795932826</v>
      </c>
      <c r="S64" s="167" t="n">
        <f aca="false">S51-S61-S62</f>
        <v>9182.35486753254</v>
      </c>
      <c r="T64" s="167" t="n">
        <f aca="false">T51-T61-T62</f>
        <v>7755.48419632346</v>
      </c>
      <c r="U64" s="167" t="n">
        <f aca="false">U51-U61-U62</f>
        <v>7743.35487041912</v>
      </c>
      <c r="V64" s="167" t="n">
        <f aca="false">V51-V61-V62</f>
        <v>7766.54422682275</v>
      </c>
      <c r="W64" s="167" t="n">
        <f aca="false">W51-W61-W62</f>
        <v>6762.50284452405</v>
      </c>
      <c r="X64" s="167" t="n">
        <f aca="false">X51-X61-X62</f>
        <v>0</v>
      </c>
      <c r="Y64" s="167" t="n">
        <f aca="false">Y51-Y61-Y62</f>
        <v>0</v>
      </c>
      <c r="Z64" s="167" t="n">
        <f aca="false">Z51-Z61-Z62</f>
        <v>0</v>
      </c>
      <c r="AA64" s="167" t="n">
        <f aca="false">AA51-AA61-AA62</f>
        <v>0</v>
      </c>
      <c r="AB64" s="167" t="n">
        <f aca="false">AB51-AB61-AB62</f>
        <v>0</v>
      </c>
      <c r="AC64" s="161" t="n">
        <f aca="false">SUM(D64:AB64)</f>
        <v>160184.147156709</v>
      </c>
    </row>
    <row r="65" customFormat="false" ht="11.25" hidden="false" customHeight="false" outlineLevel="0" collapsed="false">
      <c r="A65" s="123"/>
      <c r="B65" s="123"/>
      <c r="C65" s="125"/>
      <c r="D65" s="125"/>
      <c r="E65" s="173"/>
      <c r="F65" s="173"/>
      <c r="G65" s="173"/>
      <c r="H65" s="173"/>
      <c r="I65" s="173"/>
      <c r="J65" s="173"/>
      <c r="K65" s="173"/>
      <c r="L65" s="173"/>
      <c r="M65" s="173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61"/>
    </row>
    <row r="66" customFormat="false" ht="12.75" hidden="false" customHeight="false" outlineLevel="0" collapsed="false">
      <c r="A66" s="144" t="s">
        <v>136</v>
      </c>
      <c r="B66" s="123"/>
      <c r="C66" s="184" t="n">
        <f aca="false">IF(IRR(C64:AB64,+B69)&gt;0,IRR(C64:AB64,+B69),"   N/A")</f>
        <v>0.131903054082091</v>
      </c>
      <c r="D66" s="125"/>
      <c r="E66" s="0"/>
      <c r="F66" s="0"/>
      <c r="G66" s="0"/>
      <c r="H66" s="141"/>
      <c r="I66" s="125"/>
      <c r="J66" s="125"/>
      <c r="K66" s="125"/>
      <c r="L66" s="18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</row>
    <row r="67" customFormat="false" ht="12" hidden="false" customHeight="false" outlineLevel="0" collapsed="false">
      <c r="A67" s="123"/>
      <c r="B67" s="123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</row>
    <row r="68" customFormat="false" ht="12" hidden="false" customHeight="false" outlineLevel="0" collapsed="false">
      <c r="A68" s="125" t="s">
        <v>137</v>
      </c>
      <c r="B68" s="186" t="n">
        <v>0.15</v>
      </c>
      <c r="C68" s="187" t="n">
        <f aca="false">NPV(+$B$68,$D$64,$E64,F64,G64,H64,I64,J64,K64,L64,M64,N64,O64,P64,Q64,R64,S64,T64,U64,V64,W64,X64,Y64,Z64,AA64,AB64)+C64</f>
        <v>-5617.95550612607</v>
      </c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</row>
    <row r="69" customFormat="false" ht="12.75" hidden="false" customHeight="false" outlineLevel="0" collapsed="false">
      <c r="A69" s="142" t="s">
        <v>138</v>
      </c>
      <c r="B69" s="188" t="n">
        <v>0.25</v>
      </c>
      <c r="C69" s="125"/>
      <c r="D69" s="125"/>
      <c r="E69" s="125"/>
      <c r="F69" s="125"/>
      <c r="G69" s="125"/>
      <c r="H69" s="125"/>
      <c r="I69" s="125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</row>
    <row r="70" customFormat="false" ht="12.75" hidden="false" customHeight="false" outlineLevel="0" collapsed="false">
      <c r="A70" s="123"/>
      <c r="F70" s="125"/>
      <c r="G70" s="125"/>
      <c r="H70" s="125"/>
      <c r="I70" s="125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</row>
    <row r="71" customFormat="false" ht="12.75" hidden="false" customHeight="false" outlineLevel="0" collapsed="false">
      <c r="A71" s="123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</row>
    <row r="72" customFormat="false" ht="12.75" hidden="false" customHeight="false" outlineLevel="0" collapsed="false">
      <c r="A72" s="123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</row>
    <row r="73" customFormat="false" ht="12.75" hidden="false" customHeight="false" outlineLevel="0" collapsed="false">
      <c r="A73" s="123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</row>
    <row r="74" customFormat="false" ht="12.75" hidden="false" customHeight="false" outlineLevel="0" collapsed="false">
      <c r="A74" s="123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</row>
    <row r="75" customFormat="false" ht="12.75" hidden="false" customHeight="false" outlineLevel="0" collapsed="false">
      <c r="A75" s="123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</row>
    <row r="76" customFormat="false" ht="12.75" hidden="false" customHeight="false" outlineLevel="0" collapsed="false"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</row>
    <row r="77" customFormat="false" ht="12.75" hidden="false" customHeight="false" outlineLevel="0" collapsed="false"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</row>
    <row r="78" customFormat="false" ht="12.75" hidden="false" customHeight="false" outlineLevel="0" collapsed="false"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</row>
    <row r="79" customFormat="false" ht="12.75" hidden="false" customHeight="false" outlineLevel="0" collapsed="false"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</row>
    <row r="80" customFormat="false" ht="12.75" hidden="false" customHeight="false" outlineLevel="0" collapsed="false">
      <c r="A80" s="121" t="s">
        <v>139</v>
      </c>
      <c r="C80" s="189" t="n">
        <f aca="false">+C64</f>
        <v>-52109.6796</v>
      </c>
      <c r="D80" s="190" t="n">
        <f aca="false">-D45-D46-D47-D48-D61-D62</f>
        <v>-20006.8834994726</v>
      </c>
      <c r="E80" s="190" t="n">
        <f aca="false">-E45-E46-E47-E48-E61-E62</f>
        <v>-14838.1381359326</v>
      </c>
      <c r="F80" s="190" t="n">
        <f aca="false">-F45-F46-F47-F48-F61-F62</f>
        <v>-14869.1897476634</v>
      </c>
      <c r="G80" s="190" t="n">
        <f aca="false">-G45-G46-G47-G48-G61-G62</f>
        <v>-14888.7713884121</v>
      </c>
      <c r="H80" s="190" t="n">
        <f aca="false">-H45-H46-H47-H48-H61-H62</f>
        <v>-14927.1746390532</v>
      </c>
      <c r="I80" s="190" t="n">
        <f aca="false">-I45-I46-I47-I48-I61-I62</f>
        <v>-15005.4372558447</v>
      </c>
      <c r="J80" s="190" t="n">
        <f aca="false">-J45-J46-J47-J48-J61-J62</f>
        <v>-15026.9510298975</v>
      </c>
      <c r="K80" s="190" t="n">
        <f aca="false">-K45-K46-K47-K48-K61-K62</f>
        <v>-14886.4634362045</v>
      </c>
      <c r="L80" s="190" t="n">
        <f aca="false">-L45-L46-L47-L48-L61-L62</f>
        <v>-14761.3122814163</v>
      </c>
      <c r="M80" s="190" t="n">
        <f aca="false">-M45-M46-M47-M48-M61-M62</f>
        <v>-14606.0168290075</v>
      </c>
      <c r="N80" s="190" t="n">
        <f aca="false">-N45-N46-N47-N48-N61-N62</f>
        <v>-14461.127200019</v>
      </c>
      <c r="O80" s="190" t="n">
        <f aca="false">-O45-O46-O47-O48-O61-O62</f>
        <v>-14334.9406161439</v>
      </c>
      <c r="P80" s="190" t="n">
        <f aca="false">-P45-P46-P47-P48-P61-P62</f>
        <v>-14219.3024887852</v>
      </c>
      <c r="Q80" s="190" t="n">
        <f aca="false">-Q45-Q46-Q47-Q48-Q61-Q62</f>
        <v>-13185.1248943432</v>
      </c>
      <c r="R80" s="190" t="n">
        <f aca="false">-R45-R46-R47-R48-R61-R62</f>
        <v>-12213.8204067174</v>
      </c>
      <c r="S80" s="190" t="n">
        <f aca="false">-S45-S46-S47-S48-S61-S62</f>
        <v>-13681.2451324675</v>
      </c>
      <c r="T80" s="190" t="n">
        <f aca="false">-T45-T46-T47-T48-T61-T62</f>
        <v>-15170.7558036765</v>
      </c>
      <c r="U80" s="190" t="n">
        <f aca="false">-U45-U46-U47-U48-U61-U62</f>
        <v>-15120.2451295809</v>
      </c>
      <c r="V80" s="190" t="n">
        <f aca="false">-V45-V46-V47-V48-V61-V62</f>
        <v>-15097.0557731772</v>
      </c>
      <c r="W80" s="190" t="n">
        <f aca="false">-W45-W46-W47-W48-W61-W62</f>
        <v>-16101.097155476</v>
      </c>
      <c r="X80" s="190" t="n">
        <f aca="false">-X45-X46-X47-X48-X61-X62</f>
        <v>-0</v>
      </c>
      <c r="Y80" s="190" t="n">
        <f aca="false">-Y45-Y46-Y47-Y48-Y61-Y62</f>
        <v>-0</v>
      </c>
      <c r="Z80" s="190" t="n">
        <f aca="false">-Z45-Z46-Z47-Z48-Z61-Z62</f>
        <v>-0</v>
      </c>
      <c r="AA80" s="190" t="n">
        <f aca="false">-AA45-AA46-AA47-AA48-AA61-AA62</f>
        <v>-0</v>
      </c>
      <c r="AB80" s="190" t="n">
        <f aca="false">-AB45-AB46-AB47-AB48-AB61-AB62</f>
        <v>-0</v>
      </c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</row>
    <row r="81" customFormat="false" ht="12.75" hidden="false" customHeight="false" outlineLevel="0" collapsed="false"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</row>
    <row r="82" customFormat="false" ht="12.75" hidden="false" customHeight="false" outlineLevel="0" collapsed="false"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</row>
    <row r="83" customFormat="false" ht="12.75" hidden="false" customHeight="false" outlineLevel="0" collapsed="false"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</row>
    <row r="84" customFormat="false" ht="12.75" hidden="false" customHeight="false" outlineLevel="0" collapsed="false">
      <c r="F84" s="0"/>
      <c r="G84" s="0"/>
      <c r="H84" s="0"/>
      <c r="I84" s="0"/>
    </row>
    <row r="85" customFormat="false" ht="12.75" hidden="false" customHeight="false" outlineLevel="0" collapsed="false">
      <c r="F85" s="0"/>
      <c r="G85" s="0"/>
      <c r="H85" s="0"/>
      <c r="I85" s="0"/>
    </row>
  </sheetData>
  <printOptions headings="false" gridLines="false" gridLinesSet="true" horizontalCentered="false" verticalCentered="false"/>
  <pageMargins left="0.2" right="0.2" top="0.520138888888889" bottom="0.69027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26"/>
  <sheetViews>
    <sheetView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C1" activeCellId="0" sqref="C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10.56"/>
    <col collapsed="false" customWidth="true" hidden="false" outlineLevel="0" max="3" min="3" style="0" width="13.41"/>
    <col collapsed="false" customWidth="true" hidden="false" outlineLevel="0" max="10" min="4" style="0" width="9.7"/>
    <col collapsed="false" customWidth="true" hidden="false" outlineLevel="0" max="12" min="11" style="0" width="10.28"/>
    <col collapsed="false" customWidth="true" hidden="false" outlineLevel="0" max="22" min="13" style="0" width="9.7"/>
    <col collapsed="false" customWidth="true" hidden="false" outlineLevel="0" max="23" min="23" style="0" width="11.28"/>
  </cols>
  <sheetData>
    <row r="1" customFormat="false" ht="12.75" hidden="false" customHeight="false" outlineLevel="0" collapsed="false">
      <c r="A1" s="21" t="str">
        <f aca="false">+assumptions!A1</f>
        <v>Transwestern Pipeline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</row>
    <row r="2" customFormat="false" ht="12.75" hidden="false" customHeight="false" outlineLevel="0" collapsed="false">
      <c r="A2" s="21" t="str">
        <f aca="false">+assumptions!A2</f>
        <v>TransPecos Project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</row>
    <row r="3" customFormat="false" ht="12.75" hidden="false" customHeight="false" outlineLevel="0" collapsed="false">
      <c r="A3" s="21" t="s">
        <v>140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</row>
    <row r="4" customFormat="false" ht="12.75" hidden="false" customHeight="false" outlineLevel="0" collapsed="false">
      <c r="B4" s="0" t="s">
        <v>141</v>
      </c>
      <c r="C4" s="78" t="n">
        <f aca="false">"12/31/2004"-assumptions!B8</f>
        <v>366</v>
      </c>
      <c r="D4" s="0" t="n">
        <f aca="false">"12/31/2005"-"12/31/2004"</f>
        <v>365</v>
      </c>
      <c r="E4" s="0" t="n">
        <f aca="false">"12/31/2006"-"12/31/2005"</f>
        <v>365</v>
      </c>
      <c r="F4" s="0" t="n">
        <f aca="false">"12/31/2007"-"12/31/2006"</f>
        <v>365</v>
      </c>
      <c r="G4" s="0" t="n">
        <f aca="false">"12/31/2008"-"12/31/2007"</f>
        <v>366</v>
      </c>
      <c r="H4" s="0" t="n">
        <f aca="false">"12/31/2009"-"12/31/2008"</f>
        <v>365</v>
      </c>
      <c r="I4" s="0" t="n">
        <f aca="false">"12/31/2010"-"12/31/2009"</f>
        <v>365</v>
      </c>
      <c r="J4" s="0" t="n">
        <f aca="false">"12/31/2011"-"12/31/2010"</f>
        <v>365</v>
      </c>
      <c r="K4" s="0" t="n">
        <f aca="false">"12/31/2012"-"12/31/2011"</f>
        <v>366</v>
      </c>
      <c r="L4" s="0" t="n">
        <f aca="false">"12/31/2013"-"12/31/2012"</f>
        <v>365</v>
      </c>
      <c r="M4" s="0" t="n">
        <f aca="false">"12/31/2014"-"12/31/2013"</f>
        <v>365</v>
      </c>
      <c r="N4" s="0" t="n">
        <f aca="false">"12/31/2015"-"12/31/2014"</f>
        <v>365</v>
      </c>
      <c r="O4" s="0" t="n">
        <f aca="false">"12/31/2016"-"12/31/2015"</f>
        <v>366</v>
      </c>
      <c r="P4" s="0" t="n">
        <f aca="false">"12/31/2017"-"12/31/2016"</f>
        <v>365</v>
      </c>
      <c r="Q4" s="0" t="n">
        <f aca="false">"12/31/2018"-"12/31/2017"</f>
        <v>365</v>
      </c>
      <c r="R4" s="0" t="n">
        <f aca="false">"12/31/2019"-"12/31/2018"</f>
        <v>365</v>
      </c>
      <c r="S4" s="0" t="n">
        <f aca="false">"12/31/2020"-"12/31/2019"</f>
        <v>366</v>
      </c>
      <c r="T4" s="0" t="n">
        <f aca="false">"12/31/2021"-"12/31/2020"</f>
        <v>365</v>
      </c>
      <c r="U4" s="0" t="n">
        <f aca="false">"12/31/2022"-"12/31/2021"</f>
        <v>365</v>
      </c>
      <c r="V4" s="0" t="n">
        <f aca="false">"12/31/2023"-"12/31/2022"</f>
        <v>365</v>
      </c>
    </row>
    <row r="5" customFormat="false" ht="12.75" hidden="false" customHeight="false" outlineLevel="0" collapsed="false">
      <c r="C5" s="191" t="n">
        <v>1</v>
      </c>
      <c r="D5" s="191" t="n">
        <v>2</v>
      </c>
      <c r="E5" s="191" t="n">
        <v>3</v>
      </c>
      <c r="F5" s="191" t="n">
        <v>4</v>
      </c>
      <c r="G5" s="191" t="n">
        <v>5</v>
      </c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</row>
    <row r="6" customFormat="false" ht="12.75" hidden="false" customHeight="false" outlineLevel="0" collapsed="false">
      <c r="C6" s="192" t="n">
        <f aca="false">+assumptions!B8+1</f>
        <v>37987</v>
      </c>
      <c r="D6" s="193" t="n">
        <v>2005</v>
      </c>
      <c r="E6" s="194" t="n">
        <v>2006</v>
      </c>
      <c r="F6" s="193" t="n">
        <v>2007</v>
      </c>
      <c r="G6" s="194" t="n">
        <v>2008</v>
      </c>
      <c r="H6" s="193" t="n">
        <v>2009</v>
      </c>
      <c r="I6" s="194" t="n">
        <v>2010</v>
      </c>
      <c r="J6" s="193" t="n">
        <v>2011</v>
      </c>
      <c r="K6" s="194" t="n">
        <v>2012</v>
      </c>
      <c r="L6" s="193" t="n">
        <v>2013</v>
      </c>
      <c r="M6" s="194" t="n">
        <v>2014</v>
      </c>
      <c r="N6" s="193" t="n">
        <v>2015</v>
      </c>
      <c r="O6" s="194" t="n">
        <v>2016</v>
      </c>
      <c r="P6" s="193" t="n">
        <v>2017</v>
      </c>
      <c r="Q6" s="194" t="n">
        <v>2018</v>
      </c>
      <c r="R6" s="193" t="n">
        <v>2019</v>
      </c>
      <c r="S6" s="194" t="n">
        <v>2020</v>
      </c>
      <c r="T6" s="193" t="n">
        <v>2021</v>
      </c>
      <c r="U6" s="194" t="n">
        <v>2022</v>
      </c>
      <c r="V6" s="193" t="n">
        <v>2023</v>
      </c>
      <c r="W6" s="195" t="s">
        <v>92</v>
      </c>
    </row>
    <row r="7" customFormat="false" ht="12.75" hidden="false" customHeight="false" outlineLevel="0" collapsed="false">
      <c r="A7" s="0" t="s">
        <v>142</v>
      </c>
    </row>
    <row r="8" customFormat="false" ht="12.75" hidden="false" customHeight="false" outlineLevel="0" collapsed="false">
      <c r="A8" s="0" t="s">
        <v>143</v>
      </c>
      <c r="C8" s="73" t="n">
        <f aca="false">+revenues!C58</f>
        <v>22926.24</v>
      </c>
      <c r="D8" s="73" t="n">
        <f aca="false">+revenues!D58</f>
        <v>22863.6</v>
      </c>
      <c r="E8" s="73" t="n">
        <f aca="false">+revenues!E58</f>
        <v>22863.6</v>
      </c>
      <c r="F8" s="73" t="n">
        <f aca="false">+revenues!F58</f>
        <v>22863.6</v>
      </c>
      <c r="G8" s="73" t="n">
        <f aca="false">+revenues!G58</f>
        <v>22926.24</v>
      </c>
      <c r="H8" s="73" t="n">
        <f aca="false">+revenues!H58</f>
        <v>22863.6</v>
      </c>
      <c r="I8" s="73" t="n">
        <f aca="false">+revenues!I58</f>
        <v>22863.6</v>
      </c>
      <c r="J8" s="73" t="n">
        <f aca="false">+revenues!J58</f>
        <v>22863.6</v>
      </c>
      <c r="K8" s="73" t="n">
        <f aca="false">+revenues!K58</f>
        <v>22926.24</v>
      </c>
      <c r="L8" s="73" t="n">
        <f aca="false">+revenues!L58</f>
        <v>22863.6</v>
      </c>
      <c r="M8" s="73" t="n">
        <f aca="false">+revenues!M58</f>
        <v>22863.6</v>
      </c>
      <c r="N8" s="73" t="n">
        <f aca="false">+revenues!N58</f>
        <v>22863.6</v>
      </c>
      <c r="O8" s="73" t="n">
        <f aca="false">+revenues!O58</f>
        <v>22926.24</v>
      </c>
      <c r="P8" s="73" t="n">
        <f aca="false">+revenues!P58</f>
        <v>22863.6</v>
      </c>
      <c r="Q8" s="73" t="n">
        <f aca="false">+revenues!Q58</f>
        <v>22863.6</v>
      </c>
      <c r="R8" s="73" t="n">
        <f aca="false">+revenues!R58</f>
        <v>22863.6</v>
      </c>
      <c r="S8" s="73" t="n">
        <f aca="false">+revenues!S58</f>
        <v>22926.24</v>
      </c>
      <c r="T8" s="73" t="n">
        <f aca="false">+revenues!T58</f>
        <v>22863.6</v>
      </c>
      <c r="U8" s="73" t="n">
        <f aca="false">+revenues!U58</f>
        <v>22863.6</v>
      </c>
      <c r="V8" s="73" t="n">
        <f aca="false">+revenues!V58</f>
        <v>22863.6</v>
      </c>
      <c r="W8" s="73" t="n">
        <f aca="false">SUM(C8:Q8)</f>
        <v>343204.56</v>
      </c>
    </row>
    <row r="9" customFormat="false" ht="15" hidden="false" customHeight="false" outlineLevel="0" collapsed="false">
      <c r="A9" s="0" t="s">
        <v>33</v>
      </c>
      <c r="C9" s="196" t="n">
        <f aca="false">+assumptions!B12</f>
        <v>5210.96796</v>
      </c>
      <c r="D9" s="196" t="n">
        <v>0</v>
      </c>
      <c r="E9" s="196" t="n">
        <v>0</v>
      </c>
      <c r="F9" s="196" t="n">
        <v>0</v>
      </c>
      <c r="G9" s="196" t="n">
        <v>0</v>
      </c>
      <c r="H9" s="196" t="n">
        <v>0</v>
      </c>
      <c r="I9" s="196" t="n">
        <v>0</v>
      </c>
      <c r="J9" s="196" t="n">
        <v>0</v>
      </c>
      <c r="K9" s="196" t="n">
        <v>0</v>
      </c>
      <c r="L9" s="196" t="n">
        <v>0</v>
      </c>
      <c r="M9" s="196" t="n">
        <v>0</v>
      </c>
      <c r="N9" s="196" t="n">
        <v>0</v>
      </c>
      <c r="O9" s="196" t="n">
        <v>0</v>
      </c>
      <c r="P9" s="196" t="n">
        <v>0</v>
      </c>
      <c r="Q9" s="196" t="n">
        <v>0</v>
      </c>
      <c r="R9" s="196" t="n">
        <v>0</v>
      </c>
      <c r="S9" s="196" t="n">
        <v>0</v>
      </c>
      <c r="T9" s="196" t="n">
        <v>0</v>
      </c>
      <c r="U9" s="196" t="n">
        <v>0</v>
      </c>
      <c r="V9" s="196" t="n">
        <v>0</v>
      </c>
      <c r="W9" s="196" t="n">
        <f aca="false">SUM(C9:Q9)</f>
        <v>5210.96796</v>
      </c>
    </row>
    <row r="10" customFormat="false" ht="12.75" hidden="false" customHeight="false" outlineLevel="0" collapsed="false">
      <c r="A10" s="20" t="s">
        <v>144</v>
      </c>
      <c r="C10" s="73" t="n">
        <f aca="false">SUM(C8:C9)</f>
        <v>28137.20796</v>
      </c>
      <c r="D10" s="73" t="n">
        <f aca="false">+D9+D8</f>
        <v>22863.6</v>
      </c>
      <c r="E10" s="73" t="n">
        <f aca="false">+E9+E8</f>
        <v>22863.6</v>
      </c>
      <c r="F10" s="73" t="n">
        <f aca="false">+F9+F8</f>
        <v>22863.6</v>
      </c>
      <c r="G10" s="73" t="n">
        <f aca="false">+G9+G8</f>
        <v>22926.24</v>
      </c>
      <c r="H10" s="73" t="n">
        <f aca="false">+H9+H8</f>
        <v>22863.6</v>
      </c>
      <c r="I10" s="73" t="n">
        <f aca="false">+I9+I8</f>
        <v>22863.6</v>
      </c>
      <c r="J10" s="73" t="n">
        <f aca="false">+J9+J8</f>
        <v>22863.6</v>
      </c>
      <c r="K10" s="73" t="n">
        <f aca="false">+K9+K8</f>
        <v>22926.24</v>
      </c>
      <c r="L10" s="73" t="n">
        <f aca="false">+L9+L8</f>
        <v>22863.6</v>
      </c>
      <c r="M10" s="73" t="n">
        <f aca="false">+M9+M8</f>
        <v>22863.6</v>
      </c>
      <c r="N10" s="73" t="n">
        <f aca="false">+N9+N8</f>
        <v>22863.6</v>
      </c>
      <c r="O10" s="73" t="n">
        <f aca="false">+O9+O8</f>
        <v>22926.24</v>
      </c>
      <c r="P10" s="73" t="n">
        <f aca="false">+P9+P8</f>
        <v>22863.6</v>
      </c>
      <c r="Q10" s="73" t="n">
        <f aca="false">+Q9+Q8</f>
        <v>22863.6</v>
      </c>
      <c r="R10" s="73" t="n">
        <f aca="false">+R9+R8</f>
        <v>22863.6</v>
      </c>
      <c r="S10" s="73" t="n">
        <f aca="false">+S9+S8</f>
        <v>22926.24</v>
      </c>
      <c r="T10" s="73" t="n">
        <f aca="false">+T9+T8</f>
        <v>22863.6</v>
      </c>
      <c r="U10" s="73" t="n">
        <f aca="false">+U9+U8</f>
        <v>22863.6</v>
      </c>
      <c r="V10" s="73" t="n">
        <f aca="false">+V9+V8</f>
        <v>22863.6</v>
      </c>
      <c r="W10" s="73" t="n">
        <f aca="false">SUM(C10:Q10)</f>
        <v>348415.52796</v>
      </c>
    </row>
    <row r="11" customFormat="false" ht="12.75" hidden="false" customHeight="false" outlineLevel="0" collapsed="false"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</row>
    <row r="12" customFormat="false" ht="12.75" hidden="false" customHeight="false" outlineLevel="0" collapsed="false">
      <c r="A12" s="0" t="s">
        <v>145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</row>
    <row r="13" customFormat="false" ht="12.75" hidden="false" customHeight="false" outlineLevel="0" collapsed="false">
      <c r="A13" s="0" t="s">
        <v>146</v>
      </c>
      <c r="C13" s="73" t="n">
        <f aca="false">+DCF!D45/365*C4</f>
        <v>757.670136986302</v>
      </c>
      <c r="D13" s="73" t="n">
        <f aca="false">+DCF!E45</f>
        <v>778.268</v>
      </c>
      <c r="E13" s="73" t="n">
        <f aca="false">+DCF!F45</f>
        <v>801.61604</v>
      </c>
      <c r="F13" s="73" t="n">
        <f aca="false">+DCF!G45</f>
        <v>825.6645212</v>
      </c>
      <c r="G13" s="73" t="n">
        <f aca="false">+DCF!H45</f>
        <v>850.434456836</v>
      </c>
      <c r="H13" s="73" t="n">
        <f aca="false">+DCF!I45</f>
        <v>875.94749054108</v>
      </c>
      <c r="I13" s="73" t="n">
        <f aca="false">+DCF!J45</f>
        <v>902.225915257312</v>
      </c>
      <c r="J13" s="73" t="n">
        <f aca="false">+DCF!K45</f>
        <v>929.292692715032</v>
      </c>
      <c r="K13" s="73" t="n">
        <f aca="false">+DCF!L45</f>
        <v>957.171473496483</v>
      </c>
      <c r="L13" s="73" t="n">
        <f aca="false">+DCF!M45</f>
        <v>985.886617701377</v>
      </c>
      <c r="M13" s="73" t="n">
        <f aca="false">+DCF!N45</f>
        <v>1015.46321623242</v>
      </c>
      <c r="N13" s="73" t="n">
        <f aca="false">+DCF!O45</f>
        <v>1045.92711271939</v>
      </c>
      <c r="O13" s="73" t="n">
        <f aca="false">+DCF!P45</f>
        <v>1077.30492610097</v>
      </c>
      <c r="P13" s="73" t="n">
        <f aca="false">+DCF!Q45</f>
        <v>1109.624073884</v>
      </c>
      <c r="Q13" s="73" t="n">
        <f aca="false">+DCF!R45</f>
        <v>1142.91279610052</v>
      </c>
      <c r="R13" s="73" t="n">
        <f aca="false">+DCF!S45</f>
        <v>1177.20017998354</v>
      </c>
      <c r="S13" s="73" t="n">
        <f aca="false">+DCF!T45</f>
        <v>1212.51618538304</v>
      </c>
      <c r="T13" s="73" t="n">
        <f aca="false">+DCF!U45</f>
        <v>1248.89167094454</v>
      </c>
      <c r="U13" s="73" t="n">
        <f aca="false">+DCF!V45</f>
        <v>1286.35842107287</v>
      </c>
      <c r="V13" s="73" t="n">
        <f aca="false">+DCF!W45</f>
        <v>1324.94917370506</v>
      </c>
      <c r="W13" s="73" t="n">
        <f aca="false">SUM(C13:Q13)</f>
        <v>14055.4094697709</v>
      </c>
    </row>
    <row r="14" customFormat="false" ht="12.75" hidden="false" customHeight="false" outlineLevel="0" collapsed="false">
      <c r="A14" s="0" t="s">
        <v>147</v>
      </c>
      <c r="C14" s="73" t="n">
        <f aca="false">+DCF!D46</f>
        <v>6643.984149</v>
      </c>
      <c r="D14" s="73" t="n">
        <f aca="false">+DCF!E46</f>
        <v>6005.58364407504</v>
      </c>
      <c r="E14" s="73" t="n">
        <f aca="false">+DCF!F46</f>
        <v>5582.79005856214</v>
      </c>
      <c r="F14" s="73" t="n">
        <f aca="false">+DCF!G46</f>
        <v>5181.68808469811</v>
      </c>
      <c r="G14" s="73" t="n">
        <f aca="false">+DCF!H46</f>
        <v>4800.23615903363</v>
      </c>
      <c r="H14" s="73" t="n">
        <f aca="false">+DCF!I46</f>
        <v>4436.64791355057</v>
      </c>
      <c r="I14" s="73" t="n">
        <f aca="false">+DCF!J46</f>
        <v>4081.48111729589</v>
      </c>
      <c r="J14" s="73" t="n">
        <f aca="false">+DCF!K46</f>
        <v>3726.31432104121</v>
      </c>
      <c r="K14" s="73" t="n">
        <f aca="false">+DCF!L46</f>
        <v>3370.89232935537</v>
      </c>
      <c r="L14" s="73" t="n">
        <f aca="false">+DCF!M46</f>
        <v>3015.72553310069</v>
      </c>
      <c r="M14" s="73" t="n">
        <f aca="false">+DCF!N46</f>
        <v>2660.30354141485</v>
      </c>
      <c r="N14" s="73" t="n">
        <f aca="false">+DCF!O46</f>
        <v>2305.13674516017</v>
      </c>
      <c r="O14" s="73" t="n">
        <f aca="false">+DCF!P46</f>
        <v>1949.71475347433</v>
      </c>
      <c r="P14" s="73" t="n">
        <f aca="false">+DCF!Q46</f>
        <v>1594.54795721966</v>
      </c>
      <c r="Q14" s="73" t="n">
        <f aca="false">+DCF!R46</f>
        <v>1314.66381315809</v>
      </c>
      <c r="R14" s="73" t="n">
        <f aca="false">+DCF!S46</f>
        <v>1110.06232128963</v>
      </c>
      <c r="S14" s="73" t="n">
        <f aca="false">+DCF!T46</f>
        <v>905.46082942118</v>
      </c>
      <c r="T14" s="73" t="n">
        <f aca="false">+DCF!U46</f>
        <v>700.859337552725</v>
      </c>
      <c r="U14" s="73" t="n">
        <f aca="false">+DCF!V46</f>
        <v>496.25784568427</v>
      </c>
      <c r="V14" s="73" t="n">
        <f aca="false">+DCF!W46</f>
        <v>291.656353815816</v>
      </c>
      <c r="W14" s="73" t="n">
        <f aca="false">AVERAGE([1]data1int!F2:F1001)</f>
        <v>-3300.96295144265</v>
      </c>
    </row>
    <row r="15" customFormat="false" ht="12.75" hidden="false" customHeight="false" outlineLevel="0" collapsed="false">
      <c r="A15" s="0" t="s">
        <v>65</v>
      </c>
      <c r="C15" s="73" t="n">
        <f aca="false">+DCF!D48</f>
        <v>2605.48398</v>
      </c>
      <c r="D15" s="73" t="n">
        <f aca="false">+DCF!E48</f>
        <v>2683.6484994</v>
      </c>
      <c r="E15" s="73" t="n">
        <f aca="false">+DCF!F48</f>
        <v>2764.157954382</v>
      </c>
      <c r="F15" s="73" t="n">
        <f aca="false">+DCF!G48</f>
        <v>2847.08269301346</v>
      </c>
      <c r="G15" s="73" t="n">
        <f aca="false">+DCF!H48</f>
        <v>2932.49517380386</v>
      </c>
      <c r="H15" s="73" t="n">
        <f aca="false">+DCF!I48</f>
        <v>3020.47002901798</v>
      </c>
      <c r="I15" s="73" t="n">
        <f aca="false">+DCF!J48</f>
        <v>3111.08412988852</v>
      </c>
      <c r="J15" s="73" t="n">
        <f aca="false">+DCF!K48</f>
        <v>3204.41665378518</v>
      </c>
      <c r="K15" s="73" t="n">
        <f aca="false">+DCF!L48</f>
        <v>3300.54915339873</v>
      </c>
      <c r="L15" s="73" t="n">
        <f aca="false">+DCF!M48</f>
        <v>3399.56562800069</v>
      </c>
      <c r="M15" s="73" t="n">
        <f aca="false">+DCF!N48</f>
        <v>3501.55259684071</v>
      </c>
      <c r="N15" s="73" t="n">
        <f aca="false">+DCF!O48</f>
        <v>3606.59917474594</v>
      </c>
      <c r="O15" s="73" t="n">
        <f aca="false">+DCF!P48</f>
        <v>3714.79714998831</v>
      </c>
      <c r="P15" s="73" t="n">
        <f aca="false">+DCF!Q48</f>
        <v>3826.24106448796</v>
      </c>
      <c r="Q15" s="73" t="n">
        <f aca="false">+DCF!R48</f>
        <v>3941.0282964226</v>
      </c>
      <c r="R15" s="73" t="n">
        <f aca="false">+DCF!S48</f>
        <v>4059.25914531528</v>
      </c>
      <c r="S15" s="73" t="n">
        <f aca="false">+DCF!T48</f>
        <v>4181.03691967474</v>
      </c>
      <c r="T15" s="73" t="n">
        <f aca="false">+DCF!U48</f>
        <v>4306.46802726498</v>
      </c>
      <c r="U15" s="73" t="n">
        <f aca="false">+DCF!V48</f>
        <v>4435.66206808293</v>
      </c>
      <c r="V15" s="73" t="n">
        <f aca="false">+DCF!W48</f>
        <v>4568.73193012542</v>
      </c>
      <c r="W15" s="73" t="n">
        <f aca="false">SUM(C15:Q15)</f>
        <v>48459.172177176</v>
      </c>
    </row>
    <row r="16" customFormat="false" ht="12.75" hidden="false" customHeight="false" outlineLevel="0" collapsed="false">
      <c r="A16" s="0" t="s">
        <v>148</v>
      </c>
      <c r="C16" s="73" t="n">
        <f aca="false">+DCF!D37+DCF!D41-DCF!D33</f>
        <v>0</v>
      </c>
      <c r="D16" s="73" t="n">
        <f aca="false">+DCF!E37+DCF!E41-DCF!E33</f>
        <v>0</v>
      </c>
      <c r="E16" s="73" t="n">
        <f aca="false">+DCF!F37+DCF!F41-DCF!F33</f>
        <v>0</v>
      </c>
      <c r="F16" s="73" t="n">
        <f aca="false">+DCF!G37+DCF!G41-DCF!G33</f>
        <v>0</v>
      </c>
      <c r="G16" s="73" t="n">
        <f aca="false">+DCF!H37+DCF!H41-DCF!H33</f>
        <v>0</v>
      </c>
      <c r="H16" s="73" t="n">
        <f aca="false">+DCF!I37+DCF!I41-DCF!I33</f>
        <v>0</v>
      </c>
      <c r="I16" s="73" t="n">
        <f aca="false">+DCF!J37+DCF!J41-DCF!J33</f>
        <v>0</v>
      </c>
      <c r="J16" s="73" t="n">
        <f aca="false">+DCF!K37+DCF!K41-DCF!K33</f>
        <v>0</v>
      </c>
      <c r="K16" s="73" t="n">
        <f aca="false">+DCF!L37+DCF!L41-DCF!L33</f>
        <v>0</v>
      </c>
      <c r="L16" s="73" t="n">
        <f aca="false">+DCF!M37+DCF!M41-DCF!M33</f>
        <v>0</v>
      </c>
      <c r="M16" s="73" t="n">
        <f aca="false">+DCF!N37+DCF!N41-DCF!N33</f>
        <v>0</v>
      </c>
      <c r="N16" s="73" t="n">
        <f aca="false">+DCF!O37+DCF!O41-DCF!O33</f>
        <v>0</v>
      </c>
      <c r="O16" s="73" t="n">
        <f aca="false">+DCF!P37+DCF!P41-DCF!P33</f>
        <v>0</v>
      </c>
      <c r="P16" s="73" t="n">
        <f aca="false">+DCF!Q37+DCF!Q41-DCF!Q33</f>
        <v>0</v>
      </c>
      <c r="Q16" s="73" t="n">
        <f aca="false">+DCF!R37+DCF!R41-DCF!R33</f>
        <v>0</v>
      </c>
      <c r="R16" s="73" t="n">
        <f aca="false">+DCF!S37+DCF!S41-DCF!S33</f>
        <v>0</v>
      </c>
      <c r="S16" s="73" t="n">
        <f aca="false">+DCF!T37+DCF!T41-DCF!T33</f>
        <v>0</v>
      </c>
      <c r="T16" s="73" t="n">
        <f aca="false">+DCF!U37+DCF!U41-DCF!U33</f>
        <v>0</v>
      </c>
      <c r="U16" s="73" t="n">
        <f aca="false">+DCF!V37+DCF!V41-DCF!V33</f>
        <v>0</v>
      </c>
      <c r="V16" s="73" t="n">
        <f aca="false">+DCF!W37+DCF!W41-DCF!W33</f>
        <v>0</v>
      </c>
      <c r="W16" s="73" t="n">
        <f aca="false">SUM(C16:Q16)</f>
        <v>0</v>
      </c>
    </row>
    <row r="17" customFormat="false" ht="15" hidden="false" customHeight="false" outlineLevel="0" collapsed="false">
      <c r="A17" s="20" t="s">
        <v>149</v>
      </c>
      <c r="C17" s="196" t="n">
        <f aca="false">((AVERAGE([2]data1cf!$BZ$2:$BZ$1001)*assumptions!B25)/365*C4)</f>
        <v>7216.46575729682</v>
      </c>
      <c r="D17" s="196" t="n">
        <f aca="false">((AVERAGE([2]data1cf!$BZ$2:$BZ$1001)*assumptions!B25))</f>
        <v>7196.74863774136</v>
      </c>
      <c r="E17" s="196" t="n">
        <f aca="false">+D17</f>
        <v>7196.74863774136</v>
      </c>
      <c r="F17" s="196" t="n">
        <f aca="false">+E17</f>
        <v>7196.74863774136</v>
      </c>
      <c r="G17" s="196" t="n">
        <f aca="false">+F17</f>
        <v>7196.74863774136</v>
      </c>
      <c r="H17" s="196" t="n">
        <f aca="false">IF(DCF!$C$7-DCF!I6&gt;-1,+EARNINGS!G17,0)</f>
        <v>7196.74863774136</v>
      </c>
      <c r="I17" s="196" t="n">
        <f aca="false">IF(DCF!$C$7-DCF!J6&gt;-1,+EARNINGS!H17,0)</f>
        <v>7196.74863774136</v>
      </c>
      <c r="J17" s="196" t="n">
        <f aca="false">IF(DCF!$C$7-DCF!K6&gt;-1,+EARNINGS!I17,0)</f>
        <v>7196.74863774136</v>
      </c>
      <c r="K17" s="196" t="n">
        <f aca="false">IF(DCF!$C$7-DCF!L6&gt;-1,+EARNINGS!J17,0)</f>
        <v>7196.74863774136</v>
      </c>
      <c r="L17" s="196" t="n">
        <f aca="false">IF(DCF!$C$7-DCF!M6&gt;-1,+EARNINGS!K17,0)</f>
        <v>7196.74863774136</v>
      </c>
      <c r="M17" s="196" t="n">
        <f aca="false">IF(DCF!$C$7-DCF!N6&gt;-1,+EARNINGS!L17,0)</f>
        <v>7196.74863774136</v>
      </c>
      <c r="N17" s="196" t="n">
        <f aca="false">IF(DCF!$C$7-DCF!O6&gt;-1,+EARNINGS!M17,0)</f>
        <v>7196.74863774136</v>
      </c>
      <c r="O17" s="196" t="n">
        <f aca="false">IF(DCF!$C$7-DCF!P6&gt;-1,+EARNINGS!N17,0)</f>
        <v>7196.74863774136</v>
      </c>
      <c r="P17" s="196" t="n">
        <f aca="false">IF(DCF!$C$7-DCF!Q6&gt;-1,+EARNINGS!O17,0)</f>
        <v>7196.74863774136</v>
      </c>
      <c r="Q17" s="196" t="n">
        <f aca="false">IF(DCF!$C$7-DCF!R6&gt;-1,+EARNINGS!P17,0)</f>
        <v>7196.74863774136</v>
      </c>
      <c r="R17" s="196" t="n">
        <f aca="false">IF(DCF!$C$7-DCF!S6&gt;-1,+EARNINGS!Q17,0)</f>
        <v>7196.74863774136</v>
      </c>
      <c r="S17" s="196" t="n">
        <f aca="false">IF(DCF!$C$7-DCF!T6&gt;-1,+EARNINGS!R17,0)</f>
        <v>7196.74863774136</v>
      </c>
      <c r="T17" s="196" t="n">
        <f aca="false">IF(DCF!$C$7-DCF!U6&gt;-1,+EARNINGS!S17,0)</f>
        <v>7196.74863774136</v>
      </c>
      <c r="U17" s="196" t="n">
        <f aca="false">IF(DCF!$C$7-DCF!V6&gt;-1,+EARNINGS!T17,0)</f>
        <v>7196.74863774136</v>
      </c>
      <c r="V17" s="196" t="n">
        <f aca="false">IF(DCF!$C$7-DCF!W6&gt;-1,+EARNINGS!U17,0)</f>
        <v>7196.74863774136</v>
      </c>
      <c r="W17" s="197" t="n">
        <f aca="false">SUM(C17:Q17)</f>
        <v>107970.946685676</v>
      </c>
    </row>
    <row r="18" customFormat="false" ht="12.75" hidden="false" customHeight="false" outlineLevel="0" collapsed="false">
      <c r="A18" s="20" t="s">
        <v>150</v>
      </c>
      <c r="C18" s="73" t="n">
        <f aca="false">SUM(C13:C17)</f>
        <v>17223.6040232831</v>
      </c>
      <c r="D18" s="73" t="n">
        <f aca="false">SUM(D13:D17)</f>
        <v>16664.2487812164</v>
      </c>
      <c r="E18" s="73" t="n">
        <f aca="false">SUM(E13:E17)</f>
        <v>16345.3126906855</v>
      </c>
      <c r="F18" s="73" t="n">
        <f aca="false">SUM(F13:F17)</f>
        <v>16051.1839366529</v>
      </c>
      <c r="G18" s="73" t="n">
        <f aca="false">SUM(G13:G17)</f>
        <v>15779.9144274149</v>
      </c>
      <c r="H18" s="73" t="n">
        <f aca="false">SUM(H13:H17)</f>
        <v>15529.814070851</v>
      </c>
      <c r="I18" s="73" t="n">
        <f aca="false">SUM(I13:I17)</f>
        <v>15291.5398001831</v>
      </c>
      <c r="J18" s="73" t="n">
        <f aca="false">SUM(J13:J17)</f>
        <v>15056.7723052828</v>
      </c>
      <c r="K18" s="73" t="n">
        <f aca="false">SUM(K13:K17)</f>
        <v>14825.361593992</v>
      </c>
      <c r="L18" s="73" t="n">
        <f aca="false">SUM(L13:L17)</f>
        <v>14597.9264165441</v>
      </c>
      <c r="M18" s="73" t="n">
        <f aca="false">SUM(M13:M17)</f>
        <v>14374.0679922293</v>
      </c>
      <c r="N18" s="73" t="n">
        <f aca="false">SUM(N13:N17)</f>
        <v>14154.4116703669</v>
      </c>
      <c r="O18" s="73" t="n">
        <f aca="false">SUM(O13:O17)</f>
        <v>13938.565467305</v>
      </c>
      <c r="P18" s="73" t="n">
        <f aca="false">SUM(P13:P17)</f>
        <v>13727.161733333</v>
      </c>
      <c r="Q18" s="73" t="n">
        <f aca="false">SUM(Q13:Q17)</f>
        <v>13595.3535434226</v>
      </c>
      <c r="R18" s="73" t="n">
        <f aca="false">SUM(R13:R17)</f>
        <v>13543.2702843298</v>
      </c>
      <c r="S18" s="73" t="n">
        <f aca="false">SUM(S13:S17)</f>
        <v>13495.7625722203</v>
      </c>
      <c r="T18" s="73" t="n">
        <f aca="false">SUM(T13:T17)</f>
        <v>13452.9676735036</v>
      </c>
      <c r="U18" s="73" t="n">
        <f aca="false">SUM(U13:U17)</f>
        <v>13415.0269725814</v>
      </c>
      <c r="V18" s="73" t="n">
        <f aca="false">SUM(V13:V17)</f>
        <v>13382.0860953877</v>
      </c>
      <c r="W18" s="73" t="n">
        <f aca="false">SUM(C18:Q18)</f>
        <v>227155.238452762</v>
      </c>
    </row>
    <row r="19" customFormat="false" ht="12.75" hidden="false" customHeight="false" outlineLevel="0" collapsed="false"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</row>
    <row r="20" customFormat="false" ht="12.75" hidden="false" customHeight="false" outlineLevel="0" collapsed="false">
      <c r="A20" s="0" t="s">
        <v>133</v>
      </c>
      <c r="C20" s="73" t="n">
        <f aca="false">+C10-C18</f>
        <v>10913.6039367169</v>
      </c>
      <c r="D20" s="73" t="n">
        <f aca="false">+D10-D18</f>
        <v>6199.3512187836</v>
      </c>
      <c r="E20" s="73" t="n">
        <f aca="false">+E10-E18</f>
        <v>6518.2873093145</v>
      </c>
      <c r="F20" s="73" t="n">
        <f aca="false">+F10-F18</f>
        <v>6812.41606334707</v>
      </c>
      <c r="G20" s="73" t="n">
        <f aca="false">+G10-G18</f>
        <v>7146.32557258515</v>
      </c>
      <c r="H20" s="73" t="n">
        <f aca="false">+H10-H18</f>
        <v>7333.78592914901</v>
      </c>
      <c r="I20" s="73" t="n">
        <f aca="false">+I10-I18</f>
        <v>7572.06019981691</v>
      </c>
      <c r="J20" s="73" t="n">
        <f aca="false">+J10-J18</f>
        <v>7806.82769471722</v>
      </c>
      <c r="K20" s="73" t="n">
        <f aca="false">+K10-K18</f>
        <v>8100.87840600805</v>
      </c>
      <c r="L20" s="73" t="n">
        <f aca="false">+L10-L18</f>
        <v>8265.67358345587</v>
      </c>
      <c r="M20" s="73" t="n">
        <f aca="false">+M10-M18</f>
        <v>8489.53200777065</v>
      </c>
      <c r="N20" s="73" t="n">
        <f aca="false">+N10-N18</f>
        <v>8709.18832963314</v>
      </c>
      <c r="O20" s="73" t="n">
        <f aca="false">+O10-O18</f>
        <v>8987.67453269502</v>
      </c>
      <c r="P20" s="73" t="n">
        <f aca="false">+P10-P18</f>
        <v>9136.43826666702</v>
      </c>
      <c r="Q20" s="73" t="n">
        <f aca="false">+Q10-Q18</f>
        <v>9268.24645657742</v>
      </c>
      <c r="R20" s="73" t="n">
        <f aca="false">+R10-R18</f>
        <v>9320.32971567018</v>
      </c>
      <c r="S20" s="73" t="n">
        <f aca="false">+S10-S18</f>
        <v>9430.47742777968</v>
      </c>
      <c r="T20" s="73" t="n">
        <f aca="false">+T10-T18</f>
        <v>9410.63232649639</v>
      </c>
      <c r="U20" s="73" t="n">
        <f aca="false">+U10-U18</f>
        <v>9448.57302741856</v>
      </c>
      <c r="V20" s="73" t="n">
        <f aca="false">+V10-V18</f>
        <v>9481.51390461234</v>
      </c>
      <c r="W20" s="73" t="n">
        <f aca="false">SUM(C20:Q20)</f>
        <v>121260.289507238</v>
      </c>
    </row>
    <row r="21" customFormat="false" ht="12.75" hidden="false" customHeight="false" outlineLevel="0" collapsed="false">
      <c r="A21" s="0" t="s">
        <v>151</v>
      </c>
      <c r="C21" s="73" t="n">
        <f aca="false">+C20*assumptions!$B$26</f>
        <v>4243.20921059552</v>
      </c>
      <c r="D21" s="73" t="n">
        <f aca="false">+D20*assumptions!$B$26</f>
        <v>2410.30775386306</v>
      </c>
      <c r="E21" s="73" t="n">
        <f aca="false">+E20*assumptions!$B$26</f>
        <v>2534.31010586148</v>
      </c>
      <c r="F21" s="73" t="n">
        <f aca="false">+F20*assumptions!$B$26</f>
        <v>2648.66736542934</v>
      </c>
      <c r="G21" s="73" t="n">
        <f aca="false">+G20*assumptions!$B$26</f>
        <v>2778.4913826211</v>
      </c>
      <c r="H21" s="73" t="n">
        <f aca="false">+H20*assumptions!$B$26</f>
        <v>2851.37596925313</v>
      </c>
      <c r="I21" s="73" t="n">
        <f aca="false">+I20*assumptions!$B$26</f>
        <v>2944.01700568882</v>
      </c>
      <c r="J21" s="73" t="n">
        <f aca="false">+J20*assumptions!$B$26</f>
        <v>3035.29460770605</v>
      </c>
      <c r="K21" s="73" t="n">
        <f aca="false">+K20*assumptions!$B$26</f>
        <v>3149.62152425593</v>
      </c>
      <c r="L21" s="73" t="n">
        <f aca="false">+L20*assumptions!$B$26</f>
        <v>3213.69388924764</v>
      </c>
      <c r="M21" s="73" t="n">
        <f aca="false">+M20*assumptions!$B$26</f>
        <v>3300.73004462123</v>
      </c>
      <c r="N21" s="73" t="n">
        <f aca="false">+N20*assumptions!$B$26</f>
        <v>3386.13242256136</v>
      </c>
      <c r="O21" s="73" t="n">
        <f aca="false">+O20*assumptions!$B$26</f>
        <v>3494.40785831182</v>
      </c>
      <c r="P21" s="73" t="n">
        <f aca="false">+P20*assumptions!$B$26</f>
        <v>3552.24719808014</v>
      </c>
      <c r="Q21" s="73" t="n">
        <f aca="false">+Q20*assumptions!$B$26</f>
        <v>3603.4942223173</v>
      </c>
      <c r="R21" s="73" t="n">
        <f aca="false">+R20*assumptions!$B$26</f>
        <v>3623.74419345257</v>
      </c>
      <c r="S21" s="73" t="n">
        <f aca="false">+S20*assumptions!$B$26</f>
        <v>3666.56962392074</v>
      </c>
      <c r="T21" s="73" t="n">
        <f aca="false">+T20*assumptions!$B$26</f>
        <v>3658.8538485418</v>
      </c>
      <c r="U21" s="73" t="n">
        <f aca="false">+U20*assumptions!$B$26</f>
        <v>3673.60519306034</v>
      </c>
      <c r="V21" s="73" t="n">
        <f aca="false">+V20*assumptions!$B$26</f>
        <v>3686.41260611328</v>
      </c>
      <c r="W21" s="73" t="n">
        <f aca="false">SUM(C21:Q21)</f>
        <v>47146.0005604139</v>
      </c>
    </row>
    <row r="23" customFormat="false" ht="12.75" hidden="false" customHeight="false" outlineLevel="0" collapsed="false">
      <c r="A23" s="0" t="s">
        <v>152</v>
      </c>
      <c r="C23" s="96" t="n">
        <f aca="false">+C10-C18-C21</f>
        <v>6670.39472612136</v>
      </c>
      <c r="D23" s="96" t="n">
        <f aca="false">+D10-D18-D21</f>
        <v>3789.04346492054</v>
      </c>
      <c r="E23" s="96" t="n">
        <f aca="false">+E10-E18-E21</f>
        <v>3983.97720345302</v>
      </c>
      <c r="F23" s="96" t="n">
        <f aca="false">+F10-F18-F21</f>
        <v>4163.74869791773</v>
      </c>
      <c r="G23" s="96" t="n">
        <f aca="false">+G10-G18-G21</f>
        <v>4367.83418996404</v>
      </c>
      <c r="H23" s="96" t="n">
        <f aca="false">+H10-H18-H21</f>
        <v>4482.40995989587</v>
      </c>
      <c r="I23" s="96" t="n">
        <f aca="false">+I10-I18-I21</f>
        <v>4628.0431941281</v>
      </c>
      <c r="J23" s="96" t="n">
        <f aca="false">+J10-J18-J21</f>
        <v>4771.53308701116</v>
      </c>
      <c r="K23" s="96" t="n">
        <f aca="false">+K10-K18-K21</f>
        <v>4951.25688175212</v>
      </c>
      <c r="L23" s="96" t="n">
        <f aca="false">+L10-L18-L21</f>
        <v>5051.97969420823</v>
      </c>
      <c r="M23" s="96" t="n">
        <f aca="false">+M10-M18-M21</f>
        <v>5188.80196314942</v>
      </c>
      <c r="N23" s="96" t="n">
        <f aca="false">+N10-N18-N21</f>
        <v>5323.05590707177</v>
      </c>
      <c r="O23" s="96" t="n">
        <f aca="false">+O10-O18-O21</f>
        <v>5493.2666743832</v>
      </c>
      <c r="P23" s="96" t="n">
        <f aca="false">+P10-P18-P21</f>
        <v>5584.19106858688</v>
      </c>
      <c r="Q23" s="96" t="n">
        <f aca="false">+Q10-Q18-Q21</f>
        <v>5664.75223426012</v>
      </c>
      <c r="R23" s="96" t="n">
        <f aca="false">+R10-R18-R21</f>
        <v>5696.58552221762</v>
      </c>
      <c r="S23" s="96" t="n">
        <f aca="false">+S10-S18-S21</f>
        <v>5763.90780385894</v>
      </c>
      <c r="T23" s="96" t="n">
        <f aca="false">+T10-T18-T21</f>
        <v>5751.7784779546</v>
      </c>
      <c r="U23" s="96" t="n">
        <f aca="false">+U10-U18-U21</f>
        <v>5774.96783435823</v>
      </c>
      <c r="V23" s="96" t="n">
        <f aca="false">+V10-V18-V21</f>
        <v>5795.10129849906</v>
      </c>
      <c r="W23" s="96" t="n">
        <f aca="false">+W10-W18-W21</f>
        <v>74114.2889468236</v>
      </c>
    </row>
    <row r="25" customFormat="false" ht="12.75" hidden="false" customHeight="false" outlineLevel="0" collapsed="false"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</row>
    <row r="26" customFormat="false" ht="12.75" hidden="false" customHeight="false" outlineLevel="0" collapsed="false">
      <c r="W26" s="198"/>
    </row>
  </sheetData>
  <mergeCells count="3">
    <mergeCell ref="A1:W1"/>
    <mergeCell ref="A2:W2"/>
    <mergeCell ref="A3:W3"/>
  </mergeCells>
  <printOptions headings="false" gridLines="false" gridLinesSet="true" horizontalCentered="false" verticalCentered="false"/>
  <pageMargins left="0.459722222222222" right="0.309722222222222" top="0.679861111111111" bottom="0.79027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4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1" activeCellId="0" sqref="A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2" width="39.85"/>
    <col collapsed="false" customWidth="true" hidden="false" outlineLevel="0" max="2" min="2" style="52" width="15.99"/>
    <col collapsed="false" customWidth="true" hidden="false" outlineLevel="0" max="3" min="3" style="52" width="12.28"/>
    <col collapsed="false" customWidth="true" hidden="false" outlineLevel="0" max="4" min="4" style="52" width="13.28"/>
    <col collapsed="false" customWidth="true" hidden="false" outlineLevel="0" max="27" min="5" style="52" width="10.28"/>
    <col collapsed="false" customWidth="true" hidden="false" outlineLevel="0" max="28" min="28" style="52" width="11.28"/>
    <col collapsed="false" customWidth="false" hidden="false" outlineLevel="0" max="37" min="29" style="52" width="9.14"/>
    <col collapsed="false" customWidth="true" hidden="false" outlineLevel="0" max="38" min="38" style="52" width="11.28"/>
    <col collapsed="false" customWidth="false" hidden="false" outlineLevel="0" max="49" min="39" style="52" width="9.14"/>
    <col collapsed="false" customWidth="true" hidden="false" outlineLevel="0" max="50" min="50" style="52" width="11.28"/>
    <col collapsed="false" customWidth="true" hidden="false" outlineLevel="0" max="51" min="51" style="52" width="9.7"/>
    <col collapsed="false" customWidth="false" hidden="false" outlineLevel="0" max="61" min="52" style="52" width="9.14"/>
    <col collapsed="false" customWidth="true" hidden="false" outlineLevel="0" max="62" min="62" style="52" width="11.28"/>
    <col collapsed="false" customWidth="false" hidden="false" outlineLevel="0" max="257" min="63" style="52" width="9.14"/>
  </cols>
  <sheetData>
    <row r="1" customFormat="false" ht="12.75" hidden="false" customHeight="false" outlineLevel="0" collapsed="false">
      <c r="A1" s="1" t="s">
        <v>153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customFormat="false" ht="12.75" hidden="false" customHeight="false" outlineLevel="0" collapsed="false">
      <c r="A2" s="1" t="str">
        <f aca="false">+assumptions!A2</f>
        <v>TransPecos Project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customFormat="false" ht="12.75" hidden="false" customHeight="false" outlineLevel="0" collapsed="false">
      <c r="A3" s="21" t="s">
        <v>142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</row>
    <row r="4" customFormat="false" ht="12.75" hidden="false" customHeight="false" outlineLevel="0" collapsed="false">
      <c r="A4" s="0"/>
      <c r="B4" s="0"/>
      <c r="C4" s="199" t="s">
        <v>154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</row>
    <row r="5" customFormat="false" ht="12.75" hidden="false" customHeight="false" outlineLevel="0" collapsed="false">
      <c r="A5" s="200" t="s">
        <v>155</v>
      </c>
      <c r="B5" s="0"/>
      <c r="C5" s="14" t="n">
        <v>1</v>
      </c>
      <c r="D5" s="14" t="n">
        <v>2</v>
      </c>
      <c r="E5" s="14" t="n">
        <v>3</v>
      </c>
      <c r="F5" s="14" t="n">
        <v>4</v>
      </c>
      <c r="G5" s="14" t="n">
        <v>5</v>
      </c>
      <c r="H5" s="14" t="n">
        <v>6</v>
      </c>
      <c r="I5" s="14" t="n">
        <v>7</v>
      </c>
      <c r="J5" s="14" t="n">
        <v>8</v>
      </c>
      <c r="K5" s="14" t="n">
        <v>9</v>
      </c>
      <c r="L5" s="14" t="n">
        <v>10</v>
      </c>
      <c r="M5" s="14" t="n">
        <v>11</v>
      </c>
      <c r="N5" s="14" t="n">
        <v>12</v>
      </c>
      <c r="O5" s="14" t="n">
        <v>13</v>
      </c>
      <c r="P5" s="14" t="n">
        <v>14</v>
      </c>
      <c r="Q5" s="14" t="n">
        <v>15</v>
      </c>
      <c r="R5" s="14" t="n">
        <v>16</v>
      </c>
      <c r="S5" s="14" t="n">
        <v>17</v>
      </c>
      <c r="T5" s="14" t="n">
        <v>18</v>
      </c>
      <c r="U5" s="14" t="n">
        <v>19</v>
      </c>
      <c r="V5" s="14" t="n">
        <v>20</v>
      </c>
      <c r="W5" s="14" t="n">
        <v>21</v>
      </c>
      <c r="X5" s="14" t="n">
        <v>22</v>
      </c>
      <c r="Y5" s="14" t="n">
        <v>23</v>
      </c>
      <c r="Z5" s="14" t="n">
        <v>24</v>
      </c>
      <c r="AA5" s="14" t="n">
        <v>25</v>
      </c>
      <c r="AB5" s="14" t="s">
        <v>156</v>
      </c>
    </row>
    <row r="6" customFormat="false" ht="12.75" hidden="false" customHeight="false" outlineLevel="0" collapsed="false">
      <c r="A6" s="0"/>
      <c r="B6" s="0"/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</row>
    <row r="7" customFormat="false" ht="12.75" hidden="false" customHeight="false" outlineLevel="0" collapsed="false">
      <c r="A7" s="20" t="s">
        <v>157</v>
      </c>
      <c r="B7" s="0" t="s">
        <v>158</v>
      </c>
      <c r="C7" s="201" t="n">
        <v>240</v>
      </c>
      <c r="D7" s="201" t="n">
        <f aca="false">+C7</f>
        <v>240</v>
      </c>
      <c r="E7" s="201" t="n">
        <f aca="false">+D7</f>
        <v>240</v>
      </c>
      <c r="F7" s="201" t="n">
        <f aca="false">+E7</f>
        <v>240</v>
      </c>
      <c r="G7" s="201" t="n">
        <f aca="false">+F7</f>
        <v>240</v>
      </c>
      <c r="H7" s="201" t="n">
        <f aca="false">+G7</f>
        <v>240</v>
      </c>
      <c r="I7" s="201" t="n">
        <f aca="false">+H7</f>
        <v>240</v>
      </c>
      <c r="J7" s="201" t="n">
        <f aca="false">+I7</f>
        <v>240</v>
      </c>
      <c r="K7" s="201" t="n">
        <f aca="false">+J7</f>
        <v>240</v>
      </c>
      <c r="L7" s="201" t="n">
        <f aca="false">+K7</f>
        <v>240</v>
      </c>
      <c r="M7" s="201" t="n">
        <f aca="false">+L7</f>
        <v>240</v>
      </c>
      <c r="N7" s="201" t="n">
        <f aca="false">+M7</f>
        <v>240</v>
      </c>
      <c r="O7" s="201" t="n">
        <f aca="false">+N7</f>
        <v>240</v>
      </c>
      <c r="P7" s="201" t="n">
        <f aca="false">+O7</f>
        <v>240</v>
      </c>
      <c r="Q7" s="201" t="n">
        <f aca="false">+P7</f>
        <v>240</v>
      </c>
      <c r="R7" s="201" t="n">
        <f aca="false">+Q7</f>
        <v>240</v>
      </c>
      <c r="S7" s="201" t="n">
        <f aca="false">+R7</f>
        <v>240</v>
      </c>
      <c r="T7" s="201" t="n">
        <f aca="false">+S7</f>
        <v>240</v>
      </c>
      <c r="U7" s="201" t="n">
        <f aca="false">+T7</f>
        <v>240</v>
      </c>
      <c r="V7" s="201" t="n">
        <f aca="false">+U7</f>
        <v>240</v>
      </c>
      <c r="W7" s="201" t="n">
        <v>0</v>
      </c>
      <c r="X7" s="201" t="n">
        <v>0</v>
      </c>
      <c r="Y7" s="201" t="n">
        <v>0</v>
      </c>
      <c r="Z7" s="201" t="n">
        <v>0</v>
      </c>
      <c r="AA7" s="201" t="n">
        <v>0</v>
      </c>
      <c r="AB7" s="0"/>
    </row>
    <row r="8" customFormat="false" ht="12.75" hidden="false" customHeight="false" outlineLevel="0" collapsed="false">
      <c r="A8" s="0"/>
      <c r="B8" s="0" t="s">
        <v>159</v>
      </c>
      <c r="C8" s="202" t="n">
        <v>0.261</v>
      </c>
      <c r="D8" s="202" t="n">
        <f aca="false">+C8</f>
        <v>0.261</v>
      </c>
      <c r="E8" s="202" t="n">
        <f aca="false">+D8</f>
        <v>0.261</v>
      </c>
      <c r="F8" s="202" t="n">
        <f aca="false">+E8</f>
        <v>0.261</v>
      </c>
      <c r="G8" s="202" t="n">
        <f aca="false">+F8</f>
        <v>0.261</v>
      </c>
      <c r="H8" s="202" t="n">
        <f aca="false">+G8</f>
        <v>0.261</v>
      </c>
      <c r="I8" s="202" t="n">
        <f aca="false">+H8</f>
        <v>0.261</v>
      </c>
      <c r="J8" s="202" t="n">
        <f aca="false">+I8</f>
        <v>0.261</v>
      </c>
      <c r="K8" s="202" t="n">
        <f aca="false">+J8</f>
        <v>0.261</v>
      </c>
      <c r="L8" s="202" t="n">
        <f aca="false">+K8</f>
        <v>0.261</v>
      </c>
      <c r="M8" s="202" t="n">
        <f aca="false">+L8</f>
        <v>0.261</v>
      </c>
      <c r="N8" s="202" t="n">
        <f aca="false">+M8</f>
        <v>0.261</v>
      </c>
      <c r="O8" s="202" t="n">
        <f aca="false">+N8</f>
        <v>0.261</v>
      </c>
      <c r="P8" s="202" t="n">
        <f aca="false">+O8</f>
        <v>0.261</v>
      </c>
      <c r="Q8" s="202" t="n">
        <f aca="false">+P8</f>
        <v>0.261</v>
      </c>
      <c r="R8" s="202" t="n">
        <f aca="false">+Q8</f>
        <v>0.261</v>
      </c>
      <c r="S8" s="202" t="n">
        <f aca="false">+R8</f>
        <v>0.261</v>
      </c>
      <c r="T8" s="202" t="n">
        <f aca="false">+S8</f>
        <v>0.261</v>
      </c>
      <c r="U8" s="202" t="n">
        <f aca="false">+T8</f>
        <v>0.261</v>
      </c>
      <c r="V8" s="202" t="n">
        <f aca="false">+U8</f>
        <v>0.261</v>
      </c>
      <c r="W8" s="202" t="n">
        <v>0</v>
      </c>
      <c r="X8" s="202" t="n">
        <v>0</v>
      </c>
      <c r="Y8" s="202" t="n">
        <v>0</v>
      </c>
      <c r="Z8" s="202" t="n">
        <v>0</v>
      </c>
      <c r="AA8" s="202" t="n">
        <v>0</v>
      </c>
      <c r="AB8" s="203"/>
      <c r="AC8" s="204"/>
      <c r="AD8" s="204"/>
      <c r="AE8" s="204"/>
      <c r="AF8" s="204"/>
      <c r="AG8" s="204"/>
    </row>
    <row r="9" customFormat="false" ht="12.75" hidden="false" customHeight="false" outlineLevel="0" collapsed="false">
      <c r="A9" s="0"/>
      <c r="B9" s="0" t="s">
        <v>160</v>
      </c>
      <c r="C9" s="202" t="n">
        <v>0</v>
      </c>
      <c r="D9" s="202" t="n">
        <f aca="false">+C9</f>
        <v>0</v>
      </c>
      <c r="E9" s="202" t="n">
        <f aca="false">+D9</f>
        <v>0</v>
      </c>
      <c r="F9" s="202" t="n">
        <f aca="false">+E9</f>
        <v>0</v>
      </c>
      <c r="G9" s="202" t="n">
        <f aca="false">+F9</f>
        <v>0</v>
      </c>
      <c r="H9" s="202" t="n">
        <f aca="false">+G9</f>
        <v>0</v>
      </c>
      <c r="I9" s="202" t="n">
        <f aca="false">+H9</f>
        <v>0</v>
      </c>
      <c r="J9" s="202" t="n">
        <f aca="false">+I9</f>
        <v>0</v>
      </c>
      <c r="K9" s="202" t="n">
        <f aca="false">+J9</f>
        <v>0</v>
      </c>
      <c r="L9" s="202" t="n">
        <f aca="false">+K9</f>
        <v>0</v>
      </c>
      <c r="M9" s="202" t="n">
        <f aca="false">+L9</f>
        <v>0</v>
      </c>
      <c r="N9" s="202" t="n">
        <f aca="false">+M9</f>
        <v>0</v>
      </c>
      <c r="O9" s="202" t="n">
        <f aca="false">+N9</f>
        <v>0</v>
      </c>
      <c r="P9" s="202" t="n">
        <f aca="false">+O9</f>
        <v>0</v>
      </c>
      <c r="Q9" s="202" t="n">
        <f aca="false">+P9</f>
        <v>0</v>
      </c>
      <c r="R9" s="202" t="n">
        <v>0</v>
      </c>
      <c r="S9" s="202" t="n">
        <f aca="false">+R9</f>
        <v>0</v>
      </c>
      <c r="T9" s="202" t="n">
        <f aca="false">+S9</f>
        <v>0</v>
      </c>
      <c r="U9" s="202" t="n">
        <f aca="false">+T9</f>
        <v>0</v>
      </c>
      <c r="V9" s="202" t="n">
        <f aca="false">+U9</f>
        <v>0</v>
      </c>
      <c r="W9" s="202" t="n">
        <f aca="false">+V9</f>
        <v>0</v>
      </c>
      <c r="X9" s="202" t="n">
        <f aca="false">+W9</f>
        <v>0</v>
      </c>
      <c r="Y9" s="202" t="n">
        <f aca="false">+X9</f>
        <v>0</v>
      </c>
      <c r="Z9" s="202" t="n">
        <f aca="false">+Y9</f>
        <v>0</v>
      </c>
      <c r="AA9" s="202" t="n">
        <f aca="false">+Z9</f>
        <v>0</v>
      </c>
      <c r="AB9" s="203"/>
      <c r="AC9" s="204"/>
      <c r="AD9" s="204"/>
      <c r="AE9" s="204"/>
      <c r="AF9" s="204"/>
      <c r="AG9" s="204"/>
    </row>
    <row r="10" customFormat="false" ht="12.75" hidden="false" customHeight="false" outlineLevel="0" collapsed="false">
      <c r="A10" s="0"/>
      <c r="B10" s="0" t="s">
        <v>161</v>
      </c>
      <c r="C10" s="108" t="n">
        <f aca="false">+DCF!D29</f>
        <v>1</v>
      </c>
      <c r="D10" s="108" t="n">
        <f aca="false">+DCF!E29</f>
        <v>1</v>
      </c>
      <c r="E10" s="108" t="n">
        <f aca="false">+DCF!F29</f>
        <v>1</v>
      </c>
      <c r="F10" s="108" t="n">
        <f aca="false">+DCF!G29</f>
        <v>1</v>
      </c>
      <c r="G10" s="108" t="n">
        <f aca="false">+DCF!H29</f>
        <v>1</v>
      </c>
      <c r="H10" s="108" t="n">
        <f aca="false">+DCF!I29</f>
        <v>1</v>
      </c>
      <c r="I10" s="108" t="n">
        <f aca="false">+DCF!J29</f>
        <v>1</v>
      </c>
      <c r="J10" s="108" t="n">
        <f aca="false">+DCF!K29</f>
        <v>1</v>
      </c>
      <c r="K10" s="108" t="n">
        <f aca="false">+DCF!L29</f>
        <v>1</v>
      </c>
      <c r="L10" s="108" t="n">
        <f aca="false">+DCF!M29</f>
        <v>1</v>
      </c>
      <c r="M10" s="108" t="n">
        <f aca="false">+DCF!N29</f>
        <v>1</v>
      </c>
      <c r="N10" s="108" t="n">
        <f aca="false">+DCF!O29</f>
        <v>1</v>
      </c>
      <c r="O10" s="108" t="n">
        <f aca="false">+DCF!P29</f>
        <v>1</v>
      </c>
      <c r="P10" s="108" t="n">
        <f aca="false">+DCF!Q29</f>
        <v>1</v>
      </c>
      <c r="Q10" s="108" t="n">
        <f aca="false">+DCF!R29</f>
        <v>1</v>
      </c>
      <c r="R10" s="108" t="n">
        <f aca="false">+DCF!S29</f>
        <v>1</v>
      </c>
      <c r="S10" s="108" t="n">
        <f aca="false">+DCF!T29</f>
        <v>1</v>
      </c>
      <c r="T10" s="108" t="n">
        <f aca="false">+DCF!U29</f>
        <v>1</v>
      </c>
      <c r="U10" s="108" t="n">
        <f aca="false">+DCF!V29</f>
        <v>1</v>
      </c>
      <c r="V10" s="108" t="n">
        <f aca="false">+DCF!W29</f>
        <v>1</v>
      </c>
      <c r="W10" s="108" t="n">
        <f aca="false">+DCF!X29</f>
        <v>1</v>
      </c>
      <c r="X10" s="108" t="n">
        <f aca="false">+DCF!Y29</f>
        <v>1</v>
      </c>
      <c r="Y10" s="108" t="n">
        <f aca="false">+DCF!Z29</f>
        <v>1</v>
      </c>
      <c r="Z10" s="108" t="n">
        <f aca="false">+DCF!AA29</f>
        <v>1</v>
      </c>
      <c r="AA10" s="108" t="n">
        <f aca="false">+DCF!AB29</f>
        <v>1</v>
      </c>
      <c r="AB10" s="203"/>
      <c r="AC10" s="204"/>
      <c r="AD10" s="204"/>
      <c r="AE10" s="204"/>
      <c r="AF10" s="204"/>
      <c r="AG10" s="204"/>
    </row>
    <row r="11" customFormat="false" ht="12.75" hidden="false" customHeight="false" outlineLevel="0" collapsed="false">
      <c r="A11" s="0"/>
      <c r="B11" s="0" t="s">
        <v>162</v>
      </c>
      <c r="C11" s="73" t="n">
        <f aca="false">+C7*C8*C10*EARNINGS!C4</f>
        <v>22926.24</v>
      </c>
      <c r="D11" s="73" t="n">
        <f aca="false">+D7*D8*D10*EARNINGS!D4</f>
        <v>22863.6</v>
      </c>
      <c r="E11" s="73" t="n">
        <f aca="false">+E7*E8*E10*EARNINGS!E4</f>
        <v>22863.6</v>
      </c>
      <c r="F11" s="73" t="n">
        <f aca="false">+F7*F8*F10*EARNINGS!F4</f>
        <v>22863.6</v>
      </c>
      <c r="G11" s="73" t="n">
        <f aca="false">+G7*G8*G10*EARNINGS!G4</f>
        <v>22926.24</v>
      </c>
      <c r="H11" s="73" t="n">
        <f aca="false">+H7*H8*H10*EARNINGS!H4</f>
        <v>22863.6</v>
      </c>
      <c r="I11" s="73" t="n">
        <f aca="false">+I7*I8*I10*EARNINGS!I4</f>
        <v>22863.6</v>
      </c>
      <c r="J11" s="73" t="n">
        <f aca="false">+J7*J8*J10*EARNINGS!J4</f>
        <v>22863.6</v>
      </c>
      <c r="K11" s="73" t="n">
        <f aca="false">+K7*K8*K10*EARNINGS!K4</f>
        <v>22926.24</v>
      </c>
      <c r="L11" s="73" t="n">
        <f aca="false">+L7*L8*L10*EARNINGS!L4</f>
        <v>22863.6</v>
      </c>
      <c r="M11" s="73" t="n">
        <f aca="false">+M7*M8*M10*EARNINGS!M4</f>
        <v>22863.6</v>
      </c>
      <c r="N11" s="73" t="n">
        <f aca="false">+N7*N8*N10*EARNINGS!N4</f>
        <v>22863.6</v>
      </c>
      <c r="O11" s="73" t="n">
        <f aca="false">+O7*O8*O10*EARNINGS!O4</f>
        <v>22926.24</v>
      </c>
      <c r="P11" s="73" t="n">
        <f aca="false">+P7*P8*P10*EARNINGS!P4</f>
        <v>22863.6</v>
      </c>
      <c r="Q11" s="73" t="n">
        <f aca="false">+Q7*Q8*Q10*EARNINGS!Q4</f>
        <v>22863.6</v>
      </c>
      <c r="R11" s="73" t="n">
        <f aca="false">+R7*R8*R10*EARNINGS!R4</f>
        <v>22863.6</v>
      </c>
      <c r="S11" s="73" t="n">
        <f aca="false">+S7*S8*S10*EARNINGS!S4</f>
        <v>22926.24</v>
      </c>
      <c r="T11" s="73" t="n">
        <f aca="false">+T7*T8*T10*EARNINGS!T4</f>
        <v>22863.6</v>
      </c>
      <c r="U11" s="73" t="n">
        <f aca="false">+U7*U8*U10*EARNINGS!U4</f>
        <v>22863.6</v>
      </c>
      <c r="V11" s="73" t="n">
        <f aca="false">+V7*V8*V10*EARNINGS!V4</f>
        <v>22863.6</v>
      </c>
      <c r="W11" s="73" t="n">
        <f aca="false">+W7*W8*W10*EARNINGS!W4</f>
        <v>0</v>
      </c>
      <c r="X11" s="73" t="n">
        <f aca="false">+X7*X8*X10*EARNINGS!X4</f>
        <v>0</v>
      </c>
      <c r="Y11" s="73" t="n">
        <f aca="false">+Y7*Y8*Y10*EARNINGS!Y4</f>
        <v>0</v>
      </c>
      <c r="Z11" s="73" t="n">
        <f aca="false">+Z7*Z8*Z10*EARNINGS!Z4</f>
        <v>0</v>
      </c>
      <c r="AA11" s="73" t="n">
        <f aca="false">+AA7*AA8*AA10*EARNINGS!AA4</f>
        <v>0</v>
      </c>
      <c r="AB11" s="73" t="n">
        <f aca="false">SUM(C11:V11)</f>
        <v>457585.2</v>
      </c>
      <c r="AC11" s="204"/>
      <c r="AD11" s="204"/>
      <c r="AE11" s="204"/>
      <c r="AF11" s="204"/>
      <c r="AG11" s="204"/>
    </row>
    <row r="12" customFormat="false" ht="12.75" hidden="false" customHeight="false" outlineLevel="0" collapsed="false">
      <c r="A12" s="0" t="s">
        <v>163</v>
      </c>
      <c r="B12" s="205" t="n">
        <v>0.0075</v>
      </c>
      <c r="C12" s="0" t="n">
        <f aca="false">+C7*$B12*assumptions!C$32*DCF!D$29</f>
        <v>1.62</v>
      </c>
      <c r="D12" s="0" t="n">
        <f aca="false">+D7*$B12*assumptions!D$32*DCF!E$29</f>
        <v>1.62</v>
      </c>
      <c r="E12" s="0" t="n">
        <f aca="false">+E7*$B12*assumptions!E$32*DCF!F$29</f>
        <v>1.62</v>
      </c>
      <c r="F12" s="0" t="n">
        <f aca="false">+F7*$B12*assumptions!F$32*DCF!G$29</f>
        <v>1.62</v>
      </c>
      <c r="G12" s="0" t="n">
        <f aca="false">+G7*$B12*assumptions!G$32*DCF!H$29</f>
        <v>1.62</v>
      </c>
      <c r="H12" s="0" t="n">
        <f aca="false">+H7*$B12*assumptions!H$32*DCF!I$29</f>
        <v>1.62</v>
      </c>
      <c r="I12" s="0" t="n">
        <f aca="false">+I7*$B12*assumptions!I$32*DCF!J$29</f>
        <v>1.62</v>
      </c>
      <c r="J12" s="0" t="n">
        <f aca="false">+J7*$B12*assumptions!J$32*DCF!K$29</f>
        <v>1.62</v>
      </c>
      <c r="K12" s="0" t="n">
        <f aca="false">+K7*$B12*assumptions!K$32*DCF!L$29</f>
        <v>1.62</v>
      </c>
      <c r="L12" s="0" t="n">
        <f aca="false">+L7*$B12*assumptions!L$32*DCF!M$29</f>
        <v>1.62</v>
      </c>
      <c r="M12" s="0" t="n">
        <f aca="false">+M7*$B12*assumptions!M$32*DCF!N$29</f>
        <v>1.62</v>
      </c>
      <c r="N12" s="0" t="n">
        <f aca="false">+N7*$B12*assumptions!N$32*DCF!O$29</f>
        <v>1.62</v>
      </c>
      <c r="O12" s="0" t="n">
        <f aca="false">+O7*$B12*assumptions!O$32*DCF!P$29</f>
        <v>1.62</v>
      </c>
      <c r="P12" s="0" t="n">
        <f aca="false">+P7*$B12*assumptions!P$32*DCF!Q$29</f>
        <v>1.62</v>
      </c>
      <c r="Q12" s="0" t="n">
        <f aca="false">+Q7*$B12*assumptions!Q$32*DCF!R$29</f>
        <v>1.62</v>
      </c>
      <c r="R12" s="0" t="n">
        <f aca="false">+R7*$B12*assumptions!R$32*DCF!S$29</f>
        <v>1.62</v>
      </c>
      <c r="S12" s="0" t="n">
        <f aca="false">+S7*$B12*assumptions!S$32*DCF!T$29</f>
        <v>1.62</v>
      </c>
      <c r="T12" s="0" t="n">
        <f aca="false">+T7*$B12*assumptions!T$32*DCF!U$29</f>
        <v>1.62</v>
      </c>
      <c r="U12" s="0" t="n">
        <f aca="false">+U7*$B12*assumptions!U$32*DCF!V$29</f>
        <v>1.62</v>
      </c>
      <c r="V12" s="0" t="n">
        <f aca="false">+V7*$B12*assumptions!V$32*DCF!W$29</f>
        <v>1.62</v>
      </c>
      <c r="W12" s="0" t="n">
        <f aca="false">+W7*$B12*assumptions!W$32*DCF!X$29</f>
        <v>0</v>
      </c>
      <c r="X12" s="0" t="n">
        <f aca="false">+X7*$B12*assumptions!X$32*DCF!Y$29</f>
        <v>0</v>
      </c>
      <c r="Y12" s="0" t="n">
        <f aca="false">+Y7*$B12*assumptions!Y$32*DCF!Z$29</f>
        <v>0</v>
      </c>
      <c r="Z12" s="0" t="n">
        <f aca="false">+Z7*$B12*assumptions!Z$32*DCF!AA$29</f>
        <v>0</v>
      </c>
      <c r="AA12" s="0" t="n">
        <f aca="false">+AA7*$B12*assumptions!AA$32*DCF!AB$29</f>
        <v>0</v>
      </c>
      <c r="AB12" s="0" t="n">
        <f aca="false">SUM(C12:V12)</f>
        <v>32.4</v>
      </c>
    </row>
    <row r="13" customFormat="false" ht="12.75" hidden="false" customHeight="false" outlineLevel="0" collapsed="false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</row>
    <row r="14" customFormat="false" ht="12.75" hidden="false" customHeight="false" outlineLevel="0" collapsed="false">
      <c r="A14" s="20" t="s">
        <v>164</v>
      </c>
      <c r="B14" s="0" t="s">
        <v>158</v>
      </c>
      <c r="C14" s="206" t="n">
        <v>0</v>
      </c>
      <c r="D14" s="206" t="n">
        <f aca="false">+C14</f>
        <v>0</v>
      </c>
      <c r="E14" s="206" t="n">
        <f aca="false">+D14</f>
        <v>0</v>
      </c>
      <c r="F14" s="206" t="n">
        <f aca="false">+E14</f>
        <v>0</v>
      </c>
      <c r="G14" s="206" t="n">
        <f aca="false">+F14</f>
        <v>0</v>
      </c>
      <c r="H14" s="206" t="n">
        <f aca="false">+G14</f>
        <v>0</v>
      </c>
      <c r="I14" s="206" t="n">
        <f aca="false">+H14</f>
        <v>0</v>
      </c>
      <c r="J14" s="206" t="n">
        <f aca="false">+I14</f>
        <v>0</v>
      </c>
      <c r="K14" s="206" t="n">
        <f aca="false">+J14</f>
        <v>0</v>
      </c>
      <c r="L14" s="206" t="n">
        <f aca="false">+K14</f>
        <v>0</v>
      </c>
      <c r="M14" s="206" t="n">
        <f aca="false">+L14</f>
        <v>0</v>
      </c>
      <c r="N14" s="206" t="n">
        <f aca="false">+M14</f>
        <v>0</v>
      </c>
      <c r="O14" s="206" t="n">
        <f aca="false">+N14</f>
        <v>0</v>
      </c>
      <c r="P14" s="206" t="n">
        <f aca="false">+O14</f>
        <v>0</v>
      </c>
      <c r="Q14" s="206" t="n">
        <f aca="false">+P14</f>
        <v>0</v>
      </c>
      <c r="R14" s="206"/>
      <c r="S14" s="206"/>
      <c r="T14" s="206"/>
      <c r="U14" s="206"/>
      <c r="V14" s="206"/>
      <c r="W14" s="206"/>
      <c r="X14" s="0"/>
      <c r="Y14" s="0"/>
      <c r="Z14" s="0"/>
      <c r="AA14" s="0"/>
      <c r="AB14" s="0" t="n">
        <f aca="false">SUM(C14:V14)</f>
        <v>0</v>
      </c>
    </row>
    <row r="15" customFormat="false" ht="12.75" hidden="false" customHeight="false" outlineLevel="0" collapsed="false">
      <c r="A15" s="0"/>
      <c r="B15" s="0" t="s">
        <v>165</v>
      </c>
      <c r="C15" s="203" t="n">
        <v>0</v>
      </c>
      <c r="D15" s="203" t="n">
        <f aca="false">+C15</f>
        <v>0</v>
      </c>
      <c r="E15" s="203" t="n">
        <f aca="false">+D15</f>
        <v>0</v>
      </c>
      <c r="F15" s="203" t="n">
        <f aca="false">+E15</f>
        <v>0</v>
      </c>
      <c r="G15" s="203" t="n">
        <f aca="false">+F15</f>
        <v>0</v>
      </c>
      <c r="H15" s="203" t="n">
        <f aca="false">+G15</f>
        <v>0</v>
      </c>
      <c r="I15" s="203" t="n">
        <f aca="false">+H15</f>
        <v>0</v>
      </c>
      <c r="J15" s="203" t="n">
        <f aca="false">+I15</f>
        <v>0</v>
      </c>
      <c r="K15" s="203" t="n">
        <f aca="false">+J15</f>
        <v>0</v>
      </c>
      <c r="L15" s="203" t="n">
        <f aca="false">+K15</f>
        <v>0</v>
      </c>
      <c r="M15" s="203" t="n">
        <f aca="false">+L15</f>
        <v>0</v>
      </c>
      <c r="N15" s="203" t="n">
        <f aca="false">+M15</f>
        <v>0</v>
      </c>
      <c r="O15" s="203" t="n">
        <f aca="false">+N15</f>
        <v>0</v>
      </c>
      <c r="P15" s="203" t="n">
        <f aca="false">+O15</f>
        <v>0</v>
      </c>
      <c r="Q15" s="203" t="n">
        <f aca="false">+P15</f>
        <v>0</v>
      </c>
      <c r="R15" s="203"/>
      <c r="S15" s="203"/>
      <c r="T15" s="203"/>
      <c r="U15" s="203"/>
      <c r="V15" s="203"/>
      <c r="W15" s="203"/>
      <c r="X15" s="203"/>
      <c r="Y15" s="203"/>
      <c r="Z15" s="203"/>
      <c r="AA15" s="203"/>
      <c r="AB15" s="203"/>
    </row>
    <row r="16" customFormat="false" ht="12.75" hidden="false" customHeight="false" outlineLevel="0" collapsed="false">
      <c r="A16" s="0"/>
      <c r="B16" s="0" t="s">
        <v>161</v>
      </c>
      <c r="C16" s="108" t="n">
        <f aca="false">+DCF!D29</f>
        <v>1</v>
      </c>
      <c r="D16" s="108" t="n">
        <f aca="false">+DCF!E29</f>
        <v>1</v>
      </c>
      <c r="E16" s="108" t="n">
        <f aca="false">+DCF!F29</f>
        <v>1</v>
      </c>
      <c r="F16" s="108" t="n">
        <f aca="false">+DCF!G29</f>
        <v>1</v>
      </c>
      <c r="G16" s="108" t="n">
        <f aca="false">+DCF!H29</f>
        <v>1</v>
      </c>
      <c r="H16" s="108" t="n">
        <f aca="false">+DCF!I29</f>
        <v>1</v>
      </c>
      <c r="I16" s="108" t="n">
        <f aca="false">+DCF!J29</f>
        <v>1</v>
      </c>
      <c r="J16" s="108" t="n">
        <f aca="false">+DCF!K29</f>
        <v>1</v>
      </c>
      <c r="K16" s="108" t="n">
        <f aca="false">+DCF!L29</f>
        <v>1</v>
      </c>
      <c r="L16" s="108" t="n">
        <f aca="false">+DCF!M29</f>
        <v>1</v>
      </c>
      <c r="M16" s="108" t="n">
        <f aca="false">+DCF!N29</f>
        <v>1</v>
      </c>
      <c r="N16" s="108" t="n">
        <f aca="false">+DCF!O29</f>
        <v>1</v>
      </c>
      <c r="O16" s="108" t="n">
        <f aca="false">+DCF!P29</f>
        <v>1</v>
      </c>
      <c r="P16" s="108" t="n">
        <f aca="false">+DCF!Q29</f>
        <v>1</v>
      </c>
      <c r="Q16" s="108" t="n">
        <f aca="false">+DCF!R29</f>
        <v>1</v>
      </c>
      <c r="R16" s="108" t="n">
        <f aca="false">+DCF!S29</f>
        <v>1</v>
      </c>
      <c r="S16" s="108" t="n">
        <f aca="false">+DCF!T29</f>
        <v>1</v>
      </c>
      <c r="T16" s="108" t="n">
        <f aca="false">+DCF!U29</f>
        <v>1</v>
      </c>
      <c r="U16" s="108" t="n">
        <f aca="false">+DCF!V29</f>
        <v>1</v>
      </c>
      <c r="V16" s="108" t="n">
        <f aca="false">+DCF!W29</f>
        <v>1</v>
      </c>
      <c r="W16" s="108" t="n">
        <f aca="false">+DCF!X29</f>
        <v>1</v>
      </c>
      <c r="X16" s="108" t="n">
        <f aca="false">+DCF!Y29</f>
        <v>1</v>
      </c>
      <c r="Y16" s="108" t="n">
        <f aca="false">+DCF!Z29</f>
        <v>1</v>
      </c>
      <c r="Z16" s="108" t="n">
        <f aca="false">+DCF!AA29</f>
        <v>1</v>
      </c>
      <c r="AA16" s="108" t="n">
        <f aca="false">+DCF!AB29</f>
        <v>1</v>
      </c>
      <c r="AB16" s="203"/>
    </row>
    <row r="17" customFormat="false" ht="12.75" hidden="false" customHeight="false" outlineLevel="0" collapsed="false">
      <c r="A17" s="0"/>
      <c r="B17" s="0" t="s">
        <v>162</v>
      </c>
      <c r="C17" s="73" t="n">
        <f aca="false">C14*365*C15*C16</f>
        <v>0</v>
      </c>
      <c r="D17" s="73" t="n">
        <f aca="false">D14*365*D15*D16</f>
        <v>0</v>
      </c>
      <c r="E17" s="73" t="n">
        <f aca="false">E14*365*E15*E16</f>
        <v>0</v>
      </c>
      <c r="F17" s="73" t="n">
        <f aca="false">F14*365*F15*F16</f>
        <v>0</v>
      </c>
      <c r="G17" s="73" t="n">
        <f aca="false">G14*365*G15*G16</f>
        <v>0</v>
      </c>
      <c r="H17" s="73" t="n">
        <f aca="false">H14*365*H15*H16</f>
        <v>0</v>
      </c>
      <c r="I17" s="73" t="n">
        <f aca="false">I14*365*I15*I16</f>
        <v>0</v>
      </c>
      <c r="J17" s="73" t="n">
        <f aca="false">J14*365*J15*J16</f>
        <v>0</v>
      </c>
      <c r="K17" s="73" t="n">
        <f aca="false">K14*365*K15*K16</f>
        <v>0</v>
      </c>
      <c r="L17" s="73" t="n">
        <f aca="false">L14*365*L15*L16</f>
        <v>0</v>
      </c>
      <c r="M17" s="73" t="n">
        <f aca="false">M14*365*M15*M16</f>
        <v>0</v>
      </c>
      <c r="N17" s="73" t="n">
        <f aca="false">N14*365*N15*N16</f>
        <v>0</v>
      </c>
      <c r="O17" s="73" t="n">
        <f aca="false">O14*365*O15*O16</f>
        <v>0</v>
      </c>
      <c r="P17" s="73" t="n">
        <f aca="false">P14*365*P15*P16</f>
        <v>0</v>
      </c>
      <c r="Q17" s="73" t="n">
        <f aca="false">Q14*365*Q15*Q16</f>
        <v>0</v>
      </c>
      <c r="R17" s="73" t="n">
        <f aca="false">R14*365*R15*R16</f>
        <v>0</v>
      </c>
      <c r="S17" s="73" t="n">
        <f aca="false">S14*365*S15*S16</f>
        <v>0</v>
      </c>
      <c r="T17" s="73" t="n">
        <f aca="false">T14*365*T15*T16</f>
        <v>0</v>
      </c>
      <c r="U17" s="73" t="n">
        <f aca="false">U14*365*U15*U16</f>
        <v>0</v>
      </c>
      <c r="V17" s="73" t="n">
        <f aca="false">V14*365*V15*V16</f>
        <v>0</v>
      </c>
      <c r="W17" s="73" t="n">
        <f aca="false">W14*365*W15*W16</f>
        <v>0</v>
      </c>
      <c r="X17" s="73" t="n">
        <f aca="false">X14*365*X15*X16</f>
        <v>0</v>
      </c>
      <c r="Y17" s="73" t="n">
        <f aca="false">Y14*365*Y15*Y16</f>
        <v>0</v>
      </c>
      <c r="Z17" s="73" t="n">
        <f aca="false">Z14*365*Z15*Z16</f>
        <v>0</v>
      </c>
      <c r="AA17" s="73" t="n">
        <f aca="false">AA14*365*AA15*AA16</f>
        <v>0</v>
      </c>
      <c r="AB17" s="73" t="n">
        <f aca="false">SUM(C17:Q17)</f>
        <v>0</v>
      </c>
    </row>
    <row r="18" customFormat="false" ht="12.75" hidden="false" customHeight="false" outlineLevel="0" collapsed="false">
      <c r="A18" s="0" t="s">
        <v>163</v>
      </c>
      <c r="B18" s="205" t="n">
        <v>0</v>
      </c>
      <c r="C18" s="0" t="n">
        <f aca="false">+C14*$B18*assumptions!C$32*DCF!D$29</f>
        <v>0</v>
      </c>
      <c r="D18" s="0" t="n">
        <f aca="false">+D14*$B18*assumptions!D$32*DCF!E$29</f>
        <v>0</v>
      </c>
      <c r="E18" s="0" t="n">
        <f aca="false">+E14*$B18*assumptions!E$32*DCF!F$29</f>
        <v>0</v>
      </c>
      <c r="F18" s="0" t="n">
        <f aca="false">+F14*$B18*assumptions!F$32*DCF!G$29</f>
        <v>0</v>
      </c>
      <c r="G18" s="0" t="n">
        <f aca="false">+G14*$B18*assumptions!G$32*DCF!H$29</f>
        <v>0</v>
      </c>
      <c r="H18" s="0" t="n">
        <f aca="false">+H14*$B18*assumptions!H$32*DCF!I$29</f>
        <v>0</v>
      </c>
      <c r="I18" s="0" t="n">
        <f aca="false">+I14*$B18*assumptions!I$32*DCF!J$29</f>
        <v>0</v>
      </c>
      <c r="J18" s="0" t="n">
        <f aca="false">+J14*$B18*assumptions!J$32*DCF!K$29</f>
        <v>0</v>
      </c>
      <c r="K18" s="0" t="n">
        <f aca="false">+K14*$B18*assumptions!K$32*DCF!L$29</f>
        <v>0</v>
      </c>
      <c r="L18" s="0" t="n">
        <f aca="false">+L14*$B18*assumptions!L$32*DCF!M$29</f>
        <v>0</v>
      </c>
      <c r="M18" s="0" t="n">
        <f aca="false">+M14*$B18*assumptions!M$32*DCF!N$29</f>
        <v>0</v>
      </c>
      <c r="N18" s="0" t="n">
        <f aca="false">+N14*$B18*assumptions!N$32*DCF!O$29</f>
        <v>0</v>
      </c>
      <c r="O18" s="0" t="n">
        <f aca="false">+O14*$B18*assumptions!O$32*DCF!P$29</f>
        <v>0</v>
      </c>
      <c r="P18" s="0" t="n">
        <f aca="false">+P14*$B18*assumptions!P$32*DCF!Q$29</f>
        <v>0</v>
      </c>
      <c r="Q18" s="0" t="n">
        <f aca="false">+Q14*$B18*assumptions!Q$32*DCF!R$29</f>
        <v>0</v>
      </c>
      <c r="R18" s="0" t="n">
        <f aca="false">+R14*$B18*assumptions!R$32*DCF!S$29</f>
        <v>0</v>
      </c>
      <c r="S18" s="0" t="n">
        <f aca="false">+S14*$B18*assumptions!S$32*DCF!T$29</f>
        <v>0</v>
      </c>
      <c r="T18" s="0" t="n">
        <f aca="false">+T14*$B18*assumptions!T$32*DCF!U$29</f>
        <v>0</v>
      </c>
      <c r="U18" s="0" t="n">
        <f aca="false">+U14*$B18*assumptions!U$32*DCF!V$29</f>
        <v>0</v>
      </c>
      <c r="V18" s="0" t="n">
        <f aca="false">+V14*$B18*assumptions!V$32*DCF!W$29</f>
        <v>0</v>
      </c>
      <c r="W18" s="0" t="n">
        <f aca="false">+W14*$B18*assumptions!W$32*DCF!X$29</f>
        <v>0</v>
      </c>
      <c r="X18" s="0" t="n">
        <f aca="false">+X14*$B18*assumptions!X$32*DCF!Y$29</f>
        <v>0</v>
      </c>
      <c r="Y18" s="0" t="n">
        <f aca="false">+Y14*$B18*assumptions!Y$32*DCF!Z$29</f>
        <v>0</v>
      </c>
      <c r="Z18" s="0" t="n">
        <f aca="false">+Z14*$B18*assumptions!Z$32*DCF!AA$29</f>
        <v>0</v>
      </c>
      <c r="AA18" s="0" t="n">
        <f aca="false">+AA14*$B18*assumptions!AA$32*DCF!AB$29</f>
        <v>0</v>
      </c>
      <c r="AB18" s="0" t="n">
        <f aca="false">SUM(C18:V18)</f>
        <v>0</v>
      </c>
    </row>
    <row r="19" customFormat="false" ht="12.75" hidden="false" customHeight="false" outlineLevel="0" collapsed="false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</row>
    <row r="20" customFormat="false" ht="12.75" hidden="false" customHeight="false" outlineLevel="0" collapsed="false">
      <c r="A20" s="20" t="s">
        <v>166</v>
      </c>
      <c r="B20" s="0" t="s">
        <v>158</v>
      </c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 t="n">
        <f aca="false">SUM(C20:V20)</f>
        <v>0</v>
      </c>
    </row>
    <row r="21" customFormat="false" ht="12.75" hidden="false" customHeight="false" outlineLevel="0" collapsed="false">
      <c r="A21" s="0"/>
      <c r="B21" s="0" t="s">
        <v>165</v>
      </c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3"/>
      <c r="AB21" s="203"/>
    </row>
    <row r="22" customFormat="false" ht="12.75" hidden="false" customHeight="false" outlineLevel="0" collapsed="false">
      <c r="A22" s="0"/>
      <c r="B22" s="0" t="s">
        <v>161</v>
      </c>
      <c r="C22" s="108" t="n">
        <f aca="false">+DCF!D29</f>
        <v>1</v>
      </c>
      <c r="D22" s="108" t="n">
        <f aca="false">+DCF!E29</f>
        <v>1</v>
      </c>
      <c r="E22" s="108" t="n">
        <f aca="false">+DCF!F29</f>
        <v>1</v>
      </c>
      <c r="F22" s="108" t="n">
        <f aca="false">+DCF!G29</f>
        <v>1</v>
      </c>
      <c r="G22" s="108" t="n">
        <f aca="false">+DCF!H29</f>
        <v>1</v>
      </c>
      <c r="H22" s="108" t="n">
        <f aca="false">+DCF!I29</f>
        <v>1</v>
      </c>
      <c r="I22" s="108" t="n">
        <f aca="false">+DCF!J29</f>
        <v>1</v>
      </c>
      <c r="J22" s="108" t="n">
        <f aca="false">+DCF!K29</f>
        <v>1</v>
      </c>
      <c r="K22" s="108" t="n">
        <f aca="false">+DCF!L29</f>
        <v>1</v>
      </c>
      <c r="L22" s="108" t="n">
        <f aca="false">+DCF!M29</f>
        <v>1</v>
      </c>
      <c r="M22" s="108" t="n">
        <f aca="false">+DCF!N29</f>
        <v>1</v>
      </c>
      <c r="N22" s="108" t="n">
        <f aca="false">+DCF!O29</f>
        <v>1</v>
      </c>
      <c r="O22" s="108" t="n">
        <f aca="false">+DCF!P29</f>
        <v>1</v>
      </c>
      <c r="P22" s="108" t="n">
        <f aca="false">+DCF!Q29</f>
        <v>1</v>
      </c>
      <c r="Q22" s="108" t="n">
        <f aca="false">+DCF!R29</f>
        <v>1</v>
      </c>
      <c r="R22" s="108" t="n">
        <f aca="false">+DCF!S29</f>
        <v>1</v>
      </c>
      <c r="S22" s="108" t="n">
        <f aca="false">+DCF!T29</f>
        <v>1</v>
      </c>
      <c r="T22" s="108" t="n">
        <f aca="false">+DCF!U29</f>
        <v>1</v>
      </c>
      <c r="U22" s="108" t="n">
        <f aca="false">+DCF!V29</f>
        <v>1</v>
      </c>
      <c r="V22" s="108" t="n">
        <f aca="false">+DCF!W29</f>
        <v>1</v>
      </c>
      <c r="W22" s="108" t="n">
        <f aca="false">+DCF!X29</f>
        <v>1</v>
      </c>
      <c r="X22" s="108" t="n">
        <f aca="false">+DCF!Y29</f>
        <v>1</v>
      </c>
      <c r="Y22" s="108" t="n">
        <f aca="false">+DCF!Z29</f>
        <v>1</v>
      </c>
      <c r="Z22" s="108" t="n">
        <f aca="false">+DCF!AA29</f>
        <v>1</v>
      </c>
      <c r="AA22" s="108" t="n">
        <f aca="false">+DCF!AB29</f>
        <v>1</v>
      </c>
      <c r="AB22" s="203"/>
    </row>
    <row r="23" customFormat="false" ht="12.75" hidden="false" customHeight="false" outlineLevel="0" collapsed="false">
      <c r="A23" s="0"/>
      <c r="B23" s="0" t="s">
        <v>162</v>
      </c>
      <c r="C23" s="73" t="n">
        <f aca="false">C20*365*C21*C22</f>
        <v>0</v>
      </c>
      <c r="D23" s="73" t="n">
        <f aca="false">D20*365*D21*D22</f>
        <v>0</v>
      </c>
      <c r="E23" s="73" t="n">
        <f aca="false">E20*365*E21*E22</f>
        <v>0</v>
      </c>
      <c r="F23" s="73" t="n">
        <f aca="false">F20*365*F21*F22</f>
        <v>0</v>
      </c>
      <c r="G23" s="73" t="n">
        <f aca="false">G20*365*G21*G22</f>
        <v>0</v>
      </c>
      <c r="H23" s="73" t="n">
        <f aca="false">H20*365*H21*H22</f>
        <v>0</v>
      </c>
      <c r="I23" s="73" t="n">
        <f aca="false">I20*365*I21*I22</f>
        <v>0</v>
      </c>
      <c r="J23" s="73" t="n">
        <f aca="false">J20*365*J21*J22</f>
        <v>0</v>
      </c>
      <c r="K23" s="73" t="n">
        <f aca="false">K20*365*K21*K22</f>
        <v>0</v>
      </c>
      <c r="L23" s="73" t="n">
        <f aca="false">L20*365*L21*L22</f>
        <v>0</v>
      </c>
      <c r="M23" s="73" t="n">
        <f aca="false">M20*365*M21*M22</f>
        <v>0</v>
      </c>
      <c r="N23" s="73" t="n">
        <f aca="false">N20*365*N21*N22</f>
        <v>0</v>
      </c>
      <c r="O23" s="73" t="n">
        <f aca="false">O20*365*O21*O22</f>
        <v>0</v>
      </c>
      <c r="P23" s="73" t="n">
        <f aca="false">P20*365*P21*P22</f>
        <v>0</v>
      </c>
      <c r="Q23" s="73" t="n">
        <f aca="false">Q20*365*Q21*Q22</f>
        <v>0</v>
      </c>
      <c r="R23" s="73" t="n">
        <f aca="false">R20*365*R21*R22</f>
        <v>0</v>
      </c>
      <c r="S23" s="73" t="n">
        <f aca="false">S20*365*S21*S22</f>
        <v>0</v>
      </c>
      <c r="T23" s="73" t="n">
        <f aca="false">T20*365*T21*T22</f>
        <v>0</v>
      </c>
      <c r="U23" s="73" t="n">
        <f aca="false">U20*365*U21*U22</f>
        <v>0</v>
      </c>
      <c r="V23" s="73" t="n">
        <f aca="false">V20*365*V21*V22</f>
        <v>0</v>
      </c>
      <c r="W23" s="73" t="n">
        <f aca="false">W20*365*W21*W22</f>
        <v>0</v>
      </c>
      <c r="X23" s="73" t="n">
        <f aca="false">X20*365*X21*X22</f>
        <v>0</v>
      </c>
      <c r="Y23" s="73" t="n">
        <f aca="false">Y20*365*Y21*Y22</f>
        <v>0</v>
      </c>
      <c r="Z23" s="73" t="n">
        <f aca="false">Z20*365*Z21*Z22</f>
        <v>0</v>
      </c>
      <c r="AA23" s="73" t="n">
        <f aca="false">AA20*365*AA21*AA22</f>
        <v>0</v>
      </c>
      <c r="AB23" s="0" t="n">
        <f aca="false">SUM(C23:V23)</f>
        <v>0</v>
      </c>
    </row>
    <row r="24" customFormat="false" ht="12.75" hidden="false" customHeight="false" outlineLevel="0" collapsed="false">
      <c r="A24" s="0" t="s">
        <v>163</v>
      </c>
      <c r="B24" s="205" t="n">
        <v>0</v>
      </c>
      <c r="C24" s="0" t="n">
        <f aca="false">+C20*$B24*assumptions!C$32*DCF!D$29</f>
        <v>0</v>
      </c>
      <c r="D24" s="0" t="n">
        <f aca="false">+D20*$B24*assumptions!D$32*DCF!E$29</f>
        <v>0</v>
      </c>
      <c r="E24" s="0" t="n">
        <f aca="false">+E20*$B24*assumptions!E$32*DCF!F$29</f>
        <v>0</v>
      </c>
      <c r="F24" s="0" t="n">
        <f aca="false">+F20*$B24*assumptions!F$32*DCF!G$29</f>
        <v>0</v>
      </c>
      <c r="G24" s="0" t="n">
        <f aca="false">+G20*$B24*assumptions!G$32*DCF!H$29</f>
        <v>0</v>
      </c>
      <c r="H24" s="0" t="n">
        <f aca="false">+H20*$B24*assumptions!H$32*DCF!I$29</f>
        <v>0</v>
      </c>
      <c r="I24" s="0" t="n">
        <f aca="false">+I20*$B24*assumptions!I$32*DCF!J$29</f>
        <v>0</v>
      </c>
      <c r="J24" s="0" t="n">
        <f aca="false">+J20*$B24*assumptions!J$32*DCF!K$29</f>
        <v>0</v>
      </c>
      <c r="K24" s="0" t="n">
        <f aca="false">+K20*$B24*assumptions!K$32*DCF!L$29</f>
        <v>0</v>
      </c>
      <c r="L24" s="0" t="n">
        <f aca="false">+L20*$B24*assumptions!L$32*DCF!M$29</f>
        <v>0</v>
      </c>
      <c r="M24" s="0" t="n">
        <f aca="false">+M20*$B24*assumptions!M$32*DCF!N$29</f>
        <v>0</v>
      </c>
      <c r="N24" s="0" t="n">
        <f aca="false">+N20*$B24*assumptions!N$32*DCF!O$29</f>
        <v>0</v>
      </c>
      <c r="O24" s="0" t="n">
        <f aca="false">+O20*$B24*assumptions!O$32*DCF!P$29</f>
        <v>0</v>
      </c>
      <c r="P24" s="0" t="n">
        <f aca="false">+P20*$B24*assumptions!P$32*DCF!Q$29</f>
        <v>0</v>
      </c>
      <c r="Q24" s="0" t="n">
        <f aca="false">+Q20*$B24*assumptions!Q$32*DCF!R$29</f>
        <v>0</v>
      </c>
      <c r="R24" s="0" t="n">
        <f aca="false">+R20*$B24*assumptions!R$32*DCF!S$29</f>
        <v>0</v>
      </c>
      <c r="S24" s="0" t="n">
        <f aca="false">+S20*$B24*assumptions!S$32*DCF!T$29</f>
        <v>0</v>
      </c>
      <c r="T24" s="0" t="n">
        <f aca="false">+T20*$B24*assumptions!T$32*DCF!U$29</f>
        <v>0</v>
      </c>
      <c r="U24" s="0" t="n">
        <f aca="false">+U20*$B24*assumptions!U$32*DCF!V$29</f>
        <v>0</v>
      </c>
      <c r="V24" s="0" t="n">
        <f aca="false">+V20*$B24*assumptions!V$32*DCF!W$29</f>
        <v>0</v>
      </c>
      <c r="W24" s="0" t="n">
        <f aca="false">+W20*$B24*assumptions!W$32*DCF!X$29</f>
        <v>0</v>
      </c>
      <c r="X24" s="0" t="n">
        <f aca="false">+X20*$B24*assumptions!X$32*DCF!Y$29</f>
        <v>0</v>
      </c>
      <c r="Y24" s="0" t="n">
        <f aca="false">+Y20*$B24*assumptions!Y$32*DCF!Z$29</f>
        <v>0</v>
      </c>
      <c r="Z24" s="0" t="n">
        <f aca="false">+Z20*$B24*assumptions!Z$32*DCF!AA$29</f>
        <v>0</v>
      </c>
      <c r="AA24" s="0" t="n">
        <f aca="false">+AA20*$B24*assumptions!AA$32*DCF!AB$29</f>
        <v>0</v>
      </c>
      <c r="AB24" s="0" t="n">
        <f aca="false">SUM(C24:V24)</f>
        <v>0</v>
      </c>
    </row>
    <row r="25" customFormat="false" ht="12.75" hidden="false" customHeight="false" outlineLevel="0" collapsed="false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 t="n">
        <f aca="false">SUM(C25:V25)</f>
        <v>0</v>
      </c>
    </row>
    <row r="26" customFormat="false" ht="12.75" hidden="false" customHeight="false" outlineLevel="0" collapsed="false">
      <c r="A26" s="20" t="s">
        <v>167</v>
      </c>
      <c r="B26" s="0" t="s">
        <v>158</v>
      </c>
      <c r="C26" s="0"/>
      <c r="D26" s="0" t="n">
        <f aca="false">+C26</f>
        <v>0</v>
      </c>
      <c r="E26" s="0" t="n">
        <f aca="false">D26</f>
        <v>0</v>
      </c>
      <c r="F26" s="0" t="n">
        <f aca="false">E26</f>
        <v>0</v>
      </c>
      <c r="G26" s="0" t="n">
        <f aca="false">F26</f>
        <v>0</v>
      </c>
      <c r="H26" s="0" t="n">
        <f aca="false">+G26</f>
        <v>0</v>
      </c>
      <c r="I26" s="0" t="n">
        <f aca="false">+H26</f>
        <v>0</v>
      </c>
      <c r="J26" s="0" t="n">
        <f aca="false">+I26</f>
        <v>0</v>
      </c>
      <c r="K26" s="0" t="n">
        <f aca="false">+J26</f>
        <v>0</v>
      </c>
      <c r="L26" s="0" t="n">
        <f aca="false">+K26</f>
        <v>0</v>
      </c>
      <c r="M26" s="0" t="n">
        <f aca="false">+L26</f>
        <v>0</v>
      </c>
      <c r="N26" s="0" t="n">
        <f aca="false">+M26</f>
        <v>0</v>
      </c>
      <c r="O26" s="0" t="n">
        <f aca="false">+N26</f>
        <v>0</v>
      </c>
      <c r="P26" s="0" t="n">
        <f aca="false">+O26</f>
        <v>0</v>
      </c>
      <c r="Q26" s="0" t="n">
        <f aca="false">+P26</f>
        <v>0</v>
      </c>
      <c r="R26" s="0" t="n">
        <f aca="false">+Q26</f>
        <v>0</v>
      </c>
      <c r="S26" s="0" t="n">
        <f aca="false">+R26</f>
        <v>0</v>
      </c>
      <c r="T26" s="0" t="n">
        <f aca="false">+S26</f>
        <v>0</v>
      </c>
      <c r="U26" s="0" t="n">
        <f aca="false">+T26</f>
        <v>0</v>
      </c>
      <c r="V26" s="0" t="n">
        <f aca="false">+U26</f>
        <v>0</v>
      </c>
      <c r="W26" s="0" t="n">
        <f aca="false">+V26</f>
        <v>0</v>
      </c>
      <c r="X26" s="0" t="n">
        <f aca="false">+W26</f>
        <v>0</v>
      </c>
      <c r="Y26" s="0" t="n">
        <f aca="false">+X26</f>
        <v>0</v>
      </c>
      <c r="Z26" s="0" t="n">
        <f aca="false">+Y26</f>
        <v>0</v>
      </c>
      <c r="AA26" s="0" t="n">
        <f aca="false">+Z26</f>
        <v>0</v>
      </c>
      <c r="AB26" s="0" t="n">
        <f aca="false">SUM(C26:V26)</f>
        <v>0</v>
      </c>
    </row>
    <row r="27" customFormat="false" ht="12.75" hidden="false" customHeight="false" outlineLevel="0" collapsed="false">
      <c r="A27" s="0"/>
      <c r="B27" s="0" t="s">
        <v>165</v>
      </c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 t="n">
        <f aca="false">+DCF!AB27</f>
        <v>0</v>
      </c>
      <c r="AB27" s="203"/>
    </row>
    <row r="28" customFormat="false" ht="12.75" hidden="false" customHeight="false" outlineLevel="0" collapsed="false">
      <c r="A28" s="0"/>
      <c r="B28" s="0" t="s">
        <v>161</v>
      </c>
      <c r="C28" s="108" t="n">
        <f aca="false">+DCF!D29</f>
        <v>1</v>
      </c>
      <c r="D28" s="108" t="n">
        <f aca="false">+DCF!E29</f>
        <v>1</v>
      </c>
      <c r="E28" s="108" t="n">
        <f aca="false">+DCF!F29</f>
        <v>1</v>
      </c>
      <c r="F28" s="108" t="n">
        <f aca="false">+DCF!G29</f>
        <v>1</v>
      </c>
      <c r="G28" s="108" t="n">
        <f aca="false">+DCF!H29</f>
        <v>1</v>
      </c>
      <c r="H28" s="108" t="n">
        <f aca="false">+DCF!I29</f>
        <v>1</v>
      </c>
      <c r="I28" s="108" t="n">
        <f aca="false">+DCF!J29</f>
        <v>1</v>
      </c>
      <c r="J28" s="108" t="n">
        <f aca="false">+DCF!K29</f>
        <v>1</v>
      </c>
      <c r="K28" s="108" t="n">
        <f aca="false">+DCF!L29</f>
        <v>1</v>
      </c>
      <c r="L28" s="108" t="n">
        <f aca="false">+DCF!M29</f>
        <v>1</v>
      </c>
      <c r="M28" s="108" t="n">
        <f aca="false">+DCF!N29</f>
        <v>1</v>
      </c>
      <c r="N28" s="108" t="n">
        <f aca="false">+DCF!O29</f>
        <v>1</v>
      </c>
      <c r="O28" s="108" t="n">
        <f aca="false">+DCF!P29</f>
        <v>1</v>
      </c>
      <c r="P28" s="108" t="n">
        <f aca="false">+DCF!Q29</f>
        <v>1</v>
      </c>
      <c r="Q28" s="108" t="n">
        <f aca="false">+DCF!R29</f>
        <v>1</v>
      </c>
      <c r="R28" s="108" t="n">
        <f aca="false">+DCF!S29</f>
        <v>1</v>
      </c>
      <c r="S28" s="108" t="n">
        <f aca="false">+DCF!T29</f>
        <v>1</v>
      </c>
      <c r="T28" s="108" t="n">
        <f aca="false">+DCF!U29</f>
        <v>1</v>
      </c>
      <c r="U28" s="108" t="n">
        <f aca="false">+DCF!V29</f>
        <v>1</v>
      </c>
      <c r="V28" s="108" t="n">
        <f aca="false">+DCF!W29</f>
        <v>1</v>
      </c>
      <c r="W28" s="108" t="n">
        <f aca="false">+DCF!X29</f>
        <v>1</v>
      </c>
      <c r="X28" s="108" t="n">
        <f aca="false">+DCF!Y29</f>
        <v>1</v>
      </c>
      <c r="Y28" s="108" t="n">
        <f aca="false">+DCF!Z29</f>
        <v>1</v>
      </c>
      <c r="Z28" s="108" t="n">
        <f aca="false">+DCF!AA29</f>
        <v>1</v>
      </c>
      <c r="AA28" s="108" t="n">
        <f aca="false">+DCF!AB29</f>
        <v>1</v>
      </c>
      <c r="AB28" s="203"/>
    </row>
    <row r="29" customFormat="false" ht="12.75" hidden="false" customHeight="false" outlineLevel="0" collapsed="false">
      <c r="A29" s="0"/>
      <c r="B29" s="0" t="s">
        <v>162</v>
      </c>
      <c r="C29" s="73" t="n">
        <f aca="false">+C28*C27*C26*365</f>
        <v>0</v>
      </c>
      <c r="D29" s="73" t="n">
        <f aca="false">+C29</f>
        <v>0</v>
      </c>
      <c r="E29" s="73" t="n">
        <f aca="false">+D29</f>
        <v>0</v>
      </c>
      <c r="F29" s="73" t="n">
        <f aca="false">+E29</f>
        <v>0</v>
      </c>
      <c r="G29" s="73" t="n">
        <f aca="false">+F29</f>
        <v>0</v>
      </c>
      <c r="H29" s="73" t="n">
        <f aca="false">+G29</f>
        <v>0</v>
      </c>
      <c r="I29" s="73" t="n">
        <f aca="false">+H29</f>
        <v>0</v>
      </c>
      <c r="J29" s="73" t="n">
        <f aca="false">+I29</f>
        <v>0</v>
      </c>
      <c r="K29" s="73" t="n">
        <f aca="false">+J29</f>
        <v>0</v>
      </c>
      <c r="L29" s="73" t="n">
        <f aca="false">+K29</f>
        <v>0</v>
      </c>
      <c r="M29" s="73" t="n">
        <f aca="false">+L29</f>
        <v>0</v>
      </c>
      <c r="N29" s="73" t="n">
        <f aca="false">+M29</f>
        <v>0</v>
      </c>
      <c r="O29" s="73" t="n">
        <f aca="false">+N29</f>
        <v>0</v>
      </c>
      <c r="P29" s="73" t="n">
        <f aca="false">+O29</f>
        <v>0</v>
      </c>
      <c r="Q29" s="73" t="n">
        <f aca="false">+P29</f>
        <v>0</v>
      </c>
      <c r="R29" s="73" t="n">
        <f aca="false">+Q29</f>
        <v>0</v>
      </c>
      <c r="S29" s="73" t="n">
        <f aca="false">+R29</f>
        <v>0</v>
      </c>
      <c r="T29" s="73" t="n">
        <f aca="false">+S29</f>
        <v>0</v>
      </c>
      <c r="U29" s="73" t="n">
        <f aca="false">+T29</f>
        <v>0</v>
      </c>
      <c r="V29" s="73" t="n">
        <f aca="false">+U29</f>
        <v>0</v>
      </c>
      <c r="W29" s="73" t="n">
        <f aca="false">+V29</f>
        <v>0</v>
      </c>
      <c r="X29" s="73" t="n">
        <f aca="false">+W29</f>
        <v>0</v>
      </c>
      <c r="Y29" s="73" t="n">
        <f aca="false">+X29</f>
        <v>0</v>
      </c>
      <c r="Z29" s="73" t="n">
        <f aca="false">+Y29</f>
        <v>0</v>
      </c>
      <c r="AA29" s="73" t="n">
        <f aca="false">+Z29</f>
        <v>0</v>
      </c>
      <c r="AB29" s="73" t="n">
        <f aca="false">SUM(C29:Q29)</f>
        <v>0</v>
      </c>
    </row>
    <row r="30" customFormat="false" ht="12.75" hidden="false" customHeight="false" outlineLevel="0" collapsed="false">
      <c r="A30" s="0" t="s">
        <v>163</v>
      </c>
      <c r="B30" s="205" t="n">
        <v>0</v>
      </c>
      <c r="C30" s="0" t="n">
        <f aca="false">+C26*$B30*assumptions!C$32*DCF!D$29</f>
        <v>0</v>
      </c>
      <c r="D30" s="0" t="n">
        <f aca="false">+D26*$B30*assumptions!D$32*DCF!E$29</f>
        <v>0</v>
      </c>
      <c r="E30" s="0" t="n">
        <f aca="false">+E26*$B30*assumptions!E$32*DCF!F$29</f>
        <v>0</v>
      </c>
      <c r="F30" s="0" t="n">
        <f aca="false">+F26*$B30*assumptions!F$32*DCF!G$29</f>
        <v>0</v>
      </c>
      <c r="G30" s="0" t="n">
        <f aca="false">+G26*$B30*assumptions!G$32*DCF!H$29</f>
        <v>0</v>
      </c>
      <c r="H30" s="0" t="n">
        <f aca="false">+H26*$B30*assumptions!H$32*DCF!I$29</f>
        <v>0</v>
      </c>
      <c r="I30" s="0" t="n">
        <f aca="false">+I26*$B30*assumptions!I$32*DCF!J$29</f>
        <v>0</v>
      </c>
      <c r="J30" s="0" t="n">
        <f aca="false">+J26*$B30*assumptions!J$32*DCF!K$29</f>
        <v>0</v>
      </c>
      <c r="K30" s="0" t="n">
        <f aca="false">+K26*$B30*assumptions!K$32*DCF!L$29</f>
        <v>0</v>
      </c>
      <c r="L30" s="0" t="n">
        <f aca="false">+L26*$B30*assumptions!L$32*DCF!M$29</f>
        <v>0</v>
      </c>
      <c r="M30" s="0" t="n">
        <f aca="false">+M26*$B30*assumptions!M$32*DCF!N$29</f>
        <v>0</v>
      </c>
      <c r="N30" s="0" t="n">
        <f aca="false">+N26*$B30*assumptions!N$32*DCF!O$29</f>
        <v>0</v>
      </c>
      <c r="O30" s="0" t="n">
        <f aca="false">+O26*$B30*assumptions!O$32*DCF!P$29</f>
        <v>0</v>
      </c>
      <c r="P30" s="0" t="n">
        <f aca="false">+P26*$B30*assumptions!P$32*DCF!Q$29</f>
        <v>0</v>
      </c>
      <c r="Q30" s="0" t="n">
        <f aca="false">+Q26*$B30*assumptions!Q$32*DCF!R$29</f>
        <v>0</v>
      </c>
      <c r="R30" s="0" t="n">
        <f aca="false">+R26*$B30*assumptions!R$32*DCF!S$29</f>
        <v>0</v>
      </c>
      <c r="S30" s="0" t="n">
        <f aca="false">+S26*$B30*assumptions!S$32*DCF!T$29</f>
        <v>0</v>
      </c>
      <c r="T30" s="0" t="n">
        <f aca="false">+T26*$B30*assumptions!T$32*DCF!U$29</f>
        <v>0</v>
      </c>
      <c r="U30" s="0" t="n">
        <f aca="false">+U26*$B30*assumptions!U$32*DCF!V$29</f>
        <v>0</v>
      </c>
      <c r="V30" s="0" t="n">
        <f aca="false">+V26*$B30*assumptions!V$32*DCF!W$29</f>
        <v>0</v>
      </c>
      <c r="W30" s="0" t="n">
        <f aca="false">+W26*$B30*assumptions!W$32*DCF!X$29</f>
        <v>0</v>
      </c>
      <c r="X30" s="0" t="n">
        <f aca="false">+X26*$B30*assumptions!X$32*DCF!Y$29</f>
        <v>0</v>
      </c>
      <c r="Y30" s="0" t="n">
        <f aca="false">+Y26*$B30*assumptions!Y$32*DCF!Z$29</f>
        <v>0</v>
      </c>
      <c r="Z30" s="0" t="n">
        <f aca="false">+Z26*$B30*assumptions!Z$32*DCF!AA$29</f>
        <v>0</v>
      </c>
      <c r="AA30" s="0" t="n">
        <f aca="false">+AA26*$B30*assumptions!AA$32*DCF!AB$29</f>
        <v>0</v>
      </c>
      <c r="AB30" s="0" t="n">
        <f aca="false">SUM(C30:V30)</f>
        <v>0</v>
      </c>
    </row>
    <row r="31" customFormat="false" ht="12.75" hidden="false" customHeight="false" outlineLevel="0" collapsed="false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</row>
    <row r="32" customFormat="false" ht="12.75" hidden="false" customHeight="false" outlineLevel="0" collapsed="false">
      <c r="A32" s="20"/>
      <c r="B32" s="0" t="s">
        <v>158</v>
      </c>
      <c r="C32" s="0" t="n">
        <v>0</v>
      </c>
      <c r="D32" s="0" t="n">
        <f aca="false">+C32</f>
        <v>0</v>
      </c>
      <c r="E32" s="0" t="n">
        <f aca="false">D32</f>
        <v>0</v>
      </c>
      <c r="F32" s="0" t="n">
        <f aca="false">E32</f>
        <v>0</v>
      </c>
      <c r="G32" s="0" t="n">
        <f aca="false">F32</f>
        <v>0</v>
      </c>
      <c r="H32" s="0" t="n">
        <f aca="false">+G32</f>
        <v>0</v>
      </c>
      <c r="I32" s="0" t="n">
        <f aca="false">+H32</f>
        <v>0</v>
      </c>
      <c r="J32" s="0" t="n">
        <f aca="false">+I32</f>
        <v>0</v>
      </c>
      <c r="K32" s="0" t="n">
        <f aca="false">+J32</f>
        <v>0</v>
      </c>
      <c r="L32" s="0" t="n">
        <f aca="false">+K32</f>
        <v>0</v>
      </c>
      <c r="M32" s="0" t="n">
        <f aca="false">+L32</f>
        <v>0</v>
      </c>
      <c r="N32" s="0" t="n">
        <f aca="false">+M32</f>
        <v>0</v>
      </c>
      <c r="O32" s="0" t="n">
        <f aca="false">+N32</f>
        <v>0</v>
      </c>
      <c r="P32" s="0" t="n">
        <f aca="false">+O32</f>
        <v>0</v>
      </c>
      <c r="Q32" s="0" t="n">
        <f aca="false">+P32</f>
        <v>0</v>
      </c>
      <c r="R32" s="0" t="n">
        <f aca="false">+Q32</f>
        <v>0</v>
      </c>
      <c r="S32" s="0" t="n">
        <f aca="false">+R32</f>
        <v>0</v>
      </c>
      <c r="T32" s="0" t="n">
        <f aca="false">+S32</f>
        <v>0</v>
      </c>
      <c r="U32" s="0" t="n">
        <f aca="false">+T32</f>
        <v>0</v>
      </c>
      <c r="V32" s="0" t="n">
        <f aca="false">+U32</f>
        <v>0</v>
      </c>
      <c r="W32" s="0" t="n">
        <f aca="false">+V32</f>
        <v>0</v>
      </c>
      <c r="X32" s="0" t="n">
        <f aca="false">+W32</f>
        <v>0</v>
      </c>
      <c r="Y32" s="0" t="n">
        <f aca="false">+X32</f>
        <v>0</v>
      </c>
      <c r="Z32" s="0" t="n">
        <f aca="false">+Y32</f>
        <v>0</v>
      </c>
      <c r="AA32" s="0" t="n">
        <f aca="false">+Z32</f>
        <v>0</v>
      </c>
      <c r="AB32" s="0" t="n">
        <f aca="false">SUM(C32:V32)</f>
        <v>0</v>
      </c>
    </row>
    <row r="33" customFormat="false" ht="12.75" hidden="false" customHeight="false" outlineLevel="0" collapsed="false">
      <c r="A33" s="0"/>
      <c r="B33" s="0" t="s">
        <v>165</v>
      </c>
      <c r="C33" s="203" t="n">
        <v>0</v>
      </c>
      <c r="D33" s="203" t="n">
        <f aca="false">+C33</f>
        <v>0</v>
      </c>
      <c r="E33" s="203" t="n">
        <f aca="false">+D33</f>
        <v>0</v>
      </c>
      <c r="F33" s="203" t="n">
        <f aca="false">+E33</f>
        <v>0</v>
      </c>
      <c r="G33" s="203" t="n">
        <f aca="false">+F33</f>
        <v>0</v>
      </c>
      <c r="H33" s="203" t="n">
        <f aca="false">+G33</f>
        <v>0</v>
      </c>
      <c r="I33" s="203" t="n">
        <f aca="false">+H33</f>
        <v>0</v>
      </c>
      <c r="J33" s="203" t="n">
        <f aca="false">+I33</f>
        <v>0</v>
      </c>
      <c r="K33" s="203" t="n">
        <f aca="false">+J33</f>
        <v>0</v>
      </c>
      <c r="L33" s="203" t="n">
        <f aca="false">+K33</f>
        <v>0</v>
      </c>
      <c r="M33" s="203" t="n">
        <f aca="false">+L33</f>
        <v>0</v>
      </c>
      <c r="N33" s="203" t="n">
        <f aca="false">+M33</f>
        <v>0</v>
      </c>
      <c r="O33" s="203" t="n">
        <f aca="false">+N33</f>
        <v>0</v>
      </c>
      <c r="P33" s="203" t="n">
        <f aca="false">+O33</f>
        <v>0</v>
      </c>
      <c r="Q33" s="203" t="n">
        <f aca="false">+P33</f>
        <v>0</v>
      </c>
      <c r="R33" s="203" t="n">
        <f aca="false">+Q33</f>
        <v>0</v>
      </c>
      <c r="S33" s="203" t="n">
        <f aca="false">+R33</f>
        <v>0</v>
      </c>
      <c r="T33" s="203" t="n">
        <f aca="false">+S33</f>
        <v>0</v>
      </c>
      <c r="U33" s="203" t="n">
        <f aca="false">+T33</f>
        <v>0</v>
      </c>
      <c r="V33" s="203" t="n">
        <f aca="false">+U33</f>
        <v>0</v>
      </c>
      <c r="W33" s="203" t="n">
        <f aca="false">+V33</f>
        <v>0</v>
      </c>
      <c r="X33" s="203" t="n">
        <f aca="false">+W33</f>
        <v>0</v>
      </c>
      <c r="Y33" s="203" t="n">
        <f aca="false">+X33</f>
        <v>0</v>
      </c>
      <c r="Z33" s="203" t="n">
        <f aca="false">+Y33</f>
        <v>0</v>
      </c>
      <c r="AA33" s="203" t="n">
        <f aca="false">+Z33</f>
        <v>0</v>
      </c>
      <c r="AB33" s="203"/>
    </row>
    <row r="34" customFormat="false" ht="12.75" hidden="false" customHeight="false" outlineLevel="0" collapsed="false">
      <c r="A34" s="0"/>
      <c r="B34" s="0" t="s">
        <v>168</v>
      </c>
      <c r="C34" s="202" t="n">
        <v>0</v>
      </c>
      <c r="D34" s="203" t="n">
        <f aca="false">+C34</f>
        <v>0</v>
      </c>
      <c r="E34" s="203" t="n">
        <f aca="false">+D34</f>
        <v>0</v>
      </c>
      <c r="F34" s="203" t="n">
        <f aca="false">+E34</f>
        <v>0</v>
      </c>
      <c r="G34" s="203" t="n">
        <f aca="false">+F34</f>
        <v>0</v>
      </c>
      <c r="H34" s="203" t="n">
        <f aca="false">+G34</f>
        <v>0</v>
      </c>
      <c r="I34" s="203" t="n">
        <f aca="false">+H34</f>
        <v>0</v>
      </c>
      <c r="J34" s="203" t="n">
        <f aca="false">+I34</f>
        <v>0</v>
      </c>
      <c r="K34" s="203" t="n">
        <f aca="false">+J34</f>
        <v>0</v>
      </c>
      <c r="L34" s="203" t="n">
        <f aca="false">+K34</f>
        <v>0</v>
      </c>
      <c r="M34" s="203" t="n">
        <f aca="false">+L34</f>
        <v>0</v>
      </c>
      <c r="N34" s="203" t="n">
        <f aca="false">+M34</f>
        <v>0</v>
      </c>
      <c r="O34" s="203" t="n">
        <f aca="false">+N34</f>
        <v>0</v>
      </c>
      <c r="P34" s="203" t="n">
        <f aca="false">+O34</f>
        <v>0</v>
      </c>
      <c r="Q34" s="203" t="n">
        <f aca="false">+P34</f>
        <v>0</v>
      </c>
      <c r="R34" s="203" t="n">
        <f aca="false">+Q34</f>
        <v>0</v>
      </c>
      <c r="S34" s="203" t="n">
        <f aca="false">+R34</f>
        <v>0</v>
      </c>
      <c r="T34" s="203" t="n">
        <f aca="false">+S34</f>
        <v>0</v>
      </c>
      <c r="U34" s="203" t="n">
        <f aca="false">+T34</f>
        <v>0</v>
      </c>
      <c r="V34" s="203" t="n">
        <f aca="false">+U34</f>
        <v>0</v>
      </c>
      <c r="W34" s="203" t="n">
        <f aca="false">+V34</f>
        <v>0</v>
      </c>
      <c r="X34" s="203" t="n">
        <f aca="false">+W34</f>
        <v>0</v>
      </c>
      <c r="Y34" s="203" t="n">
        <f aca="false">+X34</f>
        <v>0</v>
      </c>
      <c r="Z34" s="203" t="n">
        <f aca="false">+Y34</f>
        <v>0</v>
      </c>
      <c r="AA34" s="203" t="n">
        <f aca="false">+Z34</f>
        <v>0</v>
      </c>
      <c r="AB34" s="203"/>
    </row>
    <row r="35" customFormat="false" ht="12.75" hidden="false" customHeight="false" outlineLevel="0" collapsed="false">
      <c r="A35" s="0"/>
      <c r="B35" s="0" t="s">
        <v>162</v>
      </c>
      <c r="C35" s="73" t="n">
        <f aca="false">C32*365*C33+(C34*365*C32*assumptions!C$32)</f>
        <v>0</v>
      </c>
      <c r="D35" s="73" t="n">
        <f aca="false">D32*365*D33+(D34*365*D32*assumptions!D$32)</f>
        <v>0</v>
      </c>
      <c r="E35" s="73" t="n">
        <f aca="false">E32*365*E33+(E34*365*E32*assumptions!E$32)</f>
        <v>0</v>
      </c>
      <c r="F35" s="73" t="n">
        <f aca="false">F32*365*F33+(F34*365*F32*assumptions!F$32)</f>
        <v>0</v>
      </c>
      <c r="G35" s="73" t="n">
        <f aca="false">G32*365*G33+(G34*365*G32*assumptions!G$32)</f>
        <v>0</v>
      </c>
      <c r="H35" s="73" t="n">
        <f aca="false">H32*365*H33+(H34*365*H32*assumptions!H$32)</f>
        <v>0</v>
      </c>
      <c r="I35" s="73" t="n">
        <f aca="false">I32*365*I33+(I34*365*I32*assumptions!I$32)</f>
        <v>0</v>
      </c>
      <c r="J35" s="73" t="n">
        <f aca="false">J32*365*J33+(J34*365*J32*assumptions!J$32)</f>
        <v>0</v>
      </c>
      <c r="K35" s="73" t="n">
        <f aca="false">K32*365*K33+(K34*365*K32*assumptions!K$32)</f>
        <v>0</v>
      </c>
      <c r="L35" s="73" t="n">
        <f aca="false">L32*365*L33+(L34*365*L32*assumptions!L$32)</f>
        <v>0</v>
      </c>
      <c r="M35" s="73" t="n">
        <f aca="false">M32*365*M33+(M34*365*M32*assumptions!M$32)</f>
        <v>0</v>
      </c>
      <c r="N35" s="73" t="n">
        <f aca="false">N32*365*N33+(N34*365*N32*assumptions!N$32)</f>
        <v>0</v>
      </c>
      <c r="O35" s="73" t="n">
        <f aca="false">O32*365*O33+(O34*365*O32*assumptions!O$32)</f>
        <v>0</v>
      </c>
      <c r="P35" s="73" t="n">
        <f aca="false">P32*365*P33+(P34*365*P32*assumptions!P$32)</f>
        <v>0</v>
      </c>
      <c r="Q35" s="73" t="n">
        <f aca="false">Q32*365*Q33+(Q34*365*Q32*assumptions!Q$32)</f>
        <v>0</v>
      </c>
      <c r="R35" s="73" t="n">
        <f aca="false">R32*365*R33+(R34*365*R32*assumptions!R$32)</f>
        <v>0</v>
      </c>
      <c r="S35" s="73" t="n">
        <f aca="false">S32*365*S33+(S34*365*S32*assumptions!S$32)</f>
        <v>0</v>
      </c>
      <c r="T35" s="73" t="n">
        <f aca="false">T32*365*T33+(T34*365*T32*assumptions!T$32)</f>
        <v>0</v>
      </c>
      <c r="U35" s="73" t="n">
        <f aca="false">U32*365*U33+(U34*365*U32*assumptions!U$32)</f>
        <v>0</v>
      </c>
      <c r="V35" s="73" t="n">
        <f aca="false">V32*365*V33+(V34*365*V32*assumptions!V$32)</f>
        <v>0</v>
      </c>
      <c r="W35" s="73" t="n">
        <f aca="false">W32*365*W33+(W34*365*W32*assumptions!W$32)</f>
        <v>0</v>
      </c>
      <c r="X35" s="73" t="n">
        <f aca="false">X32*365*X33+(X34*365*X32*assumptions!X$32)</f>
        <v>0</v>
      </c>
      <c r="Y35" s="73" t="n">
        <f aca="false">Y32*365*Y33+(Y34*365*Y32*assumptions!Y$32)</f>
        <v>0</v>
      </c>
      <c r="Z35" s="73" t="n">
        <f aca="false">Z32*365*Z33+(Z34*365*Z32*assumptions!Z$32)</f>
        <v>0</v>
      </c>
      <c r="AA35" s="73" t="n">
        <f aca="false">AA32*365*AA33+(AA34*365*AA32*assumptions!AA$32)</f>
        <v>0</v>
      </c>
      <c r="AB35" s="0" t="n">
        <f aca="false">SUM(C35:V35)</f>
        <v>0</v>
      </c>
    </row>
    <row r="36" customFormat="false" ht="12.75" hidden="false" customHeight="false" outlineLevel="0" collapsed="false">
      <c r="A36" s="0" t="s">
        <v>163</v>
      </c>
      <c r="B36" s="205" t="n">
        <v>0</v>
      </c>
      <c r="C36" s="0" t="n">
        <f aca="false">+C32*$B36*assumptions!C$32*DCF!D$29</f>
        <v>0</v>
      </c>
      <c r="D36" s="0" t="n">
        <f aca="false">+D32*$B36*assumptions!D$32*DCF!E$29</f>
        <v>0</v>
      </c>
      <c r="E36" s="0" t="n">
        <f aca="false">+E32*$B36*assumptions!E$32*DCF!F$29</f>
        <v>0</v>
      </c>
      <c r="F36" s="0" t="n">
        <f aca="false">+F32*$B36*assumptions!F$32*DCF!G$29</f>
        <v>0</v>
      </c>
      <c r="G36" s="0" t="n">
        <f aca="false">+G32*$B36*assumptions!G$32*DCF!H$29</f>
        <v>0</v>
      </c>
      <c r="H36" s="0" t="n">
        <f aca="false">+H32*$B36*assumptions!H$32*DCF!I$29</f>
        <v>0</v>
      </c>
      <c r="I36" s="0" t="n">
        <f aca="false">+I32*$B36*assumptions!I$32*DCF!J$29</f>
        <v>0</v>
      </c>
      <c r="J36" s="0" t="n">
        <f aca="false">+J32*$B36*assumptions!J$32*DCF!K$29</f>
        <v>0</v>
      </c>
      <c r="K36" s="0" t="n">
        <f aca="false">+K32*$B36*assumptions!K$32*DCF!L$29</f>
        <v>0</v>
      </c>
      <c r="L36" s="0" t="n">
        <f aca="false">+L32*$B36*assumptions!L$32*DCF!M$29</f>
        <v>0</v>
      </c>
      <c r="M36" s="0" t="n">
        <f aca="false">+M32*$B36*assumptions!M$32*DCF!N$29</f>
        <v>0</v>
      </c>
      <c r="N36" s="0" t="n">
        <f aca="false">+N32*$B36*assumptions!N$32*DCF!O$29</f>
        <v>0</v>
      </c>
      <c r="O36" s="0" t="n">
        <f aca="false">+O32*$B36*assumptions!O$32*DCF!P$29</f>
        <v>0</v>
      </c>
      <c r="P36" s="0" t="n">
        <f aca="false">+P32*$B36*assumptions!P$32*DCF!Q$29</f>
        <v>0</v>
      </c>
      <c r="Q36" s="0" t="n">
        <f aca="false">+Q32*$B36*assumptions!Q$32*DCF!R$29</f>
        <v>0</v>
      </c>
      <c r="R36" s="0" t="n">
        <f aca="false">+R32*$B36*assumptions!R$32*DCF!S$29</f>
        <v>0</v>
      </c>
      <c r="S36" s="0" t="n">
        <f aca="false">+S32*$B36*assumptions!S$32*DCF!T$29</f>
        <v>0</v>
      </c>
      <c r="T36" s="0" t="n">
        <f aca="false">+T32*$B36*assumptions!T$32*DCF!U$29</f>
        <v>0</v>
      </c>
      <c r="U36" s="0" t="n">
        <f aca="false">+U32*$B36*assumptions!U$32*DCF!V$29</f>
        <v>0</v>
      </c>
      <c r="V36" s="0" t="n">
        <f aca="false">+V32*$B36*assumptions!V$32*DCF!W$29</f>
        <v>0</v>
      </c>
      <c r="W36" s="0" t="n">
        <f aca="false">+W32*$B36*assumptions!W$32*DCF!X$29</f>
        <v>0</v>
      </c>
      <c r="X36" s="0" t="n">
        <f aca="false">+X32*$B36*assumptions!X$32*DCF!Y$29</f>
        <v>0</v>
      </c>
      <c r="Y36" s="0" t="n">
        <f aca="false">+Y32*$B36*assumptions!Y$32*DCF!Z$29</f>
        <v>0</v>
      </c>
      <c r="Z36" s="0" t="n">
        <f aca="false">+Z32*$B36*assumptions!Z$32*DCF!AA$29</f>
        <v>0</v>
      </c>
      <c r="AA36" s="0" t="n">
        <f aca="false">+AA32*$B36*assumptions!AA$32*DCF!AB$29</f>
        <v>0</v>
      </c>
      <c r="AB36" s="0" t="n">
        <f aca="false">SUM(C36:V36)</f>
        <v>0</v>
      </c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</row>
    <row r="38" customFormat="false" ht="12.75" hidden="false" customHeight="false" outlineLevel="0" collapsed="false">
      <c r="A38" s="20"/>
      <c r="B38" s="0" t="s">
        <v>158</v>
      </c>
      <c r="C38" s="0" t="n">
        <v>0</v>
      </c>
      <c r="D38" s="0" t="n">
        <f aca="false">+C38</f>
        <v>0</v>
      </c>
      <c r="E38" s="0" t="n">
        <f aca="false">D38</f>
        <v>0</v>
      </c>
      <c r="F38" s="0" t="n">
        <f aca="false">E38</f>
        <v>0</v>
      </c>
      <c r="G38" s="0" t="n">
        <f aca="false">F38</f>
        <v>0</v>
      </c>
      <c r="H38" s="0" t="n">
        <f aca="false">+G38</f>
        <v>0</v>
      </c>
      <c r="I38" s="0" t="n">
        <f aca="false">+H38</f>
        <v>0</v>
      </c>
      <c r="J38" s="0" t="n">
        <f aca="false">+I38</f>
        <v>0</v>
      </c>
      <c r="K38" s="0" t="n">
        <f aca="false">+J38</f>
        <v>0</v>
      </c>
      <c r="L38" s="0" t="n">
        <f aca="false">+K38</f>
        <v>0</v>
      </c>
      <c r="M38" s="0" t="n">
        <f aca="false">+L38</f>
        <v>0</v>
      </c>
      <c r="N38" s="0" t="n">
        <f aca="false">+M38</f>
        <v>0</v>
      </c>
      <c r="O38" s="0" t="n">
        <f aca="false">+N38</f>
        <v>0</v>
      </c>
      <c r="P38" s="0" t="n">
        <f aca="false">+O38</f>
        <v>0</v>
      </c>
      <c r="Q38" s="0" t="n">
        <f aca="false">+P38</f>
        <v>0</v>
      </c>
      <c r="R38" s="0" t="n">
        <f aca="false">+Q38</f>
        <v>0</v>
      </c>
      <c r="S38" s="0" t="n">
        <f aca="false">+R38</f>
        <v>0</v>
      </c>
      <c r="T38" s="0" t="n">
        <f aca="false">+S38</f>
        <v>0</v>
      </c>
      <c r="U38" s="0" t="n">
        <f aca="false">+T38</f>
        <v>0</v>
      </c>
      <c r="V38" s="0" t="n">
        <f aca="false">+U38</f>
        <v>0</v>
      </c>
      <c r="W38" s="0" t="n">
        <f aca="false">+V38</f>
        <v>0</v>
      </c>
      <c r="X38" s="0" t="n">
        <f aca="false">+W38</f>
        <v>0</v>
      </c>
      <c r="Y38" s="0" t="n">
        <f aca="false">+X38</f>
        <v>0</v>
      </c>
      <c r="Z38" s="0" t="n">
        <f aca="false">+Y38</f>
        <v>0</v>
      </c>
      <c r="AA38" s="0" t="n">
        <f aca="false">+Z38</f>
        <v>0</v>
      </c>
      <c r="AB38" s="0" t="n">
        <f aca="false">SUM(C38:V38)</f>
        <v>0</v>
      </c>
    </row>
    <row r="39" customFormat="false" ht="12.75" hidden="false" customHeight="false" outlineLevel="0" collapsed="false">
      <c r="A39" s="0"/>
      <c r="B39" s="0" t="s">
        <v>165</v>
      </c>
      <c r="C39" s="203" t="n">
        <v>0</v>
      </c>
      <c r="D39" s="203" t="n">
        <f aca="false">+C39</f>
        <v>0</v>
      </c>
      <c r="E39" s="203" t="n">
        <f aca="false">+D39</f>
        <v>0</v>
      </c>
      <c r="F39" s="203" t="n">
        <f aca="false">+E39</f>
        <v>0</v>
      </c>
      <c r="G39" s="203" t="n">
        <f aca="false">+F39</f>
        <v>0</v>
      </c>
      <c r="H39" s="203" t="n">
        <f aca="false">+G39</f>
        <v>0</v>
      </c>
      <c r="I39" s="203" t="n">
        <f aca="false">+H39</f>
        <v>0</v>
      </c>
      <c r="J39" s="203" t="n">
        <f aca="false">+I39</f>
        <v>0</v>
      </c>
      <c r="K39" s="203" t="n">
        <f aca="false">+J39</f>
        <v>0</v>
      </c>
      <c r="L39" s="203" t="n">
        <f aca="false">+K39</f>
        <v>0</v>
      </c>
      <c r="M39" s="203" t="n">
        <f aca="false">+L39</f>
        <v>0</v>
      </c>
      <c r="N39" s="203" t="n">
        <f aca="false">+M39</f>
        <v>0</v>
      </c>
      <c r="O39" s="203" t="n">
        <f aca="false">+N39</f>
        <v>0</v>
      </c>
      <c r="P39" s="203" t="n">
        <f aca="false">+O39</f>
        <v>0</v>
      </c>
      <c r="Q39" s="203" t="n">
        <f aca="false">+P39</f>
        <v>0</v>
      </c>
      <c r="R39" s="203" t="n">
        <f aca="false">+Q39</f>
        <v>0</v>
      </c>
      <c r="S39" s="203" t="n">
        <f aca="false">+R39</f>
        <v>0</v>
      </c>
      <c r="T39" s="203" t="n">
        <f aca="false">+S39</f>
        <v>0</v>
      </c>
      <c r="U39" s="203" t="n">
        <f aca="false">+T39</f>
        <v>0</v>
      </c>
      <c r="V39" s="203" t="n">
        <f aca="false">+U39</f>
        <v>0</v>
      </c>
      <c r="W39" s="203" t="n">
        <f aca="false">+V39</f>
        <v>0</v>
      </c>
      <c r="X39" s="203" t="n">
        <f aca="false">+W39</f>
        <v>0</v>
      </c>
      <c r="Y39" s="203" t="n">
        <f aca="false">+X39</f>
        <v>0</v>
      </c>
      <c r="Z39" s="203" t="n">
        <f aca="false">+Y39</f>
        <v>0</v>
      </c>
      <c r="AA39" s="203" t="n">
        <f aca="false">+Z39</f>
        <v>0</v>
      </c>
      <c r="AB39" s="203"/>
    </row>
    <row r="40" customFormat="false" ht="12.75" hidden="false" customHeight="false" outlineLevel="0" collapsed="false">
      <c r="A40" s="0"/>
      <c r="B40" s="0" t="s">
        <v>168</v>
      </c>
      <c r="C40" s="202" t="n">
        <v>0</v>
      </c>
      <c r="D40" s="203" t="n">
        <f aca="false">+C40</f>
        <v>0</v>
      </c>
      <c r="E40" s="203" t="n">
        <f aca="false">+D40</f>
        <v>0</v>
      </c>
      <c r="F40" s="203" t="n">
        <f aca="false">+E40</f>
        <v>0</v>
      </c>
      <c r="G40" s="203" t="n">
        <f aca="false">+F40</f>
        <v>0</v>
      </c>
      <c r="H40" s="203" t="n">
        <f aca="false">+G40</f>
        <v>0</v>
      </c>
      <c r="I40" s="203" t="n">
        <f aca="false">+H40</f>
        <v>0</v>
      </c>
      <c r="J40" s="203" t="n">
        <f aca="false">+I40</f>
        <v>0</v>
      </c>
      <c r="K40" s="203" t="n">
        <f aca="false">+J40</f>
        <v>0</v>
      </c>
      <c r="L40" s="203" t="n">
        <f aca="false">+K40</f>
        <v>0</v>
      </c>
      <c r="M40" s="203" t="n">
        <f aca="false">+L40</f>
        <v>0</v>
      </c>
      <c r="N40" s="203" t="n">
        <f aca="false">+M40</f>
        <v>0</v>
      </c>
      <c r="O40" s="203" t="n">
        <f aca="false">+N40</f>
        <v>0</v>
      </c>
      <c r="P40" s="203" t="n">
        <f aca="false">+O40</f>
        <v>0</v>
      </c>
      <c r="Q40" s="203" t="n">
        <f aca="false">+P40</f>
        <v>0</v>
      </c>
      <c r="R40" s="203" t="n">
        <f aca="false">+Q40</f>
        <v>0</v>
      </c>
      <c r="S40" s="203" t="n">
        <f aca="false">+R40</f>
        <v>0</v>
      </c>
      <c r="T40" s="203" t="n">
        <f aca="false">+S40</f>
        <v>0</v>
      </c>
      <c r="U40" s="203" t="n">
        <f aca="false">+T40</f>
        <v>0</v>
      </c>
      <c r="V40" s="203" t="n">
        <f aca="false">+U40</f>
        <v>0</v>
      </c>
      <c r="W40" s="203" t="n">
        <f aca="false">+V40</f>
        <v>0</v>
      </c>
      <c r="X40" s="203" t="n">
        <f aca="false">+W40</f>
        <v>0</v>
      </c>
      <c r="Y40" s="203" t="n">
        <f aca="false">+X40</f>
        <v>0</v>
      </c>
      <c r="Z40" s="203" t="n">
        <f aca="false">+Y40</f>
        <v>0</v>
      </c>
      <c r="AA40" s="203" t="n">
        <f aca="false">+Z40</f>
        <v>0</v>
      </c>
      <c r="AB40" s="203"/>
    </row>
    <row r="41" customFormat="false" ht="12.75" hidden="false" customHeight="false" outlineLevel="0" collapsed="false">
      <c r="A41" s="0"/>
      <c r="B41" s="0" t="s">
        <v>162</v>
      </c>
      <c r="C41" s="73" t="n">
        <f aca="false">C38*365*C39+(C40*365*C38*assumptions!C$32)</f>
        <v>0</v>
      </c>
      <c r="D41" s="73" t="n">
        <f aca="false">D38*365*D39+(D40*365*D38*assumptions!D$32)</f>
        <v>0</v>
      </c>
      <c r="E41" s="73" t="n">
        <f aca="false">E38*365*E39+(E40*365*E38*assumptions!E$32)</f>
        <v>0</v>
      </c>
      <c r="F41" s="73" t="n">
        <f aca="false">F38*365*F39+(F40*365*F38*assumptions!F$32)</f>
        <v>0</v>
      </c>
      <c r="G41" s="73" t="n">
        <f aca="false">G38*365*G39+(G40*365*G38*assumptions!G$32)</f>
        <v>0</v>
      </c>
      <c r="H41" s="73" t="n">
        <f aca="false">H38*365*H39+(H40*365*H38*assumptions!H$32)</f>
        <v>0</v>
      </c>
      <c r="I41" s="73" t="n">
        <f aca="false">I38*365*I39+(I40*365*I38*assumptions!I$32)</f>
        <v>0</v>
      </c>
      <c r="J41" s="73" t="n">
        <f aca="false">J38*365*J39+(J40*365*J38*assumptions!J$32)</f>
        <v>0</v>
      </c>
      <c r="K41" s="73" t="n">
        <f aca="false">K38*365*K39+(K40*365*K38*assumptions!K$32)</f>
        <v>0</v>
      </c>
      <c r="L41" s="73" t="n">
        <f aca="false">L38*365*L39+(L40*365*L38*assumptions!L$32)</f>
        <v>0</v>
      </c>
      <c r="M41" s="73" t="n">
        <f aca="false">M38*365*M39+(M40*365*M38*assumptions!M$32)</f>
        <v>0</v>
      </c>
      <c r="N41" s="73" t="n">
        <f aca="false">N38*365*N39+(N40*365*N38*assumptions!N$32)</f>
        <v>0</v>
      </c>
      <c r="O41" s="73" t="n">
        <f aca="false">O38*365*O39+(O40*365*O38*assumptions!O$32)</f>
        <v>0</v>
      </c>
      <c r="P41" s="73" t="n">
        <f aca="false">P38*365*P39+(P40*365*P38*assumptions!P$32)</f>
        <v>0</v>
      </c>
      <c r="Q41" s="73" t="n">
        <f aca="false">Q38*365*Q39+(Q40*365*Q38*assumptions!Q$32)</f>
        <v>0</v>
      </c>
      <c r="R41" s="73" t="n">
        <f aca="false">R38*365*R39+(R40*365*R38*assumptions!R$32)</f>
        <v>0</v>
      </c>
      <c r="S41" s="73" t="n">
        <f aca="false">S38*365*S39+(S40*365*S38*assumptions!S$32)</f>
        <v>0</v>
      </c>
      <c r="T41" s="73" t="n">
        <f aca="false">T38*365*T39+(T40*365*T38*assumptions!T$32)</f>
        <v>0</v>
      </c>
      <c r="U41" s="73" t="n">
        <f aca="false">U38*365*U39+(U40*365*U38*assumptions!U$32)</f>
        <v>0</v>
      </c>
      <c r="V41" s="73" t="n">
        <f aca="false">V38*365*V39+(V40*365*V38*assumptions!V$32)</f>
        <v>0</v>
      </c>
      <c r="W41" s="73" t="n">
        <f aca="false">W38*365*W39+(W40*365*W38*assumptions!W$32)</f>
        <v>0</v>
      </c>
      <c r="X41" s="73" t="n">
        <f aca="false">X38*365*X39+(X40*365*X38*assumptions!X$32)</f>
        <v>0</v>
      </c>
      <c r="Y41" s="73" t="n">
        <f aca="false">Y38*365*Y39+(Y40*365*Y38*assumptions!Y$32)</f>
        <v>0</v>
      </c>
      <c r="Z41" s="73" t="n">
        <f aca="false">Z38*365*Z39+(Z40*365*Z38*assumptions!Z$32)</f>
        <v>0</v>
      </c>
      <c r="AA41" s="73" t="n">
        <f aca="false">AA38*365*AA39+(AA40*365*AA38*assumptions!AA$32)</f>
        <v>0</v>
      </c>
      <c r="AB41" s="0" t="n">
        <f aca="false">SUM(C41:V41)</f>
        <v>0</v>
      </c>
    </row>
    <row r="42" customFormat="false" ht="12.75" hidden="false" customHeight="false" outlineLevel="0" collapsed="false">
      <c r="A42" s="0" t="s">
        <v>163</v>
      </c>
      <c r="B42" s="205" t="n">
        <v>0</v>
      </c>
      <c r="C42" s="0" t="n">
        <f aca="false">+C38*$B42*assumptions!C$32*DCF!D$29</f>
        <v>0</v>
      </c>
      <c r="D42" s="0" t="n">
        <f aca="false">+D38*$B42*assumptions!D$32*DCF!E$29</f>
        <v>0</v>
      </c>
      <c r="E42" s="0" t="n">
        <f aca="false">+E38*$B42*assumptions!E$32*DCF!F$29</f>
        <v>0</v>
      </c>
      <c r="F42" s="0" t="n">
        <f aca="false">+F38*$B42*assumptions!F$32*DCF!G$29</f>
        <v>0</v>
      </c>
      <c r="G42" s="0" t="n">
        <f aca="false">+G38*$B42*assumptions!G$32*DCF!H$29</f>
        <v>0</v>
      </c>
      <c r="H42" s="0" t="n">
        <f aca="false">+H38*$B42*assumptions!H$32*DCF!I$29</f>
        <v>0</v>
      </c>
      <c r="I42" s="0" t="n">
        <f aca="false">+I38*$B42*assumptions!I$32*DCF!J$29</f>
        <v>0</v>
      </c>
      <c r="J42" s="0" t="n">
        <f aca="false">+J38*$B42*assumptions!J$32*DCF!K$29</f>
        <v>0</v>
      </c>
      <c r="K42" s="0" t="n">
        <f aca="false">+K38*$B42*assumptions!K$32*DCF!L$29</f>
        <v>0</v>
      </c>
      <c r="L42" s="0" t="n">
        <f aca="false">+L38*$B42*assumptions!L$32*DCF!M$29</f>
        <v>0</v>
      </c>
      <c r="M42" s="0" t="n">
        <f aca="false">+M38*$B42*assumptions!M$32*DCF!N$29</f>
        <v>0</v>
      </c>
      <c r="N42" s="0" t="n">
        <f aca="false">+N38*$B42*assumptions!N$32*DCF!O$29</f>
        <v>0</v>
      </c>
      <c r="O42" s="0" t="n">
        <f aca="false">+O38*$B42*assumptions!O$32*DCF!P$29</f>
        <v>0</v>
      </c>
      <c r="P42" s="0" t="n">
        <f aca="false">+P38*$B42*assumptions!P$32*DCF!Q$29</f>
        <v>0</v>
      </c>
      <c r="Q42" s="0" t="n">
        <f aca="false">+Q38*$B42*assumptions!Q$32*DCF!R$29</f>
        <v>0</v>
      </c>
      <c r="R42" s="0" t="n">
        <f aca="false">+R38*$B42*assumptions!R$32*DCF!S$29</f>
        <v>0</v>
      </c>
      <c r="S42" s="0" t="n">
        <f aca="false">+S38*$B42*assumptions!S$32*DCF!T$29</f>
        <v>0</v>
      </c>
      <c r="T42" s="0" t="n">
        <f aca="false">+T38*$B42*assumptions!T$32*DCF!U$29</f>
        <v>0</v>
      </c>
      <c r="U42" s="0" t="n">
        <f aca="false">+U38*$B42*assumptions!U$32*DCF!V$29</f>
        <v>0</v>
      </c>
      <c r="V42" s="0" t="n">
        <f aca="false">+V38*$B42*assumptions!V$32*DCF!W$29</f>
        <v>0</v>
      </c>
      <c r="W42" s="0" t="n">
        <f aca="false">+W38*$B42*assumptions!W$32*DCF!X$29</f>
        <v>0</v>
      </c>
      <c r="X42" s="0" t="n">
        <f aca="false">+X38*$B42*assumptions!X$32*DCF!Y$29</f>
        <v>0</v>
      </c>
      <c r="Y42" s="0" t="n">
        <f aca="false">+Y38*$B42*assumptions!Y$32*DCF!Z$29</f>
        <v>0</v>
      </c>
      <c r="Z42" s="0" t="n">
        <f aca="false">+Z38*$B42*assumptions!Z$32*DCF!AA$29</f>
        <v>0</v>
      </c>
      <c r="AA42" s="0" t="n">
        <f aca="false">+AA38*$B42*assumptions!AA$32*DCF!AB$29</f>
        <v>0</v>
      </c>
      <c r="AB42" s="0" t="n">
        <f aca="false">SUM(C42:V42)</f>
        <v>0</v>
      </c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</row>
    <row r="44" customFormat="false" ht="12.75" hidden="false" customHeight="false" outlineLevel="0" collapsed="false">
      <c r="A44" s="20"/>
      <c r="B44" s="0" t="s">
        <v>158</v>
      </c>
      <c r="C44" s="0" t="n">
        <v>0</v>
      </c>
      <c r="D44" s="0" t="n">
        <f aca="false">+C44</f>
        <v>0</v>
      </c>
      <c r="E44" s="0" t="n">
        <f aca="false">D44</f>
        <v>0</v>
      </c>
      <c r="F44" s="0" t="n">
        <f aca="false">E44</f>
        <v>0</v>
      </c>
      <c r="G44" s="0" t="n">
        <f aca="false">F44</f>
        <v>0</v>
      </c>
      <c r="H44" s="0" t="n">
        <f aca="false">+G44</f>
        <v>0</v>
      </c>
      <c r="I44" s="0" t="n">
        <f aca="false">+H44</f>
        <v>0</v>
      </c>
      <c r="J44" s="0" t="n">
        <f aca="false">+I44</f>
        <v>0</v>
      </c>
      <c r="K44" s="0" t="n">
        <f aca="false">+J44</f>
        <v>0</v>
      </c>
      <c r="L44" s="0" t="n">
        <f aca="false">+K44</f>
        <v>0</v>
      </c>
      <c r="M44" s="0" t="n">
        <f aca="false">+L44</f>
        <v>0</v>
      </c>
      <c r="N44" s="0" t="n">
        <f aca="false">+M44</f>
        <v>0</v>
      </c>
      <c r="O44" s="0" t="n">
        <f aca="false">+N44</f>
        <v>0</v>
      </c>
      <c r="P44" s="0" t="n">
        <f aca="false">+O44</f>
        <v>0</v>
      </c>
      <c r="Q44" s="0" t="n">
        <f aca="false">+P44</f>
        <v>0</v>
      </c>
      <c r="R44" s="0" t="n">
        <f aca="false">+Q44</f>
        <v>0</v>
      </c>
      <c r="S44" s="0" t="n">
        <f aca="false">+R44</f>
        <v>0</v>
      </c>
      <c r="T44" s="0" t="n">
        <f aca="false">+S44</f>
        <v>0</v>
      </c>
      <c r="U44" s="0" t="n">
        <f aca="false">+T44</f>
        <v>0</v>
      </c>
      <c r="V44" s="0" t="n">
        <f aca="false">+U44</f>
        <v>0</v>
      </c>
      <c r="W44" s="0" t="n">
        <f aca="false">+V44</f>
        <v>0</v>
      </c>
      <c r="X44" s="0" t="n">
        <f aca="false">+W44</f>
        <v>0</v>
      </c>
      <c r="Y44" s="0" t="n">
        <f aca="false">+X44</f>
        <v>0</v>
      </c>
      <c r="Z44" s="0" t="n">
        <f aca="false">+Y44</f>
        <v>0</v>
      </c>
      <c r="AA44" s="0" t="n">
        <f aca="false">+Z44</f>
        <v>0</v>
      </c>
      <c r="AB44" s="0" t="n">
        <f aca="false">SUM(C44:V44)</f>
        <v>0</v>
      </c>
    </row>
    <row r="45" customFormat="false" ht="12.75" hidden="false" customHeight="false" outlineLevel="0" collapsed="false">
      <c r="A45" s="0"/>
      <c r="B45" s="0" t="s">
        <v>165</v>
      </c>
      <c r="C45" s="203" t="n">
        <v>0</v>
      </c>
      <c r="D45" s="203" t="n">
        <f aca="false">+C45</f>
        <v>0</v>
      </c>
      <c r="E45" s="203" t="n">
        <f aca="false">+D45</f>
        <v>0</v>
      </c>
      <c r="F45" s="203" t="n">
        <f aca="false">+E45</f>
        <v>0</v>
      </c>
      <c r="G45" s="203" t="n">
        <f aca="false">+F45</f>
        <v>0</v>
      </c>
      <c r="H45" s="203" t="n">
        <f aca="false">+G45</f>
        <v>0</v>
      </c>
      <c r="I45" s="203" t="n">
        <f aca="false">+H45</f>
        <v>0</v>
      </c>
      <c r="J45" s="203" t="n">
        <f aca="false">+I45</f>
        <v>0</v>
      </c>
      <c r="K45" s="203" t="n">
        <f aca="false">+J45</f>
        <v>0</v>
      </c>
      <c r="L45" s="203" t="n">
        <f aca="false">+K45</f>
        <v>0</v>
      </c>
      <c r="M45" s="203" t="n">
        <f aca="false">+L45</f>
        <v>0</v>
      </c>
      <c r="N45" s="203" t="n">
        <f aca="false">+M45</f>
        <v>0</v>
      </c>
      <c r="O45" s="203" t="n">
        <f aca="false">+N45</f>
        <v>0</v>
      </c>
      <c r="P45" s="203" t="n">
        <f aca="false">+O45</f>
        <v>0</v>
      </c>
      <c r="Q45" s="203" t="n">
        <f aca="false">+P45</f>
        <v>0</v>
      </c>
      <c r="R45" s="203" t="n">
        <f aca="false">+Q45</f>
        <v>0</v>
      </c>
      <c r="S45" s="203" t="n">
        <f aca="false">+R45</f>
        <v>0</v>
      </c>
      <c r="T45" s="203" t="n">
        <f aca="false">+S45</f>
        <v>0</v>
      </c>
      <c r="U45" s="203" t="n">
        <f aca="false">+T45</f>
        <v>0</v>
      </c>
      <c r="V45" s="203" t="n">
        <f aca="false">+U45</f>
        <v>0</v>
      </c>
      <c r="W45" s="203" t="n">
        <f aca="false">+V45</f>
        <v>0</v>
      </c>
      <c r="X45" s="203" t="n">
        <f aca="false">+W45</f>
        <v>0</v>
      </c>
      <c r="Y45" s="203" t="n">
        <f aca="false">+X45</f>
        <v>0</v>
      </c>
      <c r="Z45" s="203" t="n">
        <f aca="false">+Y45</f>
        <v>0</v>
      </c>
      <c r="AA45" s="203" t="n">
        <f aca="false">+Z45</f>
        <v>0</v>
      </c>
      <c r="AB45" s="0" t="n">
        <f aca="false">SUM(C45:V45)</f>
        <v>0</v>
      </c>
    </row>
    <row r="46" customFormat="false" ht="12.75" hidden="false" customHeight="false" outlineLevel="0" collapsed="false">
      <c r="A46" s="0"/>
      <c r="B46" s="0" t="s">
        <v>168</v>
      </c>
      <c r="C46" s="202" t="n">
        <v>0</v>
      </c>
      <c r="D46" s="203" t="n">
        <f aca="false">+C46</f>
        <v>0</v>
      </c>
      <c r="E46" s="203" t="n">
        <f aca="false">+D46</f>
        <v>0</v>
      </c>
      <c r="F46" s="203" t="n">
        <f aca="false">+E46</f>
        <v>0</v>
      </c>
      <c r="G46" s="203" t="n">
        <f aca="false">+F46</f>
        <v>0</v>
      </c>
      <c r="H46" s="203" t="n">
        <f aca="false">+G46</f>
        <v>0</v>
      </c>
      <c r="I46" s="203" t="n">
        <f aca="false">+H46</f>
        <v>0</v>
      </c>
      <c r="J46" s="203" t="n">
        <f aca="false">+I46</f>
        <v>0</v>
      </c>
      <c r="K46" s="203" t="n">
        <f aca="false">+J46</f>
        <v>0</v>
      </c>
      <c r="L46" s="203" t="n">
        <f aca="false">+K46</f>
        <v>0</v>
      </c>
      <c r="M46" s="203" t="n">
        <f aca="false">+L46</f>
        <v>0</v>
      </c>
      <c r="N46" s="203" t="n">
        <f aca="false">+M46</f>
        <v>0</v>
      </c>
      <c r="O46" s="203" t="n">
        <f aca="false">+N46</f>
        <v>0</v>
      </c>
      <c r="P46" s="203" t="n">
        <f aca="false">+O46</f>
        <v>0</v>
      </c>
      <c r="Q46" s="203" t="n">
        <f aca="false">+P46</f>
        <v>0</v>
      </c>
      <c r="R46" s="203" t="n">
        <f aca="false">+Q46</f>
        <v>0</v>
      </c>
      <c r="S46" s="203" t="n">
        <f aca="false">+R46</f>
        <v>0</v>
      </c>
      <c r="T46" s="203" t="n">
        <f aca="false">+S46</f>
        <v>0</v>
      </c>
      <c r="U46" s="203" t="n">
        <f aca="false">+T46</f>
        <v>0</v>
      </c>
      <c r="V46" s="203" t="n">
        <f aca="false">+U46</f>
        <v>0</v>
      </c>
      <c r="W46" s="203" t="n">
        <f aca="false">+V46</f>
        <v>0</v>
      </c>
      <c r="X46" s="203" t="n">
        <f aca="false">+W46</f>
        <v>0</v>
      </c>
      <c r="Y46" s="203" t="n">
        <f aca="false">+X46</f>
        <v>0</v>
      </c>
      <c r="Z46" s="203" t="n">
        <f aca="false">+Y46</f>
        <v>0</v>
      </c>
      <c r="AA46" s="203" t="n">
        <f aca="false">+Z46</f>
        <v>0</v>
      </c>
      <c r="AB46" s="203"/>
    </row>
    <row r="47" customFormat="false" ht="12.75" hidden="false" customHeight="false" outlineLevel="0" collapsed="false">
      <c r="A47" s="0"/>
      <c r="B47" s="0" t="s">
        <v>162</v>
      </c>
      <c r="C47" s="73" t="n">
        <f aca="false">C44*365*C45+(C46*365*C44*assumptions!C$32)</f>
        <v>0</v>
      </c>
      <c r="D47" s="73" t="n">
        <f aca="false">D44*365*D45+(D46*365*D44*assumptions!D$32)</f>
        <v>0</v>
      </c>
      <c r="E47" s="73" t="n">
        <f aca="false">E44*365*E45+(E46*365*E44*assumptions!E$32)</f>
        <v>0</v>
      </c>
      <c r="F47" s="73" t="n">
        <f aca="false">F44*365*F45+(F46*365*F44*assumptions!F$32)</f>
        <v>0</v>
      </c>
      <c r="G47" s="73" t="n">
        <f aca="false">G44*365*G45+(G46*365*G44*assumptions!G$32)</f>
        <v>0</v>
      </c>
      <c r="H47" s="73" t="n">
        <f aca="false">H44*365*H45+(H46*365*H44*assumptions!H$32)</f>
        <v>0</v>
      </c>
      <c r="I47" s="73" t="n">
        <f aca="false">I44*365*I45+(I46*365*I44*assumptions!I$32)</f>
        <v>0</v>
      </c>
      <c r="J47" s="73" t="n">
        <f aca="false">J44*365*J45+(J46*365*J44*assumptions!J$32)</f>
        <v>0</v>
      </c>
      <c r="K47" s="73" t="n">
        <f aca="false">K44*365*K45+(K46*365*K44*assumptions!K$32)</f>
        <v>0</v>
      </c>
      <c r="L47" s="73" t="n">
        <f aca="false">L44*365*L45+(L46*365*L44*assumptions!L$32)</f>
        <v>0</v>
      </c>
      <c r="M47" s="73" t="n">
        <f aca="false">M44*365*M45+(M46*365*M44*assumptions!M$32)</f>
        <v>0</v>
      </c>
      <c r="N47" s="73" t="n">
        <f aca="false">N44*365*N45+(N46*365*N44*assumptions!N$32)</f>
        <v>0</v>
      </c>
      <c r="O47" s="73" t="n">
        <f aca="false">O44*365*O45+(O46*365*O44*assumptions!O$32)</f>
        <v>0</v>
      </c>
      <c r="P47" s="73" t="n">
        <f aca="false">P44*365*P45+(P46*365*P44*assumptions!P$32)</f>
        <v>0</v>
      </c>
      <c r="Q47" s="73" t="n">
        <f aca="false">Q44*365*Q45+(Q46*365*Q44*assumptions!Q$32)</f>
        <v>0</v>
      </c>
      <c r="R47" s="73" t="n">
        <f aca="false">R44*365*R45+(R46*365*R44*assumptions!R$32)</f>
        <v>0</v>
      </c>
      <c r="S47" s="73" t="n">
        <f aca="false">S44*365*S45+(S46*365*S44*assumptions!S$32)</f>
        <v>0</v>
      </c>
      <c r="T47" s="73" t="n">
        <f aca="false">T44*365*T45+(T46*365*T44*assumptions!T$32)</f>
        <v>0</v>
      </c>
      <c r="U47" s="73" t="n">
        <f aca="false">U44*365*U45+(U46*365*U44*assumptions!U$32)</f>
        <v>0</v>
      </c>
      <c r="V47" s="73" t="n">
        <f aca="false">V44*365*V45+(V46*365*V44*assumptions!V$32)</f>
        <v>0</v>
      </c>
      <c r="W47" s="73" t="n">
        <f aca="false">W44*365*W45+(W46*365*W44*assumptions!W$32)</f>
        <v>0</v>
      </c>
      <c r="X47" s="73" t="n">
        <f aca="false">X44*365*X45+(X46*365*X44*assumptions!X$32)</f>
        <v>0</v>
      </c>
      <c r="Y47" s="73" t="n">
        <f aca="false">Y44*365*Y45+(Y46*365*Y44*assumptions!Y$32)</f>
        <v>0</v>
      </c>
      <c r="Z47" s="73" t="n">
        <f aca="false">Z44*365*Z45+(Z46*365*Z44*assumptions!Z$32)</f>
        <v>0</v>
      </c>
      <c r="AA47" s="73" t="n">
        <f aca="false">AA44*365*AA45+(AA46*365*AA44*assumptions!AA$32)</f>
        <v>0</v>
      </c>
      <c r="AB47" s="0" t="n">
        <f aca="false">SUM(C47:V47)</f>
        <v>0</v>
      </c>
    </row>
    <row r="48" customFormat="false" ht="12.75" hidden="false" customHeight="false" outlineLevel="0" collapsed="false">
      <c r="A48" s="0" t="s">
        <v>163</v>
      </c>
      <c r="B48" s="205" t="n">
        <v>0</v>
      </c>
      <c r="C48" s="0" t="n">
        <f aca="false">+C44*$B$12*assumptions!C$32*DCF!D$29</f>
        <v>0</v>
      </c>
      <c r="D48" s="0" t="n">
        <f aca="false">+D44*$B$12*assumptions!D$32*DCF!E$29</f>
        <v>0</v>
      </c>
      <c r="E48" s="0" t="n">
        <f aca="false">+E44*$B$12*assumptions!E$32*DCF!F$29</f>
        <v>0</v>
      </c>
      <c r="F48" s="0" t="n">
        <f aca="false">+F44*$B$12*assumptions!F$32*DCF!G$29</f>
        <v>0</v>
      </c>
      <c r="G48" s="0" t="n">
        <f aca="false">+G44*$B$12*assumptions!G$32*DCF!H$29</f>
        <v>0</v>
      </c>
      <c r="H48" s="0" t="n">
        <f aca="false">+H44*$B$12*assumptions!H$32*DCF!I$29</f>
        <v>0</v>
      </c>
      <c r="I48" s="0" t="n">
        <f aca="false">+I44*$B$12*assumptions!I$32*DCF!J$29</f>
        <v>0</v>
      </c>
      <c r="J48" s="0" t="n">
        <f aca="false">+J44*$B$12*assumptions!J$32*DCF!K$29</f>
        <v>0</v>
      </c>
      <c r="K48" s="0" t="n">
        <f aca="false">+K44*$B$12*assumptions!K$32*DCF!L$29</f>
        <v>0</v>
      </c>
      <c r="L48" s="0" t="n">
        <f aca="false">+L44*$B$12*assumptions!$L$32*DCF!M$29</f>
        <v>0</v>
      </c>
      <c r="M48" s="0" t="n">
        <f aca="false">+M44*$B$12*assumptions!$L$32*DCF!N$29</f>
        <v>0</v>
      </c>
      <c r="N48" s="0" t="n">
        <f aca="false">+N44*$B$12*assumptions!$L$32*DCF!O$29</f>
        <v>0</v>
      </c>
      <c r="O48" s="0" t="n">
        <f aca="false">+O44*$B$12*assumptions!$L$32*DCF!P$29</f>
        <v>0</v>
      </c>
      <c r="P48" s="0" t="n">
        <f aca="false">+P44*$B$12*assumptions!$L$32*DCF!Q$29</f>
        <v>0</v>
      </c>
      <c r="Q48" s="0" t="n">
        <f aca="false">+Q44*$B$12*assumptions!$L$32*DCF!R$29</f>
        <v>0</v>
      </c>
      <c r="R48" s="0" t="n">
        <f aca="false">+R44*$B$12*assumptions!$L$32*DCF!S$29</f>
        <v>0</v>
      </c>
      <c r="S48" s="0" t="n">
        <f aca="false">+S44*$B$12*assumptions!$L$32*DCF!T$29</f>
        <v>0</v>
      </c>
      <c r="T48" s="0" t="n">
        <f aca="false">+T44*$B$12*assumptions!$L$32*DCF!U$29</f>
        <v>0</v>
      </c>
      <c r="U48" s="0" t="n">
        <f aca="false">+U44*$B$12*assumptions!$L$32*DCF!V$29</f>
        <v>0</v>
      </c>
      <c r="V48" s="0" t="n">
        <f aca="false">+V44*$B$12*assumptions!$L$32*DCF!W$29</f>
        <v>0</v>
      </c>
      <c r="W48" s="0" t="n">
        <f aca="false">+W44*$B$12*assumptions!$L$32*DCF!X$29</f>
        <v>0</v>
      </c>
      <c r="X48" s="0" t="n">
        <f aca="false">+X44*$B$12*assumptions!$L$32*DCF!Y$29</f>
        <v>0</v>
      </c>
      <c r="Y48" s="0" t="n">
        <f aca="false">+Y44*$B$12*assumptions!$L$32*DCF!Z$29</f>
        <v>0</v>
      </c>
      <c r="Z48" s="0" t="n">
        <f aca="false">+Z44*$B$12*assumptions!$L$32*DCF!AA$29</f>
        <v>0</v>
      </c>
      <c r="AA48" s="0" t="n">
        <f aca="false">+AA44*$B$12*assumptions!$L$32*DCF!AB$29</f>
        <v>0</v>
      </c>
      <c r="AB48" s="0" t="n">
        <f aca="false">SUM(C48:V48)</f>
        <v>0</v>
      </c>
    </row>
    <row r="49" customFormat="false" ht="12.75" hidden="false" customHeight="false" outlineLevel="0" collapsed="false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</row>
    <row r="50" customFormat="false" ht="12.75" hidden="false" customHeight="false" outlineLevel="0" collapsed="false">
      <c r="A50" s="20"/>
      <c r="B50" s="0" t="s">
        <v>158</v>
      </c>
      <c r="C50" s="0" t="n">
        <v>0</v>
      </c>
      <c r="D50" s="0" t="n">
        <f aca="false">+C50</f>
        <v>0</v>
      </c>
      <c r="E50" s="0" t="n">
        <f aca="false">D50</f>
        <v>0</v>
      </c>
      <c r="F50" s="0" t="n">
        <f aca="false">E50</f>
        <v>0</v>
      </c>
      <c r="G50" s="0" t="n">
        <f aca="false">F50</f>
        <v>0</v>
      </c>
      <c r="H50" s="0" t="n">
        <f aca="false">+G50</f>
        <v>0</v>
      </c>
      <c r="I50" s="0" t="n">
        <f aca="false">+H50</f>
        <v>0</v>
      </c>
      <c r="J50" s="0" t="n">
        <f aca="false">+I50</f>
        <v>0</v>
      </c>
      <c r="K50" s="0" t="n">
        <f aca="false">+J50</f>
        <v>0</v>
      </c>
      <c r="L50" s="0" t="n">
        <f aca="false">+K50</f>
        <v>0</v>
      </c>
      <c r="M50" s="0" t="n">
        <f aca="false">+L50</f>
        <v>0</v>
      </c>
      <c r="N50" s="0" t="n">
        <f aca="false">+M50</f>
        <v>0</v>
      </c>
      <c r="O50" s="0" t="n">
        <f aca="false">+N50</f>
        <v>0</v>
      </c>
      <c r="P50" s="0" t="n">
        <f aca="false">+O50</f>
        <v>0</v>
      </c>
      <c r="Q50" s="0" t="n">
        <f aca="false">+P50</f>
        <v>0</v>
      </c>
      <c r="R50" s="0" t="n">
        <f aca="false">+Q50</f>
        <v>0</v>
      </c>
      <c r="S50" s="0" t="n">
        <f aca="false">+R50</f>
        <v>0</v>
      </c>
      <c r="T50" s="0" t="n">
        <f aca="false">+S50</f>
        <v>0</v>
      </c>
      <c r="U50" s="0" t="n">
        <f aca="false">+T50</f>
        <v>0</v>
      </c>
      <c r="V50" s="0" t="n">
        <f aca="false">+U50</f>
        <v>0</v>
      </c>
      <c r="W50" s="0" t="n">
        <f aca="false">+V50</f>
        <v>0</v>
      </c>
      <c r="X50" s="0" t="n">
        <f aca="false">+W50</f>
        <v>0</v>
      </c>
      <c r="Y50" s="0" t="n">
        <f aca="false">+X50</f>
        <v>0</v>
      </c>
      <c r="Z50" s="0" t="n">
        <f aca="false">+Y50</f>
        <v>0</v>
      </c>
      <c r="AA50" s="0" t="n">
        <f aca="false">+Z50</f>
        <v>0</v>
      </c>
      <c r="AB50" s="0" t="n">
        <f aca="false">SUM(C50:V50)</f>
        <v>0</v>
      </c>
    </row>
    <row r="51" customFormat="false" ht="12.75" hidden="false" customHeight="false" outlineLevel="0" collapsed="false">
      <c r="A51" s="0"/>
      <c r="B51" s="0" t="s">
        <v>165</v>
      </c>
      <c r="C51" s="203" t="n">
        <v>0</v>
      </c>
      <c r="D51" s="203" t="n">
        <f aca="false">+C51</f>
        <v>0</v>
      </c>
      <c r="E51" s="203" t="n">
        <f aca="false">+D51</f>
        <v>0</v>
      </c>
      <c r="F51" s="203" t="n">
        <f aca="false">+E51</f>
        <v>0</v>
      </c>
      <c r="G51" s="203" t="n">
        <f aca="false">+F51</f>
        <v>0</v>
      </c>
      <c r="H51" s="203" t="n">
        <f aca="false">+G51</f>
        <v>0</v>
      </c>
      <c r="I51" s="203" t="n">
        <f aca="false">+H51</f>
        <v>0</v>
      </c>
      <c r="J51" s="203" t="n">
        <f aca="false">+I51</f>
        <v>0</v>
      </c>
      <c r="K51" s="203" t="n">
        <f aca="false">+J51</f>
        <v>0</v>
      </c>
      <c r="L51" s="203" t="n">
        <f aca="false">+K51</f>
        <v>0</v>
      </c>
      <c r="M51" s="203" t="n">
        <f aca="false">+L51</f>
        <v>0</v>
      </c>
      <c r="N51" s="203" t="n">
        <f aca="false">+M51</f>
        <v>0</v>
      </c>
      <c r="O51" s="203" t="n">
        <f aca="false">+N51</f>
        <v>0</v>
      </c>
      <c r="P51" s="203" t="n">
        <f aca="false">+O51</f>
        <v>0</v>
      </c>
      <c r="Q51" s="203" t="n">
        <f aca="false">+P51</f>
        <v>0</v>
      </c>
      <c r="R51" s="203" t="n">
        <f aca="false">+Q51</f>
        <v>0</v>
      </c>
      <c r="S51" s="203" t="n">
        <f aca="false">+R51</f>
        <v>0</v>
      </c>
      <c r="T51" s="203" t="n">
        <f aca="false">+S51</f>
        <v>0</v>
      </c>
      <c r="U51" s="203" t="n">
        <f aca="false">+T51</f>
        <v>0</v>
      </c>
      <c r="V51" s="203" t="n">
        <f aca="false">+U51</f>
        <v>0</v>
      </c>
      <c r="W51" s="203" t="n">
        <f aca="false">+V51</f>
        <v>0</v>
      </c>
      <c r="X51" s="203" t="n">
        <f aca="false">+W51</f>
        <v>0</v>
      </c>
      <c r="Y51" s="203" t="n">
        <f aca="false">+X51</f>
        <v>0</v>
      </c>
      <c r="Z51" s="203" t="n">
        <f aca="false">+Y51</f>
        <v>0</v>
      </c>
      <c r="AA51" s="203" t="n">
        <f aca="false">+Z51</f>
        <v>0</v>
      </c>
      <c r="AB51" s="203"/>
    </row>
    <row r="52" customFormat="false" ht="12.75" hidden="false" customHeight="false" outlineLevel="0" collapsed="false">
      <c r="A52" s="0"/>
      <c r="B52" s="0" t="s">
        <v>168</v>
      </c>
      <c r="C52" s="202" t="n">
        <v>0</v>
      </c>
      <c r="D52" s="203" t="n">
        <f aca="false">+C52</f>
        <v>0</v>
      </c>
      <c r="E52" s="203" t="n">
        <f aca="false">+D52</f>
        <v>0</v>
      </c>
      <c r="F52" s="203" t="n">
        <f aca="false">+E52</f>
        <v>0</v>
      </c>
      <c r="G52" s="203" t="n">
        <f aca="false">+F52</f>
        <v>0</v>
      </c>
      <c r="H52" s="203" t="n">
        <f aca="false">+G52</f>
        <v>0</v>
      </c>
      <c r="I52" s="203" t="n">
        <f aca="false">+H52</f>
        <v>0</v>
      </c>
      <c r="J52" s="203" t="n">
        <f aca="false">+I52</f>
        <v>0</v>
      </c>
      <c r="K52" s="203" t="n">
        <f aca="false">+J52</f>
        <v>0</v>
      </c>
      <c r="L52" s="203" t="n">
        <f aca="false">+K52</f>
        <v>0</v>
      </c>
      <c r="M52" s="203" t="n">
        <f aca="false">+L52</f>
        <v>0</v>
      </c>
      <c r="N52" s="203" t="n">
        <f aca="false">+M52</f>
        <v>0</v>
      </c>
      <c r="O52" s="203" t="n">
        <f aca="false">+N52</f>
        <v>0</v>
      </c>
      <c r="P52" s="203" t="n">
        <f aca="false">+O52</f>
        <v>0</v>
      </c>
      <c r="Q52" s="203" t="n">
        <f aca="false">+P52</f>
        <v>0</v>
      </c>
      <c r="R52" s="203" t="n">
        <f aca="false">+Q52</f>
        <v>0</v>
      </c>
      <c r="S52" s="203" t="n">
        <f aca="false">+R52</f>
        <v>0</v>
      </c>
      <c r="T52" s="203" t="n">
        <f aca="false">+S52</f>
        <v>0</v>
      </c>
      <c r="U52" s="203" t="n">
        <f aca="false">+T52</f>
        <v>0</v>
      </c>
      <c r="V52" s="203" t="n">
        <f aca="false">+U52</f>
        <v>0</v>
      </c>
      <c r="W52" s="203" t="n">
        <f aca="false">+V52</f>
        <v>0</v>
      </c>
      <c r="X52" s="203" t="n">
        <f aca="false">+W52</f>
        <v>0</v>
      </c>
      <c r="Y52" s="203" t="n">
        <f aca="false">+X52</f>
        <v>0</v>
      </c>
      <c r="Z52" s="203" t="n">
        <f aca="false">+Y52</f>
        <v>0</v>
      </c>
      <c r="AA52" s="203" t="n">
        <f aca="false">+Z52</f>
        <v>0</v>
      </c>
      <c r="AB52" s="203"/>
    </row>
    <row r="53" customFormat="false" ht="12.75" hidden="false" customHeight="false" outlineLevel="0" collapsed="false">
      <c r="A53" s="0"/>
      <c r="B53" s="0" t="s">
        <v>162</v>
      </c>
      <c r="C53" s="73" t="n">
        <f aca="false">C50*365*C51+(C52*365*C50*assumptions!C$32)</f>
        <v>0</v>
      </c>
      <c r="D53" s="73" t="n">
        <f aca="false">D50*365*D51+(D52*365*D50*assumptions!D$32)</f>
        <v>0</v>
      </c>
      <c r="E53" s="73" t="n">
        <f aca="false">E50*365*E51+(E52*365*E50*assumptions!E$32)</f>
        <v>0</v>
      </c>
      <c r="F53" s="73" t="n">
        <f aca="false">F50*365*F51+(F52*365*F50*assumptions!F$32)</f>
        <v>0</v>
      </c>
      <c r="G53" s="73" t="n">
        <f aca="false">G50*365*G51+(G52*365*G50*assumptions!G$32)</f>
        <v>0</v>
      </c>
      <c r="H53" s="73" t="n">
        <f aca="false">H50*365*H51+(H52*365*H50*assumptions!H$32)</f>
        <v>0</v>
      </c>
      <c r="I53" s="73" t="n">
        <f aca="false">I50*365*I51+(I52*365*I50*assumptions!I$32)</f>
        <v>0</v>
      </c>
      <c r="J53" s="73" t="n">
        <f aca="false">J50*365*J51+(J52*365*J50*assumptions!J$32)</f>
        <v>0</v>
      </c>
      <c r="K53" s="73" t="n">
        <f aca="false">K50*365*K51+(K52*365*K50*assumptions!K$32)</f>
        <v>0</v>
      </c>
      <c r="L53" s="73" t="n">
        <f aca="false">L50*365*L51+(L52*365*L50*assumptions!L$32)</f>
        <v>0</v>
      </c>
      <c r="M53" s="73" t="n">
        <f aca="false">M50*365*M51+(M52*365*M50*assumptions!M$32)</f>
        <v>0</v>
      </c>
      <c r="N53" s="73" t="n">
        <f aca="false">N50*365*N51+(N52*365*N50*assumptions!N$32)</f>
        <v>0</v>
      </c>
      <c r="O53" s="73" t="n">
        <f aca="false">O50*365*O51+(O52*365*O50*assumptions!O$32)</f>
        <v>0</v>
      </c>
      <c r="P53" s="73" t="n">
        <f aca="false">P50*365*P51+(P52*365*P50*assumptions!P$32)</f>
        <v>0</v>
      </c>
      <c r="Q53" s="73" t="n">
        <f aca="false">Q50*365*Q51+(Q52*365*Q50*assumptions!Q$32)</f>
        <v>0</v>
      </c>
      <c r="R53" s="73" t="n">
        <f aca="false">R50*365*R51+(R52*365*R50*assumptions!R$32)</f>
        <v>0</v>
      </c>
      <c r="S53" s="73" t="n">
        <f aca="false">S50*365*S51+(S52*365*S50*assumptions!S$32)</f>
        <v>0</v>
      </c>
      <c r="T53" s="73" t="n">
        <f aca="false">T50*365*T51+(T52*365*T50*assumptions!T$32)</f>
        <v>0</v>
      </c>
      <c r="U53" s="73" t="n">
        <f aca="false">U50*365*U51+(U52*365*U50*assumptions!U$32)</f>
        <v>0</v>
      </c>
      <c r="V53" s="73" t="n">
        <f aca="false">V50*365*V51+(V52*365*V50*assumptions!V$32)</f>
        <v>0</v>
      </c>
      <c r="W53" s="73" t="n">
        <f aca="false">W50*365*W51+(W52*365*W50*assumptions!W$32)</f>
        <v>0</v>
      </c>
      <c r="X53" s="73" t="n">
        <f aca="false">X50*365*X51+(X52*365*X50*assumptions!X$32)</f>
        <v>0</v>
      </c>
      <c r="Y53" s="73" t="n">
        <f aca="false">Y50*365*Y51+(Y52*365*Y50*assumptions!Y$32)</f>
        <v>0</v>
      </c>
      <c r="Z53" s="73" t="n">
        <f aca="false">Z50*365*Z51+(Z52*365*Z50*assumptions!Z$32)</f>
        <v>0</v>
      </c>
      <c r="AA53" s="73" t="n">
        <f aca="false">AA50*365*AA51+(AA52*365*AA50*assumptions!AA$32)</f>
        <v>0</v>
      </c>
      <c r="AB53" s="0" t="n">
        <f aca="false">SUM(C53:V53)</f>
        <v>0</v>
      </c>
    </row>
    <row r="54" customFormat="false" ht="12.75" hidden="false" customHeight="false" outlineLevel="0" collapsed="false">
      <c r="A54" s="0" t="s">
        <v>163</v>
      </c>
      <c r="B54" s="205" t="n">
        <v>0</v>
      </c>
      <c r="C54" s="0" t="n">
        <f aca="false">+C50*$B$12*assumptions!C$32*DCF!D$29</f>
        <v>0</v>
      </c>
      <c r="D54" s="0" t="n">
        <f aca="false">+D50*$B$12*assumptions!D$32*DCF!E$29</f>
        <v>0</v>
      </c>
      <c r="E54" s="0" t="n">
        <f aca="false">+E50*$B$12*assumptions!E$32*DCF!F$29</f>
        <v>0</v>
      </c>
      <c r="F54" s="0" t="n">
        <f aca="false">+F50*$B$12*assumptions!F$32*DCF!G$29</f>
        <v>0</v>
      </c>
      <c r="G54" s="0" t="n">
        <f aca="false">+G50*$B$12*assumptions!G$32*DCF!H$29</f>
        <v>0</v>
      </c>
      <c r="H54" s="0" t="n">
        <f aca="false">+H50*$B$12*assumptions!H$32*DCF!I$29</f>
        <v>0</v>
      </c>
      <c r="I54" s="0" t="n">
        <f aca="false">+I50*$B$12*assumptions!I$32*DCF!J$29</f>
        <v>0</v>
      </c>
      <c r="J54" s="0" t="n">
        <f aca="false">+J50*$B$12*assumptions!J$32*DCF!K$29</f>
        <v>0</v>
      </c>
      <c r="K54" s="0" t="n">
        <f aca="false">+K50*$B$12*assumptions!K$32*DCF!L$29</f>
        <v>0</v>
      </c>
      <c r="L54" s="0" t="n">
        <f aca="false">+L50*$B$12*assumptions!$L$32*DCF!M$29</f>
        <v>0</v>
      </c>
      <c r="M54" s="0" t="n">
        <f aca="false">+M50*$B$12*assumptions!$L$32*DCF!N$29</f>
        <v>0</v>
      </c>
      <c r="N54" s="0" t="n">
        <f aca="false">+N50*$B$12*assumptions!$L$32*DCF!O$29</f>
        <v>0</v>
      </c>
      <c r="O54" s="0" t="n">
        <f aca="false">+O50*$B$12*assumptions!$L$32*DCF!P$29</f>
        <v>0</v>
      </c>
      <c r="P54" s="0" t="n">
        <f aca="false">+P50*$B$12*assumptions!$L$32*DCF!Q$29</f>
        <v>0</v>
      </c>
      <c r="Q54" s="0" t="n">
        <f aca="false">+Q50*$B$12*assumptions!$L$32*DCF!R$29</f>
        <v>0</v>
      </c>
      <c r="R54" s="0" t="n">
        <f aca="false">+R50*$B$12*assumptions!$L$32*DCF!S$29</f>
        <v>0</v>
      </c>
      <c r="S54" s="0" t="n">
        <f aca="false">+S50*$B$12*assumptions!$L$32*DCF!T$29</f>
        <v>0</v>
      </c>
      <c r="T54" s="0" t="n">
        <f aca="false">+T50*$B$12*assumptions!$L$32*DCF!U$29</f>
        <v>0</v>
      </c>
      <c r="U54" s="0" t="n">
        <f aca="false">+U50*$B$12*assumptions!$L$32*DCF!V$29</f>
        <v>0</v>
      </c>
      <c r="V54" s="0" t="n">
        <f aca="false">+V50*$B$12*assumptions!$L$32*DCF!W$29</f>
        <v>0</v>
      </c>
      <c r="W54" s="0" t="n">
        <f aca="false">+W50*$B$12*assumptions!$L$32*DCF!X$29</f>
        <v>0</v>
      </c>
      <c r="X54" s="0" t="n">
        <f aca="false">+X50*$B$12*assumptions!$L$32*DCF!Y$29</f>
        <v>0</v>
      </c>
      <c r="Y54" s="0" t="n">
        <f aca="false">+Y50*$B$12*assumptions!$L$32*DCF!Z$29</f>
        <v>0</v>
      </c>
      <c r="Z54" s="0" t="n">
        <f aca="false">+Z50*$B$12*assumptions!$L$32*DCF!AA$29</f>
        <v>0</v>
      </c>
      <c r="AA54" s="0" t="n">
        <f aca="false">+AA50*$B$12*assumptions!$L$32*DCF!AB$29</f>
        <v>0</v>
      </c>
      <c r="AB54" s="0" t="n">
        <f aca="false">SUM(C54:V54)</f>
        <v>0</v>
      </c>
    </row>
    <row r="55" customFormat="false" ht="12.75" hidden="false" customHeight="fals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</row>
    <row r="56" customFormat="false" ht="12.75" hidden="false" customHeight="false" outlineLevel="0" collapsed="false">
      <c r="A56" s="0" t="s">
        <v>169</v>
      </c>
      <c r="B56" s="0" t="s">
        <v>158</v>
      </c>
      <c r="C56" s="96" t="n">
        <f aca="false">+C50+C44+C38+C32+C26+C20+C14+C7</f>
        <v>240</v>
      </c>
      <c r="D56" s="96" t="n">
        <f aca="false">D7+D14+D20+D26+D32+D38+D50+D44</f>
        <v>240</v>
      </c>
      <c r="E56" s="96" t="n">
        <f aca="false">E7+E14+E20+E26+E32+E38+E50+E44</f>
        <v>240</v>
      </c>
      <c r="F56" s="96" t="n">
        <f aca="false">F7+F14+F20+F26+F32+F38+F50+F44</f>
        <v>240</v>
      </c>
      <c r="G56" s="96" t="n">
        <f aca="false">G7+G14+G20+G26+G32+G38+G50+G44</f>
        <v>240</v>
      </c>
      <c r="H56" s="96" t="n">
        <f aca="false">H7+H14+H20+H26+H32+H38+H50+H44</f>
        <v>240</v>
      </c>
      <c r="I56" s="96" t="n">
        <f aca="false">I7+I14+I20+I26+I32+I38+I50+I44</f>
        <v>240</v>
      </c>
      <c r="J56" s="96" t="n">
        <f aca="false">J7+J14+J20+J26+J32+J38+J50+J44</f>
        <v>240</v>
      </c>
      <c r="K56" s="96" t="n">
        <f aca="false">K7+K14+K20+K26+K32+K38+K50+K44</f>
        <v>240</v>
      </c>
      <c r="L56" s="96" t="n">
        <f aca="false">L7+L14+L20+L26+L32+L38+L50+L44</f>
        <v>240</v>
      </c>
      <c r="M56" s="96" t="n">
        <f aca="false">M7+M14+M20+M26+M32+M38+M50+M44</f>
        <v>240</v>
      </c>
      <c r="N56" s="96" t="n">
        <f aca="false">N7+N14+N20+N26+N32+N38+N50+N44</f>
        <v>240</v>
      </c>
      <c r="O56" s="96" t="n">
        <f aca="false">O7+O14+O20+O26+O32+O38+O50+O44</f>
        <v>240</v>
      </c>
      <c r="P56" s="96" t="n">
        <f aca="false">P7+P14+P20+P26+P32+P38+P50+P44</f>
        <v>240</v>
      </c>
      <c r="Q56" s="96" t="n">
        <f aca="false">Q7+Q14+Q20+Q26+Q32+Q38+Q50+Q44</f>
        <v>240</v>
      </c>
      <c r="R56" s="96" t="n">
        <f aca="false">R7+R14+R20+R26+R32+R38+R50+R44</f>
        <v>240</v>
      </c>
      <c r="S56" s="96" t="n">
        <f aca="false">S7+S14+S20+S26+S32+S38+S50+S44</f>
        <v>240</v>
      </c>
      <c r="T56" s="96" t="n">
        <f aca="false">T7+T14+T20+T26+T32+T38+T50+T44</f>
        <v>240</v>
      </c>
      <c r="U56" s="96" t="n">
        <f aca="false">U7+U14+U20+U26+U32+U38+U50+U44</f>
        <v>240</v>
      </c>
      <c r="V56" s="96" t="n">
        <f aca="false">V7+V14+V20+V26+V32+V38+V50+V44</f>
        <v>240</v>
      </c>
      <c r="W56" s="96" t="n">
        <f aca="false">W7+W14+W20+W26+W32+W38+W50+W44</f>
        <v>0</v>
      </c>
      <c r="X56" s="96" t="n">
        <f aca="false">X7+X14+X20+X26+X32+X38+X50+X44</f>
        <v>0</v>
      </c>
      <c r="Y56" s="96" t="n">
        <f aca="false">Y7+Y14+Y20+Y26+Y32+Y38+Y50+Y44</f>
        <v>0</v>
      </c>
      <c r="Z56" s="96" t="n">
        <f aca="false">Z7+Z14+Z20+Z26+Z32+Z38+Z50+Z44</f>
        <v>0</v>
      </c>
      <c r="AA56" s="96" t="n">
        <f aca="false">AA7+AA14+AA20+AA26+AA32+AA38+AA50+AA44</f>
        <v>0</v>
      </c>
      <c r="AB56" s="0" t="n">
        <f aca="false">SUM(C56:V56)</f>
        <v>4800</v>
      </c>
    </row>
    <row r="57" customFormat="false" ht="12.75" hidden="false" customHeight="false" outlineLevel="0" collapsed="false">
      <c r="A57" s="0"/>
      <c r="B57" s="0" t="s">
        <v>170</v>
      </c>
      <c r="C57" s="207" t="n">
        <f aca="false">C58/(C56*366)</f>
        <v>0.261</v>
      </c>
      <c r="D57" s="0" t="n">
        <f aca="false">D58/(D56*365)</f>
        <v>0.261</v>
      </c>
      <c r="E57" s="0" t="n">
        <f aca="false">E58/(E56*365)</f>
        <v>0.261</v>
      </c>
      <c r="F57" s="0" t="n">
        <f aca="false">F58/(F56*365)</f>
        <v>0.261</v>
      </c>
      <c r="G57" s="207" t="n">
        <f aca="false">G58/(G56*366)</f>
        <v>0.261</v>
      </c>
      <c r="H57" s="0" t="n">
        <f aca="false">H58/(H56*365)</f>
        <v>0.261</v>
      </c>
      <c r="I57" s="0" t="n">
        <f aca="false">I58/(I56*365)</f>
        <v>0.261</v>
      </c>
      <c r="J57" s="0" t="n">
        <f aca="false">J58/(J56*365)</f>
        <v>0.261</v>
      </c>
      <c r="K57" s="0" t="n">
        <f aca="false">K58/(K56*365)</f>
        <v>0.261715068493151</v>
      </c>
      <c r="L57" s="0" t="n">
        <f aca="false">L58/(L56*365)</f>
        <v>0.261</v>
      </c>
      <c r="M57" s="0" t="n">
        <f aca="false">M58/(M56*365)</f>
        <v>0.261</v>
      </c>
      <c r="N57" s="0" t="n">
        <f aca="false">N58/(N56*365)</f>
        <v>0.261</v>
      </c>
      <c r="O57" s="0" t="n">
        <f aca="false">O58/(O56*365)</f>
        <v>0.261715068493151</v>
      </c>
      <c r="P57" s="0" t="n">
        <f aca="false">P58/(P56*365)</f>
        <v>0.261</v>
      </c>
      <c r="Q57" s="0" t="n">
        <f aca="false">Q58/(Q56*365)</f>
        <v>0.261</v>
      </c>
      <c r="R57" s="0" t="n">
        <f aca="false">R58/(R56*365)</f>
        <v>0.261</v>
      </c>
      <c r="S57" s="0" t="n">
        <f aca="false">S58/(S56*365)</f>
        <v>0.261715068493151</v>
      </c>
      <c r="T57" s="0" t="n">
        <f aca="false">T58/(T56*365)</f>
        <v>0.261</v>
      </c>
      <c r="U57" s="0" t="n">
        <f aca="false">U58/(U56*365)</f>
        <v>0.261</v>
      </c>
      <c r="V57" s="0" t="n">
        <f aca="false">V58/(V56*365)</f>
        <v>0.261</v>
      </c>
      <c r="W57" s="0" t="e">
        <f aca="false">W58/(W56*365)</f>
        <v>#DIV/0!</v>
      </c>
      <c r="X57" s="0" t="e">
        <f aca="false">X58/(X56*365)</f>
        <v>#DIV/0!</v>
      </c>
      <c r="Y57" s="0" t="e">
        <f aca="false">Y58/(Y56*365)</f>
        <v>#DIV/0!</v>
      </c>
      <c r="Z57" s="0" t="e">
        <f aca="false">Z58/(Z56*365)</f>
        <v>#DIV/0!</v>
      </c>
      <c r="AA57" s="0" t="e">
        <f aca="false">AA58/(AA56*365)</f>
        <v>#DIV/0!</v>
      </c>
      <c r="AB57" s="0" t="n">
        <f aca="false">AB58/(AB56*365)</f>
        <v>0.261178767123288</v>
      </c>
    </row>
    <row r="58" customFormat="false" ht="12.75" hidden="false" customHeight="false" outlineLevel="0" collapsed="false">
      <c r="A58" s="0"/>
      <c r="B58" s="0" t="s">
        <v>162</v>
      </c>
      <c r="C58" s="208" t="n">
        <f aca="false">C11+C17+C23+C29+C35+C41+C47+C53</f>
        <v>22926.24</v>
      </c>
      <c r="D58" s="208" t="n">
        <f aca="false">D11+D17+D23+D29+D35+D41+D47+D53</f>
        <v>22863.6</v>
      </c>
      <c r="E58" s="208" t="n">
        <f aca="false">E11+E17+E23+E29+E35+E41+E47+E53</f>
        <v>22863.6</v>
      </c>
      <c r="F58" s="208" t="n">
        <f aca="false">F11+F17+F23+F29+F35+F41+F47+F53</f>
        <v>22863.6</v>
      </c>
      <c r="G58" s="208" t="n">
        <f aca="false">G11+G17+G23+G29+G35+G41+G47+G53</f>
        <v>22926.24</v>
      </c>
      <c r="H58" s="208" t="n">
        <f aca="false">H11+H17+H23+H29+H35+H41+H47+H53</f>
        <v>22863.6</v>
      </c>
      <c r="I58" s="208" t="n">
        <f aca="false">I11+I17+I23+I29+I35+I41+I47+I53</f>
        <v>22863.6</v>
      </c>
      <c r="J58" s="208" t="n">
        <f aca="false">J11+J17+J23+J29+J35+J41+J47+J53</f>
        <v>22863.6</v>
      </c>
      <c r="K58" s="208" t="n">
        <f aca="false">K11+K17+K23+K29+K35+K41+K47+K53</f>
        <v>22926.24</v>
      </c>
      <c r="L58" s="208" t="n">
        <f aca="false">L11+L17+L23+L29+L35+L41+L47+L53</f>
        <v>22863.6</v>
      </c>
      <c r="M58" s="208" t="n">
        <f aca="false">M11+M17+M23+M29+M35+M41+M47+M53</f>
        <v>22863.6</v>
      </c>
      <c r="N58" s="208" t="n">
        <f aca="false">N11+N17+N23+N29+N35+N41+N47+N53</f>
        <v>22863.6</v>
      </c>
      <c r="O58" s="208" t="n">
        <f aca="false">O11+O17+O23+O29+O35+O41+O47+O53</f>
        <v>22926.24</v>
      </c>
      <c r="P58" s="208" t="n">
        <f aca="false">P11+P17+P23+P29+P35+P41+P47+P53</f>
        <v>22863.6</v>
      </c>
      <c r="Q58" s="208" t="n">
        <f aca="false">Q11+Q17+Q23+Q29+Q35+Q41+Q47+Q53</f>
        <v>22863.6</v>
      </c>
      <c r="R58" s="208" t="n">
        <f aca="false">R11+R17+R23+R29+R35+R41+R47+R53</f>
        <v>22863.6</v>
      </c>
      <c r="S58" s="208" t="n">
        <f aca="false">S11+S17+S23+S29+S35+S41+S47+S53</f>
        <v>22926.24</v>
      </c>
      <c r="T58" s="208" t="n">
        <f aca="false">T11+T17+T23+T29+T35+T41+T47+T53</f>
        <v>22863.6</v>
      </c>
      <c r="U58" s="208" t="n">
        <f aca="false">U11+U17+U23+U29+U35+U41+U47+U53</f>
        <v>22863.6</v>
      </c>
      <c r="V58" s="208" t="n">
        <f aca="false">V11+V17+V23+V29+V35+V41+V47+V53</f>
        <v>22863.6</v>
      </c>
      <c r="W58" s="208" t="n">
        <f aca="false">W11+W17+W23+W29+W35+W41+W47+W53</f>
        <v>0</v>
      </c>
      <c r="X58" s="208" t="n">
        <f aca="false">X11+X17+X23+X29+X35+X41+X47+X53</f>
        <v>0</v>
      </c>
      <c r="Y58" s="208" t="n">
        <f aca="false">Y11+Y17+Y23+Y29+Y35+Y41+Y47+Y53</f>
        <v>0</v>
      </c>
      <c r="Z58" s="208" t="n">
        <f aca="false">Z11+Z17+Z23+Z29+Z35+Z41+Z47+Z53</f>
        <v>0</v>
      </c>
      <c r="AA58" s="208" t="n">
        <f aca="false">AA11+AA17+AA23+AA29+AA35+AA41+AA47+AA53</f>
        <v>0</v>
      </c>
      <c r="AB58" s="0" t="n">
        <f aca="false">SUM(C58:V58)</f>
        <v>457585.2</v>
      </c>
      <c r="AC58" s="209"/>
      <c r="AD58" s="209"/>
      <c r="AE58" s="209"/>
      <c r="AF58" s="209"/>
      <c r="AG58" s="209"/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</row>
    <row r="59" customFormat="false" ht="12.75" hidden="false" customHeight="false" outlineLevel="0" collapsed="false">
      <c r="A59" s="0" t="s">
        <v>163</v>
      </c>
      <c r="B59" s="205"/>
      <c r="C59" s="210" t="n">
        <f aca="false">C12+C18+C24+C30+C36+C42+C48+C54</f>
        <v>1.62</v>
      </c>
      <c r="D59" s="210" t="n">
        <f aca="false">D12+D18+D24+D30+D36+D42+D48+D54</f>
        <v>1.62</v>
      </c>
      <c r="E59" s="210" t="n">
        <f aca="false">E12+E18+E24+E30+E36+E42+E48+E54</f>
        <v>1.62</v>
      </c>
      <c r="F59" s="210" t="n">
        <f aca="false">F12+F18+F24+F30+F36+F42+F48+F54</f>
        <v>1.62</v>
      </c>
      <c r="G59" s="210" t="n">
        <f aca="false">G12+G18+G24+G30+G36+G42+G48+G54</f>
        <v>1.62</v>
      </c>
      <c r="H59" s="210" t="n">
        <f aca="false">H12+H18+H24+H30+H36+H42+H48+H54</f>
        <v>1.62</v>
      </c>
      <c r="I59" s="210" t="n">
        <f aca="false">I12+I18+I24+I30+I36+I42+I48+I54</f>
        <v>1.62</v>
      </c>
      <c r="J59" s="210" t="n">
        <f aca="false">J12+J18+J24+J30+J36+J42+J48+J54</f>
        <v>1.62</v>
      </c>
      <c r="K59" s="210" t="n">
        <f aca="false">K12+K18+K24+K30+K36+K42+K48+K54</f>
        <v>1.62</v>
      </c>
      <c r="L59" s="210" t="n">
        <f aca="false">L12+L18+L24+L30+L36+L42+L48+L54</f>
        <v>1.62</v>
      </c>
      <c r="M59" s="210" t="n">
        <f aca="false">M12+M18+M24+M30+M36+M42+M48+M54</f>
        <v>1.62</v>
      </c>
      <c r="N59" s="210" t="n">
        <f aca="false">N12+N18+N24+N30+N36+N42+N48+N54</f>
        <v>1.62</v>
      </c>
      <c r="O59" s="210" t="n">
        <f aca="false">O12+O18+O24+O30+O36+O42+O48+O54</f>
        <v>1.62</v>
      </c>
      <c r="P59" s="210" t="n">
        <f aca="false">P12+P18+P24+P30+P36+P42+P48+P54</f>
        <v>1.62</v>
      </c>
      <c r="Q59" s="210" t="n">
        <f aca="false">Q12+Q18+Q24+Q30+Q36+Q42+Q48+Q54</f>
        <v>1.62</v>
      </c>
      <c r="R59" s="210" t="n">
        <f aca="false">R12+R18+R24+R30+R36+R42+R48+R54</f>
        <v>1.62</v>
      </c>
      <c r="S59" s="210" t="n">
        <f aca="false">S12+S18+S24+S30+S36+S42+S48+S54</f>
        <v>1.62</v>
      </c>
      <c r="T59" s="210" t="n">
        <f aca="false">T12+T18+T24+T30+T36+T42+T48+T54</f>
        <v>1.62</v>
      </c>
      <c r="U59" s="210" t="n">
        <f aca="false">U12+U18+U24+U30+U36+U42+U48+U54</f>
        <v>1.62</v>
      </c>
      <c r="V59" s="210" t="n">
        <f aca="false">V12+V18+V24+V30+V36+V42+V48+V54</f>
        <v>1.62</v>
      </c>
      <c r="W59" s="210" t="n">
        <f aca="false">W12+W18+W24+W30+W36+W42+W48+W54</f>
        <v>0</v>
      </c>
      <c r="X59" s="210" t="n">
        <f aca="false">X12+X18+X24+X30+X36+X42+X48+X54</f>
        <v>0</v>
      </c>
      <c r="Y59" s="210" t="n">
        <f aca="false">Y12+Y18+Y24+Y30+Y36+Y42+Y48+Y54</f>
        <v>0</v>
      </c>
      <c r="Z59" s="210" t="n">
        <f aca="false">Z12+Z18+Z24+Z30+Z36+Z42+Z48+Z54</f>
        <v>0</v>
      </c>
      <c r="AA59" s="210" t="n">
        <f aca="false">AA12+AA18+AA24+AA30+AA36+AA42+AA48+AA54</f>
        <v>0</v>
      </c>
      <c r="AB59" s="0" t="n">
        <f aca="false">AB12+AB18+AB24+AB30+AB36+AB42+AB54</f>
        <v>32.4</v>
      </c>
    </row>
    <row r="61" customFormat="false" ht="12.75" hidden="false" customHeight="false" outlineLevel="0" collapsed="false">
      <c r="A61" s="24" t="s">
        <v>171</v>
      </c>
      <c r="C61" s="209" t="n">
        <f aca="false">(+C59*365)*assumptions!C35</f>
        <v>1760.0899198648</v>
      </c>
      <c r="D61" s="209" t="n">
        <f aca="false">(+D59*365)*assumptions!D35</f>
        <v>1798.22106689143</v>
      </c>
      <c r="E61" s="209" t="n">
        <f aca="false">+D61</f>
        <v>1798.22106689143</v>
      </c>
      <c r="F61" s="209" t="n">
        <f aca="false">+E61</f>
        <v>1798.22106689143</v>
      </c>
      <c r="G61" s="209" t="n">
        <f aca="false">+F61</f>
        <v>1798.22106689143</v>
      </c>
      <c r="H61" s="209" t="n">
        <f aca="false">+G61</f>
        <v>1798.22106689143</v>
      </c>
      <c r="I61" s="209" t="n">
        <f aca="false">+H61</f>
        <v>1798.22106689143</v>
      </c>
      <c r="J61" s="209" t="n">
        <f aca="false">+I61</f>
        <v>1798.22106689143</v>
      </c>
      <c r="K61" s="209" t="n">
        <f aca="false">+J61</f>
        <v>1798.22106689143</v>
      </c>
      <c r="L61" s="209" t="n">
        <f aca="false">+K61</f>
        <v>1798.22106689143</v>
      </c>
      <c r="M61" s="209" t="n">
        <f aca="false">+L61</f>
        <v>1798.22106689143</v>
      </c>
      <c r="N61" s="209" t="n">
        <f aca="false">+M61</f>
        <v>1798.22106689143</v>
      </c>
      <c r="O61" s="209" t="n">
        <f aca="false">+N61</f>
        <v>1798.22106689143</v>
      </c>
      <c r="P61" s="209" t="n">
        <f aca="false">+O61</f>
        <v>1798.22106689143</v>
      </c>
      <c r="Q61" s="209" t="n">
        <f aca="false">+P61</f>
        <v>1798.22106689143</v>
      </c>
      <c r="R61" s="209" t="n">
        <f aca="false">+Q61</f>
        <v>1798.22106689143</v>
      </c>
      <c r="S61" s="209" t="n">
        <f aca="false">+R61</f>
        <v>1798.22106689143</v>
      </c>
      <c r="T61" s="209" t="n">
        <f aca="false">+S61</f>
        <v>1798.22106689143</v>
      </c>
      <c r="U61" s="209" t="n">
        <f aca="false">+T61</f>
        <v>1798.22106689143</v>
      </c>
      <c r="V61" s="209" t="n">
        <f aca="false">+U61</f>
        <v>1798.22106689143</v>
      </c>
      <c r="W61" s="209" t="n">
        <f aca="false">+V61</f>
        <v>1798.22106689143</v>
      </c>
      <c r="X61" s="209" t="n">
        <f aca="false">+W61</f>
        <v>1798.22106689143</v>
      </c>
      <c r="Y61" s="209" t="n">
        <f aca="false">+X61</f>
        <v>1798.22106689143</v>
      </c>
      <c r="Z61" s="209" t="n">
        <f aca="false">+Y61</f>
        <v>1798.22106689143</v>
      </c>
      <c r="AA61" s="209" t="n">
        <f aca="false">+Z61</f>
        <v>1798.22106689143</v>
      </c>
      <c r="AB61" s="211" t="n">
        <f aca="false">SUM(C61:Q61)</f>
        <v>26935.1848563449</v>
      </c>
    </row>
    <row r="63" customFormat="false" ht="12.75" hidden="false" customHeight="fals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</row>
    <row r="85" customFormat="false" ht="12.75" hidden="false" customHeight="false" outlineLevel="0" collapsed="false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</row>
    <row r="86" customFormat="false" ht="12.75" hidden="false" customHeight="false" outlineLevel="0" collapsed="false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</row>
    <row r="92" customFormat="false" ht="12.75" hidden="false" customHeight="false" outlineLevel="0" collapsed="false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</row>
    <row r="93" customFormat="false" ht="12.75" hidden="false" customHeight="false" outlineLevel="0" collapsed="false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</row>
    <row r="94" customFormat="false" ht="12.75" hidden="false" customHeight="false" outlineLevel="0" collapsed="false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</row>
    <row r="95" customFormat="false" ht="12.75" hidden="false" customHeight="false" outlineLevel="0" collapsed="false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</row>
    <row r="96" customFormat="false" ht="12.75" hidden="false" customHeight="false" outlineLevel="0" collapsed="false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</row>
    <row r="97" customFormat="false" ht="12.75" hidden="false" customHeight="false" outlineLevel="0" collapsed="false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</row>
    <row r="98" customFormat="false" ht="12.75" hidden="false" customHeight="false" outlineLevel="0" collapsed="false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</row>
    <row r="99" customFormat="false" ht="12.75" hidden="false" customHeight="false" outlineLevel="0" collapsed="false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</row>
    <row r="100" customFormat="false" ht="12.75" hidden="false" customHeight="false" outlineLevel="0" collapsed="false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</row>
    <row r="101" customFormat="false" ht="12.75" hidden="false" customHeight="false" outlineLevel="0" collapsed="false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</row>
    <row r="102" customFormat="false" ht="12.75" hidden="false" customHeight="false" outlineLevel="0" collapsed="false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</row>
    <row r="103" customFormat="false" ht="12.75" hidden="false" customHeight="false" outlineLevel="0" collapsed="false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</row>
    <row r="104" customFormat="false" ht="12.75" hidden="false" customHeight="false" outlineLevel="0" collapsed="false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  <c r="IW104" s="0"/>
    </row>
    <row r="105" customFormat="false" ht="12.75" hidden="false" customHeight="false" outlineLevel="0" collapsed="false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</row>
    <row r="106" customFormat="false" ht="12.75" hidden="false" customHeight="false" outlineLevel="0" collapsed="false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</row>
    <row r="107" customFormat="false" ht="12.75" hidden="false" customHeight="false" outlineLevel="0" collapsed="false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</row>
    <row r="108" customFormat="false" ht="12.75" hidden="false" customHeight="false" outlineLevel="0" collapsed="false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</row>
    <row r="109" customFormat="false" ht="12.75" hidden="false" customHeight="false" outlineLevel="0" collapsed="false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</row>
    <row r="110" customFormat="false" ht="12.75" hidden="false" customHeight="false" outlineLevel="0" collapsed="false">
      <c r="A110" s="0"/>
      <c r="B110" s="0"/>
      <c r="C110" s="0"/>
      <c r="D110" s="0"/>
      <c r="E110" s="0"/>
      <c r="F110" s="0"/>
      <c r="G110" s="0"/>
      <c r="H110" s="0"/>
      <c r="I110" s="0"/>
      <c r="J110" s="0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</row>
    <row r="111" customFormat="false" ht="12.75" hidden="false" customHeight="false" outlineLevel="0" collapsed="false">
      <c r="A111" s="0"/>
      <c r="B111" s="0"/>
      <c r="C111" s="0"/>
      <c r="D111" s="0"/>
      <c r="E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</row>
    <row r="112" customFormat="false" ht="12.75" hidden="false" customHeight="false" outlineLevel="0" collapsed="false">
      <c r="A112" s="0"/>
      <c r="B112" s="0"/>
      <c r="C112" s="0"/>
      <c r="D112" s="0"/>
      <c r="E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</row>
    <row r="113" customFormat="false" ht="12.75" hidden="false" customHeight="false" outlineLevel="0" collapsed="false">
      <c r="A113" s="0"/>
      <c r="B113" s="0"/>
      <c r="C113" s="0"/>
      <c r="D113" s="0"/>
      <c r="E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</row>
    <row r="114" customFormat="false" ht="12.75" hidden="false" customHeight="false" outlineLevel="0" collapsed="false">
      <c r="A114" s="0"/>
      <c r="B114" s="0"/>
      <c r="C114" s="0"/>
      <c r="D114" s="0"/>
      <c r="E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  <c r="IW114" s="0"/>
    </row>
    <row r="115" customFormat="false" ht="12.75" hidden="false" customHeight="false" outlineLevel="0" collapsed="false">
      <c r="A115" s="0"/>
      <c r="B115" s="0"/>
      <c r="C115" s="0"/>
      <c r="D115" s="0"/>
      <c r="E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  <c r="IW115" s="0"/>
    </row>
    <row r="116" customFormat="false" ht="12.75" hidden="false" customHeight="false" outlineLevel="0" collapsed="false">
      <c r="A116" s="0"/>
      <c r="B116" s="0"/>
      <c r="C116" s="0"/>
      <c r="D116" s="0"/>
      <c r="E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</row>
    <row r="117" customFormat="false" ht="12.75" hidden="false" customHeight="false" outlineLevel="0" collapsed="false">
      <c r="A117" s="0"/>
      <c r="B117" s="0"/>
      <c r="C117" s="0"/>
      <c r="D117" s="0"/>
      <c r="E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</row>
    <row r="118" customFormat="false" ht="12.75" hidden="false" customHeight="false" outlineLevel="0" collapsed="false">
      <c r="A118" s="0"/>
      <c r="B118" s="0"/>
      <c r="C118" s="0"/>
      <c r="D118" s="0"/>
      <c r="E118" s="0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</row>
    <row r="119" customFormat="false" ht="12.75" hidden="false" customHeight="false" outlineLevel="0" collapsed="false">
      <c r="A119" s="0"/>
      <c r="B119" s="0"/>
      <c r="C119" s="0"/>
      <c r="D119" s="0"/>
      <c r="E119" s="0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</row>
    <row r="120" customFormat="false" ht="12.75" hidden="false" customHeight="false" outlineLevel="0" collapsed="false">
      <c r="A120" s="0"/>
      <c r="B120" s="0"/>
      <c r="C120" s="0"/>
      <c r="D120" s="0"/>
      <c r="E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</row>
    <row r="121" customFormat="false" ht="12.75" hidden="false" customHeight="false" outlineLevel="0" collapsed="false">
      <c r="A121" s="0"/>
      <c r="B121" s="0"/>
      <c r="C121" s="0"/>
      <c r="D121" s="0"/>
      <c r="E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</row>
    <row r="122" customFormat="false" ht="12.75" hidden="false" customHeight="false" outlineLevel="0" collapsed="false">
      <c r="A122" s="0"/>
      <c r="B122" s="0"/>
      <c r="C122" s="0"/>
      <c r="D122" s="0"/>
      <c r="E122" s="0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</row>
    <row r="123" customFormat="false" ht="12.75" hidden="false" customHeight="false" outlineLevel="0" collapsed="false">
      <c r="A123" s="0"/>
      <c r="B123" s="0"/>
      <c r="C123" s="0"/>
      <c r="D123" s="0"/>
      <c r="E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</row>
    <row r="124" customFormat="false" ht="12.75" hidden="false" customHeight="false" outlineLevel="0" collapsed="false">
      <c r="A124" s="0"/>
      <c r="B124" s="0"/>
      <c r="C124" s="0"/>
      <c r="D124" s="0"/>
      <c r="E124" s="0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</row>
    <row r="125" customFormat="false" ht="12.75" hidden="false" customHeight="false" outlineLevel="0" collapsed="false">
      <c r="A125" s="0"/>
      <c r="B125" s="0"/>
      <c r="C125" s="0"/>
      <c r="D125" s="0"/>
      <c r="E125" s="0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</row>
    <row r="126" customFormat="false" ht="12.75" hidden="false" customHeight="false" outlineLevel="0" collapsed="false">
      <c r="A126" s="0"/>
      <c r="B126" s="0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</row>
    <row r="127" customFormat="false" ht="12.75" hidden="false" customHeight="false" outlineLevel="0" collapsed="false">
      <c r="A127" s="0"/>
      <c r="B127" s="0"/>
      <c r="C127" s="0"/>
      <c r="D127" s="0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</row>
    <row r="128" customFormat="false" ht="12.75" hidden="false" customHeight="false" outlineLevel="0" collapsed="false">
      <c r="A128" s="0"/>
      <c r="B128" s="0"/>
      <c r="C128" s="0"/>
      <c r="D128" s="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</row>
    <row r="129" customFormat="false" ht="12.75" hidden="false" customHeight="false" outlineLevel="0" collapsed="false">
      <c r="A129" s="0"/>
      <c r="B129" s="0"/>
      <c r="C129" s="0"/>
      <c r="D129" s="0"/>
      <c r="E129" s="0"/>
      <c r="F129" s="0"/>
      <c r="G129" s="0"/>
      <c r="H129" s="0"/>
      <c r="I129" s="0"/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</row>
    <row r="130" customFormat="false" ht="12.75" hidden="false" customHeight="false" outlineLevel="0" collapsed="false">
      <c r="A130" s="0"/>
      <c r="B130" s="0"/>
      <c r="C130" s="0"/>
      <c r="D130" s="0"/>
      <c r="E130" s="0"/>
      <c r="F130" s="0"/>
      <c r="G130" s="0"/>
      <c r="H130" s="0"/>
      <c r="I130" s="0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</row>
    <row r="131" customFormat="false" ht="12.75" hidden="false" customHeight="false" outlineLevel="0" collapsed="false">
      <c r="A131" s="0"/>
      <c r="B131" s="0"/>
      <c r="C131" s="0"/>
      <c r="D131" s="0"/>
      <c r="E131" s="0"/>
      <c r="F131" s="0"/>
      <c r="G131" s="0"/>
      <c r="H131" s="0"/>
      <c r="I131" s="0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</row>
    <row r="132" customFormat="false" ht="12.75" hidden="false" customHeight="false" outlineLevel="0" collapsed="false">
      <c r="A132" s="0"/>
      <c r="B132" s="0"/>
      <c r="C132" s="0"/>
      <c r="D132" s="0"/>
      <c r="E132" s="0"/>
      <c r="F132" s="0"/>
      <c r="G132" s="0"/>
      <c r="H132" s="0"/>
      <c r="I132" s="0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</row>
    <row r="133" customFormat="false" ht="12.75" hidden="false" customHeight="false" outlineLevel="0" collapsed="false">
      <c r="A133" s="0"/>
      <c r="B133" s="0"/>
      <c r="C133" s="0"/>
      <c r="D133" s="0"/>
      <c r="E133" s="0"/>
      <c r="F133" s="0"/>
      <c r="G133" s="0"/>
      <c r="H133" s="0"/>
      <c r="I133" s="0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</row>
    <row r="134" customFormat="false" ht="12.75" hidden="false" customHeight="false" outlineLevel="0" collapsed="false">
      <c r="A134" s="0"/>
      <c r="B134" s="0"/>
      <c r="C134" s="0"/>
      <c r="D134" s="0"/>
      <c r="E134" s="0"/>
      <c r="F134" s="0"/>
      <c r="G134" s="0"/>
      <c r="H134" s="0"/>
      <c r="I134" s="0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  <c r="IW134" s="0"/>
    </row>
    <row r="135" customFormat="false" ht="12.75" hidden="false" customHeight="false" outlineLevel="0" collapsed="false">
      <c r="A135" s="0"/>
      <c r="B135" s="0"/>
      <c r="C135" s="0"/>
      <c r="D135" s="0"/>
      <c r="E135" s="0"/>
      <c r="F135" s="0"/>
      <c r="G135" s="0"/>
      <c r="H135" s="0"/>
      <c r="I135" s="0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  <c r="IW135" s="0"/>
    </row>
    <row r="136" customFormat="false" ht="12.75" hidden="false" customHeight="false" outlineLevel="0" collapsed="false">
      <c r="A136" s="0"/>
      <c r="B136" s="0"/>
      <c r="C136" s="0"/>
      <c r="D136" s="0"/>
      <c r="E136" s="0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</row>
    <row r="137" customFormat="false" ht="12.75" hidden="false" customHeight="false" outlineLevel="0" collapsed="false">
      <c r="A137" s="0"/>
      <c r="B137" s="0"/>
      <c r="C137" s="0"/>
      <c r="D137" s="0"/>
      <c r="E137" s="0"/>
      <c r="F137" s="0"/>
      <c r="G137" s="0"/>
      <c r="H137" s="0"/>
      <c r="I137" s="0"/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</row>
    <row r="138" customFormat="false" ht="12.75" hidden="false" customHeight="false" outlineLevel="0" collapsed="false">
      <c r="A138" s="0"/>
      <c r="B138" s="0"/>
      <c r="C138" s="0"/>
      <c r="D138" s="0"/>
      <c r="E138" s="0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  <c r="IW138" s="0"/>
    </row>
    <row r="139" customFormat="false" ht="12.75" hidden="false" customHeight="false" outlineLevel="0" collapsed="false">
      <c r="A139" s="0"/>
      <c r="B139" s="0"/>
      <c r="C139" s="0"/>
      <c r="D139" s="0"/>
      <c r="E139" s="0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  <c r="IW139" s="0"/>
    </row>
    <row r="140" customFormat="false" ht="12.75" hidden="false" customHeight="false" outlineLevel="0" collapsed="false">
      <c r="A140" s="0"/>
      <c r="B140" s="0"/>
      <c r="C140" s="0"/>
      <c r="D140" s="0"/>
      <c r="E140" s="0"/>
      <c r="F140" s="0"/>
      <c r="G140" s="0"/>
      <c r="H140" s="0"/>
      <c r="I140" s="0"/>
      <c r="J140" s="0"/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</row>
    <row r="141" customFormat="false" ht="12.75" hidden="false" customHeight="false" outlineLevel="0" collapsed="false">
      <c r="A141" s="0"/>
      <c r="B141" s="0"/>
      <c r="C141" s="0"/>
      <c r="D141" s="0"/>
      <c r="E141" s="0"/>
      <c r="F141" s="0"/>
      <c r="G141" s="0"/>
      <c r="H141" s="0"/>
      <c r="I141" s="0"/>
      <c r="J141" s="0"/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</row>
    <row r="142" customFormat="false" ht="12.75" hidden="false" customHeight="false" outlineLevel="0" collapsed="false">
      <c r="A142" s="0"/>
      <c r="B142" s="0"/>
      <c r="C142" s="0"/>
      <c r="D142" s="0"/>
      <c r="E142" s="0"/>
      <c r="F142" s="0"/>
      <c r="G142" s="0"/>
      <c r="H142" s="0"/>
      <c r="I142" s="0"/>
      <c r="J142" s="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  <c r="IW142" s="0"/>
    </row>
    <row r="143" customFormat="false" ht="12.75" hidden="false" customHeight="false" outlineLevel="0" collapsed="false">
      <c r="A143" s="0"/>
      <c r="B143" s="0"/>
      <c r="C143" s="0"/>
      <c r="D143" s="0"/>
      <c r="E143" s="0"/>
      <c r="F143" s="0"/>
      <c r="G143" s="0"/>
      <c r="H143" s="0"/>
      <c r="I143" s="0"/>
      <c r="J143" s="0"/>
      <c r="K143" s="0"/>
      <c r="L143" s="0"/>
      <c r="M143" s="0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  <c r="IU143" s="0"/>
      <c r="IV143" s="0"/>
      <c r="IW143" s="0"/>
    </row>
    <row r="144" customFormat="false" ht="12.75" hidden="false" customHeight="false" outlineLevel="0" collapsed="false">
      <c r="A144" s="0"/>
      <c r="B144" s="0"/>
      <c r="C144" s="0"/>
      <c r="D144" s="0"/>
      <c r="E144" s="0"/>
      <c r="F144" s="0"/>
      <c r="G144" s="0"/>
      <c r="H144" s="0"/>
      <c r="I144" s="0"/>
      <c r="J144" s="0"/>
      <c r="K144" s="0"/>
      <c r="L144" s="0"/>
      <c r="M144" s="0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  <c r="IU144" s="0"/>
      <c r="IV144" s="0"/>
      <c r="IW144" s="0"/>
    </row>
    <row r="145" customFormat="false" ht="12.75" hidden="false" customHeight="false" outlineLevel="0" collapsed="false">
      <c r="A145" s="0"/>
      <c r="B145" s="0"/>
      <c r="C145" s="0"/>
      <c r="D145" s="0"/>
      <c r="E145" s="0"/>
      <c r="F145" s="0"/>
      <c r="G145" s="0"/>
      <c r="H145" s="0"/>
      <c r="I145" s="0"/>
      <c r="J145" s="0"/>
      <c r="K145" s="0"/>
      <c r="L145" s="0"/>
      <c r="M145" s="0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  <c r="IU145" s="0"/>
      <c r="IV145" s="0"/>
      <c r="IW145" s="0"/>
    </row>
    <row r="146" customFormat="false" ht="12.75" hidden="false" customHeight="false" outlineLevel="0" collapsed="false">
      <c r="A146" s="0"/>
      <c r="B146" s="0"/>
      <c r="C146" s="0"/>
      <c r="D146" s="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  <c r="IU146" s="0"/>
      <c r="IV146" s="0"/>
      <c r="IW146" s="0"/>
    </row>
    <row r="147" customFormat="false" ht="12.75" hidden="false" customHeight="false" outlineLevel="0" collapsed="false">
      <c r="A147" s="0"/>
      <c r="B147" s="0"/>
      <c r="C147" s="0"/>
      <c r="D147" s="0"/>
      <c r="E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  <c r="IU147" s="0"/>
      <c r="IV147" s="0"/>
      <c r="IW147" s="0"/>
    </row>
    <row r="148" customFormat="false" ht="12.75" hidden="false" customHeight="false" outlineLevel="0" collapsed="false">
      <c r="A148" s="0"/>
      <c r="B148" s="0"/>
      <c r="C148" s="0"/>
      <c r="D148" s="0"/>
      <c r="E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  <c r="IW148" s="0"/>
    </row>
    <row r="149" customFormat="false" ht="12.75" hidden="false" customHeight="false" outlineLevel="0" collapsed="false">
      <c r="A149" s="0"/>
      <c r="B149" s="0"/>
      <c r="C149" s="0"/>
      <c r="D149" s="0"/>
      <c r="E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  <c r="IW149" s="0"/>
    </row>
    <row r="150" customFormat="false" ht="12.75" hidden="false" customHeight="false" outlineLevel="0" collapsed="false">
      <c r="A150" s="0"/>
      <c r="B150" s="0"/>
      <c r="C150" s="0"/>
      <c r="D150" s="0"/>
      <c r="E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  <c r="IW150" s="0"/>
    </row>
    <row r="151" customFormat="false" ht="12.75" hidden="false" customHeight="false" outlineLevel="0" collapsed="false">
      <c r="A151" s="0"/>
      <c r="B151" s="0"/>
      <c r="C151" s="0"/>
      <c r="D151" s="0"/>
      <c r="E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0"/>
    </row>
    <row r="152" customFormat="false" ht="12.75" hidden="false" customHeight="false" outlineLevel="0" collapsed="false">
      <c r="A152" s="0"/>
      <c r="B152" s="0"/>
      <c r="C152" s="0"/>
      <c r="D152" s="0"/>
      <c r="E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  <c r="IW152" s="0"/>
    </row>
    <row r="153" customFormat="false" ht="12.75" hidden="false" customHeight="false" outlineLevel="0" collapsed="false">
      <c r="A153" s="0"/>
      <c r="B153" s="0"/>
      <c r="C153" s="0"/>
      <c r="D153" s="0"/>
      <c r="E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  <c r="IW153" s="0"/>
    </row>
    <row r="154" customFormat="false" ht="12.75" hidden="false" customHeight="false" outlineLevel="0" collapsed="false"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</row>
    <row r="155" customFormat="false" ht="12.75" hidden="false" customHeight="false" outlineLevel="0" collapsed="false"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</row>
    <row r="156" customFormat="false" ht="12.75" hidden="false" customHeight="false" outlineLevel="0" collapsed="false"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</row>
    <row r="157" customFormat="false" ht="12.75" hidden="false" customHeight="false" outlineLevel="0" collapsed="false"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</row>
    <row r="158" customFormat="false" ht="12.75" hidden="false" customHeight="false" outlineLevel="0" collapsed="false"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</row>
    <row r="159" customFormat="false" ht="12.75" hidden="false" customHeight="false" outlineLevel="0" collapsed="false"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</row>
    <row r="160" customFormat="false" ht="12.75" hidden="false" customHeight="false" outlineLevel="0" collapsed="false"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</row>
    <row r="161" customFormat="false" ht="12.75" hidden="false" customHeight="false" outlineLevel="0" collapsed="false"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</row>
    <row r="162" customFormat="false" ht="12.75" hidden="false" customHeight="false" outlineLevel="0" collapsed="false"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</row>
    <row r="163" customFormat="false" ht="12.75" hidden="false" customHeight="false" outlineLevel="0" collapsed="false"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</row>
    <row r="164" customFormat="false" ht="12.75" hidden="false" customHeight="false" outlineLevel="0" collapsed="false"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</row>
    <row r="165" customFormat="false" ht="12.75" hidden="false" customHeight="false" outlineLevel="0" collapsed="false"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</row>
    <row r="166" customFormat="false" ht="12.75" hidden="false" customHeight="false" outlineLevel="0" collapsed="false"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</row>
    <row r="167" customFormat="false" ht="12.75" hidden="false" customHeight="false" outlineLevel="0" collapsed="false"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</row>
    <row r="168" customFormat="false" ht="12.75" hidden="false" customHeight="false" outlineLevel="0" collapsed="false"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</row>
    <row r="169" customFormat="false" ht="12.75" hidden="false" customHeight="false" outlineLevel="0" collapsed="false"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</row>
    <row r="170" customFormat="false" ht="12.75" hidden="false" customHeight="false" outlineLevel="0" collapsed="false"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</row>
    <row r="171" customFormat="false" ht="12.75" hidden="false" customHeight="false" outlineLevel="0" collapsed="false"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</row>
    <row r="172" customFormat="false" ht="12.75" hidden="false" customHeight="false" outlineLevel="0" collapsed="false"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</row>
    <row r="173" customFormat="false" ht="12.75" hidden="false" customHeight="false" outlineLevel="0" collapsed="false"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</row>
    <row r="174" customFormat="false" ht="12.75" hidden="false" customHeight="false" outlineLevel="0" collapsed="false"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</row>
    <row r="175" customFormat="false" ht="12.75" hidden="false" customHeight="false" outlineLevel="0" collapsed="false"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</row>
    <row r="176" customFormat="false" ht="12.75" hidden="false" customHeight="false" outlineLevel="0" collapsed="false"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</row>
    <row r="177" customFormat="false" ht="12.75" hidden="false" customHeight="false" outlineLevel="0" collapsed="false">
      <c r="D177" s="209"/>
      <c r="E177" s="209"/>
      <c r="F177" s="209"/>
      <c r="G177" s="209"/>
      <c r="H177" s="209"/>
      <c r="I177" s="209"/>
      <c r="J177" s="209"/>
      <c r="K177" s="209"/>
      <c r="L177" s="209"/>
      <c r="M177" s="209"/>
      <c r="N177" s="209"/>
      <c r="O177" s="209"/>
      <c r="P177" s="209"/>
      <c r="Q177" s="209"/>
      <c r="R177" s="209"/>
    </row>
    <row r="178" customFormat="false" ht="12.75" hidden="false" customHeight="false" outlineLevel="0" collapsed="false"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</row>
    <row r="179" customFormat="false" ht="12.75" hidden="false" customHeight="false" outlineLevel="0" collapsed="false">
      <c r="D179" s="209"/>
      <c r="E179" s="20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</row>
    <row r="180" customFormat="false" ht="12.75" hidden="false" customHeight="false" outlineLevel="0" collapsed="false"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</row>
    <row r="181" customFormat="false" ht="12.75" hidden="false" customHeight="false" outlineLevel="0" collapsed="false">
      <c r="D181" s="209"/>
      <c r="E181" s="209"/>
      <c r="F181" s="209"/>
      <c r="G181" s="209"/>
      <c r="H181" s="209"/>
      <c r="I181" s="209"/>
      <c r="J181" s="209"/>
      <c r="K181" s="209"/>
      <c r="L181" s="209"/>
      <c r="M181" s="209"/>
      <c r="N181" s="209"/>
      <c r="O181" s="209"/>
      <c r="P181" s="209"/>
      <c r="Q181" s="209"/>
      <c r="R181" s="209"/>
    </row>
    <row r="182" customFormat="false" ht="12.75" hidden="false" customHeight="false" outlineLevel="0" collapsed="false"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</row>
    <row r="183" customFormat="false" ht="12.75" hidden="false" customHeight="false" outlineLevel="0" collapsed="false"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</row>
    <row r="184" customFormat="false" ht="12.75" hidden="false" customHeight="false" outlineLevel="0" collapsed="false"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</row>
    <row r="185" customFormat="false" ht="12.75" hidden="false" customHeight="false" outlineLevel="0" collapsed="false"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</row>
    <row r="186" customFormat="false" ht="12.75" hidden="false" customHeight="false" outlineLevel="0" collapsed="false"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</row>
    <row r="187" customFormat="false" ht="12.75" hidden="false" customHeight="false" outlineLevel="0" collapsed="false"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</row>
    <row r="188" customFormat="false" ht="12.75" hidden="false" customHeight="false" outlineLevel="0" collapsed="false"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</row>
    <row r="189" customFormat="false" ht="12.75" hidden="false" customHeight="false" outlineLevel="0" collapsed="false"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</row>
    <row r="190" customFormat="false" ht="12.75" hidden="false" customHeight="false" outlineLevel="0" collapsed="false"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</row>
    <row r="191" customFormat="false" ht="12.75" hidden="false" customHeight="false" outlineLevel="0" collapsed="false"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</row>
    <row r="192" customFormat="false" ht="12.75" hidden="false" customHeight="false" outlineLevel="0" collapsed="false">
      <c r="D192" s="209"/>
      <c r="E192" s="209"/>
      <c r="F192" s="209"/>
      <c r="G192" s="209"/>
      <c r="H192" s="209"/>
      <c r="I192" s="209"/>
      <c r="J192" s="209"/>
      <c r="K192" s="209"/>
      <c r="L192" s="209"/>
      <c r="M192" s="209"/>
      <c r="N192" s="209"/>
      <c r="O192" s="209"/>
      <c r="P192" s="209"/>
      <c r="Q192" s="209"/>
      <c r="R192" s="209"/>
    </row>
    <row r="193" customFormat="false" ht="12.75" hidden="false" customHeight="false" outlineLevel="0" collapsed="false"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</row>
    <row r="194" customFormat="false" ht="12.75" hidden="false" customHeight="false" outlineLevel="0" collapsed="false">
      <c r="D194" s="209"/>
      <c r="E194" s="209"/>
      <c r="F194" s="209"/>
      <c r="G194" s="209"/>
      <c r="H194" s="209"/>
      <c r="I194" s="209"/>
      <c r="J194" s="209"/>
      <c r="K194" s="209"/>
      <c r="L194" s="209"/>
      <c r="M194" s="209"/>
      <c r="N194" s="209"/>
      <c r="O194" s="209"/>
      <c r="P194" s="209"/>
      <c r="Q194" s="209"/>
      <c r="R194" s="209"/>
    </row>
    <row r="195" customFormat="false" ht="12.75" hidden="false" customHeight="false" outlineLevel="0" collapsed="false">
      <c r="D195" s="209"/>
      <c r="E195" s="209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  <c r="P195" s="209"/>
      <c r="Q195" s="209"/>
      <c r="R195" s="209"/>
    </row>
    <row r="196" customFormat="false" ht="12.75" hidden="false" customHeight="false" outlineLevel="0" collapsed="false"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</row>
    <row r="197" customFormat="false" ht="12.75" hidden="false" customHeight="false" outlineLevel="0" collapsed="false">
      <c r="D197" s="209"/>
      <c r="E197" s="209"/>
      <c r="F197" s="209"/>
      <c r="G197" s="209"/>
      <c r="H197" s="209"/>
      <c r="I197" s="209"/>
      <c r="J197" s="209"/>
      <c r="K197" s="209"/>
      <c r="L197" s="209"/>
      <c r="M197" s="209"/>
      <c r="N197" s="209"/>
      <c r="O197" s="209"/>
      <c r="P197" s="209"/>
      <c r="Q197" s="209"/>
      <c r="R197" s="209"/>
    </row>
    <row r="198" customFormat="false" ht="12.75" hidden="false" customHeight="false" outlineLevel="0" collapsed="false"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</row>
    <row r="199" customFormat="false" ht="12.75" hidden="false" customHeight="false" outlineLevel="0" collapsed="false">
      <c r="D199" s="209"/>
      <c r="E199" s="209"/>
      <c r="F199" s="209"/>
      <c r="G199" s="209"/>
      <c r="H199" s="209"/>
      <c r="I199" s="209"/>
      <c r="J199" s="209"/>
      <c r="K199" s="209"/>
      <c r="L199" s="209"/>
      <c r="M199" s="209"/>
      <c r="N199" s="209"/>
      <c r="O199" s="209"/>
      <c r="P199" s="209"/>
      <c r="Q199" s="209"/>
      <c r="R199" s="209"/>
    </row>
    <row r="200" customFormat="false" ht="12.75" hidden="false" customHeight="false" outlineLevel="0" collapsed="false"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</row>
    <row r="201" customFormat="false" ht="12.75" hidden="false" customHeight="false" outlineLevel="0" collapsed="false">
      <c r="D201" s="209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</row>
    <row r="202" customFormat="false" ht="12.75" hidden="false" customHeight="false" outlineLevel="0" collapsed="false"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</row>
    <row r="203" customFormat="false" ht="12.75" hidden="false" customHeight="false" outlineLevel="0" collapsed="false"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</row>
    <row r="204" customFormat="false" ht="12.75" hidden="false" customHeight="false" outlineLevel="0" collapsed="false"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</row>
    <row r="205" customFormat="false" ht="12.75" hidden="false" customHeight="false" outlineLevel="0" collapsed="false"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</row>
    <row r="206" customFormat="false" ht="12.75" hidden="false" customHeight="false" outlineLevel="0" collapsed="false"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</row>
    <row r="207" customFormat="false" ht="12.75" hidden="false" customHeight="false" outlineLevel="0" collapsed="false">
      <c r="D207" s="209"/>
      <c r="E207" s="209"/>
      <c r="F207" s="209"/>
      <c r="G207" s="209"/>
      <c r="H207" s="209"/>
      <c r="I207" s="209"/>
      <c r="J207" s="209"/>
      <c r="K207" s="209"/>
      <c r="L207" s="209"/>
      <c r="M207" s="209"/>
      <c r="N207" s="209"/>
      <c r="O207" s="209"/>
      <c r="P207" s="209"/>
      <c r="Q207" s="209"/>
      <c r="R207" s="209"/>
    </row>
    <row r="208" customFormat="false" ht="12.75" hidden="false" customHeight="false" outlineLevel="0" collapsed="false"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</row>
    <row r="209" customFormat="false" ht="12.75" hidden="false" customHeight="false" outlineLevel="0" collapsed="false">
      <c r="D209" s="209"/>
      <c r="E209" s="209"/>
      <c r="F209" s="209"/>
      <c r="G209" s="209"/>
      <c r="H209" s="209"/>
      <c r="I209" s="209"/>
      <c r="J209" s="209"/>
      <c r="K209" s="209"/>
      <c r="L209" s="209"/>
      <c r="M209" s="209"/>
      <c r="N209" s="209"/>
      <c r="O209" s="209"/>
      <c r="P209" s="209"/>
      <c r="Q209" s="209"/>
      <c r="R209" s="209"/>
    </row>
    <row r="210" customFormat="false" ht="12.75" hidden="false" customHeight="false" outlineLevel="0" collapsed="false">
      <c r="D210" s="209"/>
      <c r="E210" s="209"/>
      <c r="F210" s="209"/>
      <c r="G210" s="209"/>
      <c r="H210" s="209"/>
      <c r="I210" s="209"/>
      <c r="J210" s="209"/>
      <c r="K210" s="209"/>
      <c r="L210" s="209"/>
      <c r="M210" s="209"/>
      <c r="N210" s="209"/>
      <c r="O210" s="209"/>
      <c r="P210" s="209"/>
      <c r="Q210" s="209"/>
      <c r="R210" s="209"/>
    </row>
    <row r="211" customFormat="false" ht="12.75" hidden="false" customHeight="false" outlineLevel="0" collapsed="false"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</row>
    <row r="212" customFormat="false" ht="12.75" hidden="false" customHeight="false" outlineLevel="0" collapsed="false"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</row>
    <row r="213" customFormat="false" ht="12.75" hidden="false" customHeight="false" outlineLevel="0" collapsed="false"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</row>
    <row r="214" customFormat="false" ht="12.75" hidden="false" customHeight="false" outlineLevel="0" collapsed="false"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</row>
    <row r="215" customFormat="false" ht="12.75" hidden="false" customHeight="false" outlineLevel="0" collapsed="false"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</row>
    <row r="216" customFormat="false" ht="12.75" hidden="false" customHeight="false" outlineLevel="0" collapsed="false"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</row>
    <row r="217" customFormat="false" ht="12.75" hidden="false" customHeight="false" outlineLevel="0" collapsed="false"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</row>
    <row r="218" customFormat="false" ht="12.75" hidden="false" customHeight="false" outlineLevel="0" collapsed="false"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</row>
    <row r="219" customFormat="false" ht="12.75" hidden="false" customHeight="false" outlineLevel="0" collapsed="false"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</row>
    <row r="220" customFormat="false" ht="12.75" hidden="false" customHeight="false" outlineLevel="0" collapsed="false"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</row>
    <row r="221" customFormat="false" ht="12.75" hidden="false" customHeight="false" outlineLevel="0" collapsed="false"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</row>
    <row r="222" customFormat="false" ht="12.75" hidden="false" customHeight="false" outlineLevel="0" collapsed="false">
      <c r="D222" s="209"/>
      <c r="E222" s="209"/>
      <c r="F222" s="209"/>
      <c r="G222" s="209"/>
      <c r="H222" s="209"/>
      <c r="I222" s="209"/>
      <c r="J222" s="209"/>
      <c r="K222" s="209"/>
      <c r="L222" s="209"/>
      <c r="M222" s="209"/>
      <c r="N222" s="209"/>
      <c r="O222" s="209"/>
      <c r="P222" s="209"/>
      <c r="Q222" s="209"/>
      <c r="R222" s="209"/>
    </row>
    <row r="223" customFormat="false" ht="12.75" hidden="false" customHeight="false" outlineLevel="0" collapsed="false">
      <c r="D223" s="209"/>
      <c r="E223" s="209"/>
      <c r="F223" s="209"/>
      <c r="G223" s="209"/>
      <c r="H223" s="209"/>
      <c r="I223" s="209"/>
      <c r="J223" s="209"/>
      <c r="K223" s="209"/>
      <c r="L223" s="209"/>
      <c r="M223" s="209"/>
      <c r="N223" s="209"/>
      <c r="O223" s="209"/>
      <c r="P223" s="209"/>
      <c r="Q223" s="209"/>
      <c r="R223" s="209"/>
    </row>
    <row r="224" customFormat="false" ht="12.75" hidden="false" customHeight="false" outlineLevel="0" collapsed="false"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</row>
    <row r="225" customFormat="false" ht="12.75" hidden="false" customHeight="false" outlineLevel="0" collapsed="false"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</row>
    <row r="226" customFormat="false" ht="12.75" hidden="false" customHeight="false" outlineLevel="0" collapsed="false"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</row>
    <row r="227" customFormat="false" ht="12.75" hidden="false" customHeight="false" outlineLevel="0" collapsed="false"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  <c r="Q227" s="209"/>
      <c r="R227" s="209"/>
    </row>
    <row r="228" customFormat="false" ht="12.75" hidden="false" customHeight="false" outlineLevel="0" collapsed="false"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</row>
    <row r="229" customFormat="false" ht="12.75" hidden="false" customHeight="false" outlineLevel="0" collapsed="false"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</row>
    <row r="230" customFormat="false" ht="12.75" hidden="false" customHeight="false" outlineLevel="0" collapsed="false"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</row>
    <row r="231" customFormat="false" ht="12.75" hidden="false" customHeight="false" outlineLevel="0" collapsed="false">
      <c r="D231" s="209"/>
      <c r="E231" s="209"/>
      <c r="F231" s="209"/>
      <c r="G231" s="209"/>
      <c r="H231" s="209"/>
      <c r="I231" s="209"/>
      <c r="J231" s="209"/>
      <c r="K231" s="209"/>
      <c r="L231" s="209"/>
      <c r="M231" s="209"/>
      <c r="N231" s="209"/>
      <c r="O231" s="209"/>
      <c r="P231" s="209"/>
      <c r="Q231" s="209"/>
      <c r="R231" s="209"/>
    </row>
    <row r="232" customFormat="false" ht="12.75" hidden="false" customHeight="false" outlineLevel="0" collapsed="false"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</row>
    <row r="233" customFormat="false" ht="12.75" hidden="false" customHeight="false" outlineLevel="0" collapsed="false">
      <c r="D233" s="209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</row>
    <row r="234" customFormat="false" ht="12.75" hidden="false" customHeight="false" outlineLevel="0" collapsed="false"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</row>
    <row r="235" customFormat="false" ht="12.75" hidden="false" customHeight="false" outlineLevel="0" collapsed="false">
      <c r="D235" s="209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</row>
    <row r="236" customFormat="false" ht="12.75" hidden="false" customHeight="false" outlineLevel="0" collapsed="false"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</row>
    <row r="237" customFormat="false" ht="12.75" hidden="false" customHeight="false" outlineLevel="0" collapsed="false">
      <c r="D237" s="209"/>
      <c r="E237" s="209"/>
      <c r="F237" s="209"/>
      <c r="G237" s="209"/>
      <c r="H237" s="209"/>
      <c r="I237" s="209"/>
      <c r="J237" s="209"/>
      <c r="K237" s="209"/>
      <c r="L237" s="209"/>
      <c r="M237" s="209"/>
      <c r="N237" s="209"/>
      <c r="O237" s="209"/>
      <c r="P237" s="209"/>
      <c r="Q237" s="209"/>
      <c r="R237" s="209"/>
    </row>
    <row r="238" customFormat="false" ht="12.75" hidden="false" customHeight="false" outlineLevel="0" collapsed="false"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</row>
    <row r="239" customFormat="false" ht="12.75" hidden="false" customHeight="false" outlineLevel="0" collapsed="false">
      <c r="D239" s="209"/>
      <c r="E239" s="209"/>
      <c r="F239" s="209"/>
      <c r="G239" s="209"/>
      <c r="H239" s="209"/>
      <c r="I239" s="209"/>
      <c r="J239" s="209"/>
      <c r="K239" s="209"/>
      <c r="L239" s="209"/>
      <c r="M239" s="209"/>
      <c r="N239" s="209"/>
      <c r="O239" s="209"/>
      <c r="P239" s="209"/>
      <c r="Q239" s="209"/>
      <c r="R239" s="209"/>
    </row>
    <row r="240" customFormat="false" ht="12.75" hidden="false" customHeight="false" outlineLevel="0" collapsed="false">
      <c r="D240" s="209"/>
      <c r="E240" s="209"/>
      <c r="F240" s="209"/>
      <c r="G240" s="209"/>
      <c r="H240" s="209"/>
      <c r="I240" s="209"/>
      <c r="J240" s="209"/>
      <c r="K240" s="209"/>
      <c r="L240" s="209"/>
      <c r="M240" s="209"/>
      <c r="N240" s="209"/>
      <c r="O240" s="209"/>
      <c r="P240" s="209"/>
      <c r="Q240" s="209"/>
      <c r="R240" s="209"/>
    </row>
    <row r="241" customFormat="false" ht="12.75" hidden="false" customHeight="false" outlineLevel="0" collapsed="false">
      <c r="D241" s="209"/>
      <c r="E241" s="209"/>
      <c r="F241" s="209"/>
      <c r="G241" s="209"/>
      <c r="H241" s="209"/>
      <c r="I241" s="209"/>
      <c r="J241" s="209"/>
      <c r="K241" s="209"/>
      <c r="L241" s="209"/>
      <c r="M241" s="209"/>
      <c r="N241" s="209"/>
      <c r="O241" s="209"/>
      <c r="P241" s="209"/>
      <c r="Q241" s="209"/>
      <c r="R241" s="209"/>
    </row>
    <row r="242" customFormat="false" ht="12.75" hidden="false" customHeight="false" outlineLevel="0" collapsed="false">
      <c r="D242" s="209"/>
      <c r="E242" s="209"/>
      <c r="F242" s="209"/>
      <c r="G242" s="209"/>
      <c r="H242" s="209"/>
      <c r="I242" s="209"/>
      <c r="J242" s="209"/>
      <c r="K242" s="209"/>
      <c r="L242" s="209"/>
      <c r="M242" s="209"/>
      <c r="N242" s="209"/>
      <c r="O242" s="209"/>
      <c r="P242" s="209"/>
      <c r="Q242" s="209"/>
      <c r="R242" s="209"/>
    </row>
    <row r="243" customFormat="false" ht="12.75" hidden="false" customHeight="false" outlineLevel="0" collapsed="false">
      <c r="D243" s="209"/>
      <c r="E243" s="209"/>
      <c r="F243" s="209"/>
      <c r="G243" s="209"/>
      <c r="H243" s="209"/>
      <c r="I243" s="209"/>
      <c r="J243" s="209"/>
      <c r="K243" s="209"/>
      <c r="L243" s="209"/>
      <c r="M243" s="209"/>
      <c r="N243" s="209"/>
      <c r="O243" s="209"/>
      <c r="P243" s="209"/>
      <c r="Q243" s="209"/>
      <c r="R243" s="209"/>
    </row>
    <row r="244" customFormat="false" ht="12.75" hidden="false" customHeight="false" outlineLevel="0" collapsed="false"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</row>
    <row r="245" customFormat="false" ht="12.75" hidden="false" customHeight="false" outlineLevel="0" collapsed="false">
      <c r="D245" s="209"/>
      <c r="E245" s="209"/>
      <c r="F245" s="209"/>
      <c r="G245" s="209"/>
      <c r="H245" s="209"/>
      <c r="I245" s="209"/>
      <c r="J245" s="209"/>
      <c r="K245" s="209"/>
      <c r="L245" s="209"/>
      <c r="M245" s="209"/>
      <c r="N245" s="209"/>
      <c r="O245" s="209"/>
      <c r="P245" s="209"/>
      <c r="Q245" s="209"/>
      <c r="R245" s="209"/>
    </row>
    <row r="246" customFormat="false" ht="12.75" hidden="false" customHeight="false" outlineLevel="0" collapsed="false"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</row>
    <row r="247" customFormat="false" ht="12.75" hidden="false" customHeight="false" outlineLevel="0" collapsed="false"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</row>
    <row r="248" customFormat="false" ht="12.75" hidden="false" customHeight="false" outlineLevel="0" collapsed="false"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</row>
    <row r="249" customFormat="false" ht="12.75" hidden="false" customHeight="false" outlineLevel="0" collapsed="false"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</row>
    <row r="250" customFormat="false" ht="12.75" hidden="false" customHeight="false" outlineLevel="0" collapsed="false"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</row>
    <row r="251" customFormat="false" ht="12.75" hidden="false" customHeight="false" outlineLevel="0" collapsed="false">
      <c r="D251" s="209"/>
      <c r="E251" s="209"/>
      <c r="F251" s="209"/>
      <c r="G251" s="209"/>
      <c r="H251" s="209"/>
      <c r="I251" s="209"/>
      <c r="J251" s="209"/>
      <c r="K251" s="209"/>
      <c r="L251" s="209"/>
      <c r="M251" s="209"/>
      <c r="N251" s="209"/>
      <c r="O251" s="209"/>
      <c r="P251" s="209"/>
      <c r="Q251" s="209"/>
      <c r="R251" s="209"/>
    </row>
    <row r="252" customFormat="false" ht="12.75" hidden="false" customHeight="false" outlineLevel="0" collapsed="false"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</row>
    <row r="253" customFormat="false" ht="12.75" hidden="false" customHeight="false" outlineLevel="0" collapsed="false">
      <c r="D253" s="209"/>
      <c r="E253" s="209"/>
      <c r="F253" s="209"/>
      <c r="G253" s="209"/>
      <c r="H253" s="209"/>
      <c r="I253" s="209"/>
      <c r="J253" s="209"/>
      <c r="K253" s="209"/>
      <c r="L253" s="209"/>
      <c r="M253" s="209"/>
      <c r="N253" s="209"/>
      <c r="O253" s="209"/>
      <c r="P253" s="209"/>
      <c r="Q253" s="209"/>
      <c r="R253" s="209"/>
    </row>
    <row r="254" customFormat="false" ht="12.75" hidden="false" customHeight="false" outlineLevel="0" collapsed="false"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</row>
    <row r="255" customFormat="false" ht="12.75" hidden="false" customHeight="false" outlineLevel="0" collapsed="false">
      <c r="D255" s="209"/>
      <c r="E255" s="209"/>
      <c r="F255" s="209"/>
      <c r="G255" s="209"/>
      <c r="H255" s="209"/>
      <c r="I255" s="209"/>
      <c r="J255" s="209"/>
      <c r="K255" s="209"/>
      <c r="L255" s="209"/>
      <c r="M255" s="209"/>
      <c r="N255" s="209"/>
      <c r="O255" s="209"/>
      <c r="P255" s="209"/>
      <c r="Q255" s="209"/>
      <c r="R255" s="209"/>
    </row>
    <row r="256" customFormat="false" ht="12.75" hidden="false" customHeight="false" outlineLevel="0" collapsed="false"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O256" s="209"/>
      <c r="P256" s="209"/>
      <c r="Q256" s="209"/>
      <c r="R256" s="209"/>
    </row>
    <row r="257" customFormat="false" ht="12.75" hidden="false" customHeight="false" outlineLevel="0" collapsed="false">
      <c r="D257" s="209"/>
      <c r="E257" s="209"/>
      <c r="F257" s="209"/>
      <c r="G257" s="209"/>
      <c r="H257" s="209"/>
      <c r="I257" s="209"/>
      <c r="J257" s="209"/>
      <c r="K257" s="209"/>
      <c r="L257" s="209"/>
      <c r="M257" s="209"/>
      <c r="N257" s="209"/>
      <c r="O257" s="209"/>
      <c r="P257" s="209"/>
      <c r="Q257" s="209"/>
      <c r="R257" s="209"/>
    </row>
    <row r="258" customFormat="false" ht="12.75" hidden="false" customHeight="false" outlineLevel="0" collapsed="false">
      <c r="D258" s="209"/>
      <c r="E258" s="209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</row>
    <row r="259" customFormat="false" ht="12.75" hidden="false" customHeight="false" outlineLevel="0" collapsed="false">
      <c r="D259" s="209"/>
      <c r="E259" s="209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</row>
    <row r="260" customFormat="false" ht="12.75" hidden="false" customHeight="false" outlineLevel="0" collapsed="false"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</row>
    <row r="261" customFormat="false" ht="12.75" hidden="false" customHeight="false" outlineLevel="0" collapsed="false">
      <c r="D261" s="209"/>
      <c r="E261" s="209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</row>
    <row r="262" customFormat="false" ht="12.75" hidden="false" customHeight="false" outlineLevel="0" collapsed="false"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</row>
    <row r="263" customFormat="false" ht="12.75" hidden="false" customHeight="false" outlineLevel="0" collapsed="false">
      <c r="D263" s="209"/>
      <c r="E263" s="209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</row>
    <row r="264" customFormat="false" ht="12.75" hidden="false" customHeight="false" outlineLevel="0" collapsed="false"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</row>
    <row r="265" customFormat="false" ht="12.75" hidden="false" customHeight="false" outlineLevel="0" collapsed="false">
      <c r="D265" s="209"/>
      <c r="E265" s="209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</row>
    <row r="266" customFormat="false" ht="12.75" hidden="false" customHeight="false" outlineLevel="0" collapsed="false"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</row>
    <row r="267" customFormat="false" ht="12.75" hidden="false" customHeight="false" outlineLevel="0" collapsed="false">
      <c r="D267" s="209"/>
      <c r="E267" s="209"/>
      <c r="F267" s="209"/>
      <c r="G267" s="209"/>
      <c r="H267" s="209"/>
      <c r="I267" s="209"/>
      <c r="J267" s="209"/>
      <c r="K267" s="209"/>
      <c r="L267" s="209"/>
      <c r="M267" s="209"/>
      <c r="N267" s="209"/>
      <c r="O267" s="209"/>
      <c r="P267" s="209"/>
      <c r="Q267" s="209"/>
      <c r="R267" s="209"/>
    </row>
    <row r="268" customFormat="false" ht="12.75" hidden="false" customHeight="false" outlineLevel="0" collapsed="false"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</row>
    <row r="269" customFormat="false" ht="12.75" hidden="false" customHeight="false" outlineLevel="0" collapsed="false">
      <c r="D269" s="209"/>
      <c r="E269" s="209"/>
      <c r="F269" s="209"/>
      <c r="G269" s="209"/>
      <c r="H269" s="209"/>
      <c r="I269" s="209"/>
      <c r="J269" s="209"/>
      <c r="K269" s="209"/>
      <c r="L269" s="209"/>
      <c r="M269" s="209"/>
      <c r="N269" s="209"/>
      <c r="O269" s="209"/>
      <c r="P269" s="209"/>
      <c r="Q269" s="209"/>
      <c r="R269" s="209"/>
    </row>
    <row r="270" customFormat="false" ht="12.75" hidden="false" customHeight="false" outlineLevel="0" collapsed="false"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</row>
    <row r="271" customFormat="false" ht="12.75" hidden="false" customHeight="false" outlineLevel="0" collapsed="false">
      <c r="D271" s="209"/>
      <c r="E271" s="209"/>
      <c r="F271" s="209"/>
      <c r="G271" s="209"/>
      <c r="H271" s="209"/>
      <c r="I271" s="209"/>
      <c r="J271" s="209"/>
      <c r="K271" s="209"/>
      <c r="L271" s="209"/>
      <c r="M271" s="209"/>
      <c r="N271" s="209"/>
      <c r="O271" s="209"/>
      <c r="P271" s="209"/>
      <c r="Q271" s="209"/>
      <c r="R271" s="209"/>
    </row>
    <row r="272" customFormat="false" ht="12.75" hidden="false" customHeight="false" outlineLevel="0" collapsed="false">
      <c r="D272" s="209"/>
      <c r="E272" s="209"/>
      <c r="F272" s="209"/>
      <c r="G272" s="209"/>
      <c r="H272" s="209"/>
      <c r="I272" s="209"/>
      <c r="J272" s="209"/>
      <c r="K272" s="209"/>
      <c r="L272" s="209"/>
      <c r="M272" s="209"/>
      <c r="N272" s="209"/>
      <c r="O272" s="209"/>
      <c r="P272" s="209"/>
      <c r="Q272" s="209"/>
      <c r="R272" s="209"/>
    </row>
    <row r="273" customFormat="false" ht="12.75" hidden="false" customHeight="false" outlineLevel="0" collapsed="false"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</row>
    <row r="274" customFormat="false" ht="12.75" hidden="false" customHeight="false" outlineLevel="0" collapsed="false">
      <c r="D274" s="209"/>
      <c r="E274" s="209"/>
      <c r="F274" s="209"/>
      <c r="G274" s="209"/>
      <c r="H274" s="209"/>
      <c r="I274" s="209"/>
      <c r="J274" s="209"/>
      <c r="K274" s="209"/>
      <c r="L274" s="209"/>
      <c r="M274" s="209"/>
      <c r="N274" s="209"/>
      <c r="O274" s="209"/>
      <c r="P274" s="209"/>
      <c r="Q274" s="209"/>
      <c r="R274" s="209"/>
    </row>
    <row r="275" customFormat="false" ht="12.75" hidden="false" customHeight="false" outlineLevel="0" collapsed="false">
      <c r="D275" s="209"/>
      <c r="E275" s="209"/>
      <c r="F275" s="209"/>
      <c r="G275" s="209"/>
      <c r="H275" s="209"/>
      <c r="I275" s="209"/>
      <c r="J275" s="209"/>
      <c r="K275" s="209"/>
      <c r="L275" s="209"/>
      <c r="M275" s="209"/>
      <c r="N275" s="209"/>
      <c r="O275" s="209"/>
      <c r="P275" s="209"/>
      <c r="Q275" s="209"/>
      <c r="R275" s="209"/>
    </row>
    <row r="276" customFormat="false" ht="12.75" hidden="false" customHeight="false" outlineLevel="0" collapsed="false"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</row>
    <row r="277" customFormat="false" ht="12.75" hidden="false" customHeight="false" outlineLevel="0" collapsed="false">
      <c r="D277" s="209"/>
      <c r="E277" s="209"/>
      <c r="F277" s="209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</row>
    <row r="278" customFormat="false" ht="12.75" hidden="false" customHeight="false" outlineLevel="0" collapsed="false"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</row>
    <row r="279" customFormat="false" ht="12.75" hidden="false" customHeight="false" outlineLevel="0" collapsed="false">
      <c r="D279" s="209"/>
      <c r="E279" s="209"/>
      <c r="F279" s="209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</row>
    <row r="280" customFormat="false" ht="12.75" hidden="false" customHeight="false" outlineLevel="0" collapsed="false"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</row>
    <row r="281" customFormat="false" ht="12.75" hidden="false" customHeight="false" outlineLevel="0" collapsed="false">
      <c r="D281" s="209"/>
      <c r="E281" s="209"/>
      <c r="F281" s="209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</row>
    <row r="282" customFormat="false" ht="12.75" hidden="false" customHeight="false" outlineLevel="0" collapsed="false"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</row>
    <row r="283" customFormat="false" ht="12.75" hidden="false" customHeight="false" outlineLevel="0" collapsed="false"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</row>
    <row r="284" customFormat="false" ht="12.75" hidden="false" customHeight="false" outlineLevel="0" collapsed="false"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</row>
    <row r="285" customFormat="false" ht="12.75" hidden="false" customHeight="false" outlineLevel="0" collapsed="false">
      <c r="D285" s="209"/>
      <c r="E285" s="209"/>
      <c r="F285" s="209"/>
      <c r="G285" s="209"/>
      <c r="H285" s="209"/>
      <c r="I285" s="209"/>
      <c r="J285" s="209"/>
      <c r="K285" s="209"/>
      <c r="L285" s="209"/>
      <c r="M285" s="209"/>
      <c r="N285" s="209"/>
      <c r="O285" s="209"/>
      <c r="P285" s="209"/>
      <c r="Q285" s="209"/>
      <c r="R285" s="209"/>
    </row>
    <row r="286" customFormat="false" ht="12.75" hidden="false" customHeight="false" outlineLevel="0" collapsed="false"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</row>
    <row r="287" customFormat="false" ht="12.75" hidden="false" customHeight="false" outlineLevel="0" collapsed="false">
      <c r="D287" s="209"/>
      <c r="E287" s="209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</row>
    <row r="288" customFormat="false" ht="12.75" hidden="false" customHeight="false" outlineLevel="0" collapsed="false">
      <c r="D288" s="209"/>
      <c r="E288" s="209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</row>
    <row r="289" customFormat="false" ht="12.75" hidden="false" customHeight="false" outlineLevel="0" collapsed="false">
      <c r="D289" s="209"/>
      <c r="E289" s="209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</row>
    <row r="290" customFormat="false" ht="12.75" hidden="false" customHeight="false" outlineLevel="0" collapsed="false"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</row>
    <row r="291" customFormat="false" ht="12.75" hidden="false" customHeight="false" outlineLevel="0" collapsed="false"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</row>
    <row r="292" customFormat="false" ht="12.75" hidden="false" customHeight="false" outlineLevel="0" collapsed="false"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</row>
    <row r="293" customFormat="false" ht="12.75" hidden="false" customHeight="false" outlineLevel="0" collapsed="false">
      <c r="D293" s="209"/>
      <c r="E293" s="209"/>
      <c r="F293" s="209"/>
      <c r="G293" s="209"/>
      <c r="H293" s="209"/>
      <c r="I293" s="209"/>
      <c r="J293" s="209"/>
      <c r="K293" s="209"/>
      <c r="L293" s="209"/>
      <c r="M293" s="209"/>
      <c r="N293" s="209"/>
      <c r="O293" s="209"/>
      <c r="P293" s="209"/>
      <c r="Q293" s="209"/>
      <c r="R293" s="209"/>
    </row>
    <row r="294" customFormat="false" ht="12.75" hidden="false" customHeight="false" outlineLevel="0" collapsed="false"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</row>
    <row r="295" customFormat="false" ht="12.75" hidden="false" customHeight="false" outlineLevel="0" collapsed="false">
      <c r="D295" s="209"/>
      <c r="E295" s="209"/>
      <c r="F295" s="209"/>
      <c r="G295" s="209"/>
      <c r="H295" s="209"/>
      <c r="I295" s="209"/>
      <c r="J295" s="209"/>
      <c r="K295" s="209"/>
      <c r="L295" s="209"/>
      <c r="M295" s="209"/>
      <c r="N295" s="209"/>
      <c r="O295" s="209"/>
      <c r="P295" s="209"/>
      <c r="Q295" s="209"/>
      <c r="R295" s="209"/>
    </row>
    <row r="296" customFormat="false" ht="12.75" hidden="false" customHeight="false" outlineLevel="0" collapsed="false"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</row>
    <row r="297" customFormat="false" ht="12.75" hidden="false" customHeight="false" outlineLevel="0" collapsed="false">
      <c r="D297" s="209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</row>
    <row r="298" customFormat="false" ht="12.75" hidden="false" customHeight="false" outlineLevel="0" collapsed="false"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</row>
    <row r="299" customFormat="false" ht="12.75" hidden="false" customHeight="false" outlineLevel="0" collapsed="false">
      <c r="D299" s="209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</row>
    <row r="300" customFormat="false" ht="12.75" hidden="false" customHeight="false" outlineLevel="0" collapsed="false"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</row>
    <row r="301" customFormat="false" ht="12.75" hidden="false" customHeight="false" outlineLevel="0" collapsed="false">
      <c r="D301" s="209"/>
      <c r="E301" s="209"/>
      <c r="F301" s="209"/>
      <c r="G301" s="209"/>
      <c r="H301" s="209"/>
      <c r="I301" s="209"/>
      <c r="J301" s="209"/>
      <c r="K301" s="209"/>
      <c r="L301" s="209"/>
      <c r="M301" s="209"/>
      <c r="N301" s="209"/>
      <c r="O301" s="209"/>
      <c r="P301" s="209"/>
      <c r="Q301" s="209"/>
      <c r="R301" s="209"/>
    </row>
    <row r="302" customFormat="false" ht="12.75" hidden="false" customHeight="false" outlineLevel="0" collapsed="false"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</row>
    <row r="303" customFormat="false" ht="12.75" hidden="false" customHeight="false" outlineLevel="0" collapsed="false">
      <c r="D303" s="209"/>
      <c r="E303" s="209"/>
      <c r="F303" s="209"/>
      <c r="G303" s="209"/>
      <c r="H303" s="209"/>
      <c r="I303" s="209"/>
      <c r="J303" s="209"/>
      <c r="K303" s="209"/>
      <c r="L303" s="209"/>
      <c r="M303" s="209"/>
      <c r="N303" s="209"/>
      <c r="O303" s="209"/>
      <c r="P303" s="209"/>
      <c r="Q303" s="209"/>
      <c r="R303" s="209"/>
    </row>
    <row r="304" customFormat="false" ht="12.75" hidden="false" customHeight="false" outlineLevel="0" collapsed="false">
      <c r="D304" s="209"/>
      <c r="E304" s="209"/>
      <c r="F304" s="209"/>
      <c r="G304" s="209"/>
      <c r="H304" s="209"/>
      <c r="I304" s="209"/>
      <c r="J304" s="209"/>
      <c r="K304" s="209"/>
      <c r="L304" s="209"/>
      <c r="M304" s="209"/>
      <c r="N304" s="209"/>
      <c r="O304" s="209"/>
      <c r="P304" s="209"/>
      <c r="Q304" s="209"/>
      <c r="R304" s="209"/>
    </row>
    <row r="305" customFormat="false" ht="12.75" hidden="false" customHeight="false" outlineLevel="0" collapsed="false">
      <c r="D305" s="209"/>
      <c r="E305" s="209"/>
      <c r="F305" s="209"/>
      <c r="G305" s="209"/>
      <c r="H305" s="209"/>
      <c r="I305" s="209"/>
      <c r="J305" s="209"/>
      <c r="K305" s="209"/>
      <c r="L305" s="209"/>
      <c r="M305" s="209"/>
      <c r="N305" s="209"/>
      <c r="O305" s="209"/>
      <c r="P305" s="209"/>
      <c r="Q305" s="209"/>
      <c r="R305" s="209"/>
    </row>
    <row r="306" customFormat="false" ht="12.75" hidden="false" customHeight="false" outlineLevel="0" collapsed="false">
      <c r="D306" s="209"/>
      <c r="E306" s="209"/>
      <c r="F306" s="209"/>
      <c r="G306" s="209"/>
      <c r="H306" s="209"/>
      <c r="I306" s="209"/>
      <c r="J306" s="209"/>
      <c r="K306" s="209"/>
      <c r="L306" s="209"/>
      <c r="M306" s="209"/>
      <c r="N306" s="209"/>
      <c r="O306" s="209"/>
      <c r="P306" s="209"/>
      <c r="Q306" s="209"/>
      <c r="R306" s="209"/>
    </row>
    <row r="307" customFormat="false" ht="12.75" hidden="false" customHeight="false" outlineLevel="0" collapsed="false">
      <c r="D307" s="209"/>
      <c r="E307" s="209"/>
      <c r="F307" s="209"/>
      <c r="G307" s="209"/>
      <c r="H307" s="209"/>
      <c r="I307" s="209"/>
      <c r="J307" s="209"/>
      <c r="K307" s="209"/>
      <c r="L307" s="209"/>
      <c r="M307" s="209"/>
      <c r="N307" s="209"/>
      <c r="O307" s="209"/>
      <c r="P307" s="209"/>
      <c r="Q307" s="209"/>
      <c r="R307" s="209"/>
    </row>
    <row r="308" customFormat="false" ht="12.75" hidden="false" customHeight="false" outlineLevel="0" collapsed="false"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</row>
    <row r="309" customFormat="false" ht="12.75" hidden="false" customHeight="false" outlineLevel="0" collapsed="false">
      <c r="D309" s="209"/>
      <c r="E309" s="209"/>
      <c r="F309" s="209"/>
      <c r="G309" s="209"/>
      <c r="H309" s="209"/>
      <c r="I309" s="209"/>
      <c r="J309" s="209"/>
      <c r="K309" s="209"/>
      <c r="L309" s="209"/>
      <c r="M309" s="209"/>
      <c r="N309" s="209"/>
      <c r="O309" s="209"/>
      <c r="P309" s="209"/>
      <c r="Q309" s="209"/>
      <c r="R309" s="209"/>
    </row>
    <row r="310" customFormat="false" ht="12.75" hidden="false" customHeight="false" outlineLevel="0" collapsed="false"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</row>
    <row r="311" customFormat="false" ht="12.75" hidden="false" customHeight="false" outlineLevel="0" collapsed="false">
      <c r="D311" s="209"/>
      <c r="E311" s="209"/>
      <c r="F311" s="209"/>
      <c r="G311" s="209"/>
      <c r="H311" s="209"/>
      <c r="I311" s="209"/>
      <c r="J311" s="209"/>
      <c r="K311" s="209"/>
      <c r="L311" s="209"/>
      <c r="M311" s="209"/>
      <c r="N311" s="209"/>
      <c r="O311" s="209"/>
      <c r="P311" s="209"/>
      <c r="Q311" s="209"/>
      <c r="R311" s="209"/>
    </row>
    <row r="312" customFormat="false" ht="12.75" hidden="false" customHeight="false" outlineLevel="0" collapsed="false"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</row>
    <row r="313" customFormat="false" ht="12.75" hidden="false" customHeight="false" outlineLevel="0" collapsed="false">
      <c r="D313" s="209"/>
      <c r="E313" s="209"/>
      <c r="F313" s="209"/>
      <c r="G313" s="209"/>
      <c r="H313" s="209"/>
      <c r="I313" s="209"/>
      <c r="J313" s="209"/>
      <c r="K313" s="209"/>
      <c r="L313" s="209"/>
      <c r="M313" s="209"/>
      <c r="N313" s="209"/>
      <c r="O313" s="209"/>
      <c r="P313" s="209"/>
      <c r="Q313" s="209"/>
      <c r="R313" s="209"/>
    </row>
    <row r="314" customFormat="false" ht="12.75" hidden="false" customHeight="false" outlineLevel="0" collapsed="false"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</row>
    <row r="315" customFormat="false" ht="12.75" hidden="false" customHeight="false" outlineLevel="0" collapsed="false">
      <c r="D315" s="209"/>
      <c r="E315" s="209"/>
      <c r="F315" s="209"/>
      <c r="G315" s="209"/>
      <c r="H315" s="209"/>
      <c r="I315" s="209"/>
      <c r="J315" s="209"/>
      <c r="K315" s="209"/>
      <c r="L315" s="209"/>
      <c r="M315" s="209"/>
      <c r="N315" s="209"/>
      <c r="O315" s="209"/>
      <c r="P315" s="209"/>
      <c r="Q315" s="209"/>
      <c r="R315" s="209"/>
    </row>
    <row r="316" customFormat="false" ht="12.75" hidden="false" customHeight="false" outlineLevel="0" collapsed="false"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</row>
    <row r="317" customFormat="false" ht="12.75" hidden="false" customHeight="false" outlineLevel="0" collapsed="false">
      <c r="D317" s="209"/>
      <c r="E317" s="209"/>
      <c r="F317" s="209"/>
      <c r="G317" s="209"/>
      <c r="H317" s="209"/>
      <c r="I317" s="209"/>
      <c r="J317" s="209"/>
      <c r="K317" s="209"/>
      <c r="L317" s="209"/>
      <c r="M317" s="209"/>
      <c r="N317" s="209"/>
      <c r="O317" s="209"/>
      <c r="P317" s="209"/>
      <c r="Q317" s="209"/>
      <c r="R317" s="209"/>
    </row>
    <row r="318" customFormat="false" ht="12.75" hidden="false" customHeight="false" outlineLevel="0" collapsed="false"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</row>
    <row r="319" customFormat="false" ht="12.75" hidden="false" customHeight="false" outlineLevel="0" collapsed="false">
      <c r="D319" s="209"/>
      <c r="E319" s="209"/>
      <c r="F319" s="209"/>
      <c r="G319" s="209"/>
      <c r="H319" s="209"/>
      <c r="I319" s="209"/>
      <c r="J319" s="209"/>
      <c r="K319" s="209"/>
      <c r="L319" s="209"/>
      <c r="M319" s="209"/>
      <c r="N319" s="209"/>
      <c r="O319" s="209"/>
      <c r="P319" s="209"/>
      <c r="Q319" s="209"/>
      <c r="R319" s="209"/>
    </row>
    <row r="320" customFormat="false" ht="12.75" hidden="false" customHeight="false" outlineLevel="0" collapsed="false"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</row>
    <row r="321" customFormat="false" ht="12.75" hidden="false" customHeight="false" outlineLevel="0" collapsed="false"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</row>
    <row r="322" customFormat="false" ht="12.75" hidden="false" customHeight="false" outlineLevel="0" collapsed="false">
      <c r="D322" s="209"/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Q322" s="209"/>
      <c r="R322" s="209"/>
    </row>
    <row r="323" customFormat="false" ht="12.75" hidden="false" customHeight="false" outlineLevel="0" collapsed="false"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  <c r="P323" s="209"/>
      <c r="Q323" s="209"/>
      <c r="R323" s="209"/>
    </row>
    <row r="324" customFormat="false" ht="12.75" hidden="false" customHeight="false" outlineLevel="0" collapsed="false"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</row>
    <row r="325" customFormat="false" ht="12.75" hidden="false" customHeight="false" outlineLevel="0" collapsed="false">
      <c r="D325" s="209"/>
      <c r="E325" s="209"/>
      <c r="F325" s="209"/>
      <c r="G325" s="209"/>
      <c r="H325" s="209"/>
      <c r="I325" s="209"/>
      <c r="J325" s="209"/>
      <c r="K325" s="209"/>
      <c r="L325" s="209"/>
      <c r="M325" s="209"/>
      <c r="N325" s="209"/>
      <c r="O325" s="209"/>
      <c r="P325" s="209"/>
      <c r="Q325" s="209"/>
      <c r="R325" s="209"/>
    </row>
    <row r="326" customFormat="false" ht="12.75" hidden="false" customHeight="false" outlineLevel="0" collapsed="false"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</row>
    <row r="327" customFormat="false" ht="12.75" hidden="false" customHeight="false" outlineLevel="0" collapsed="false">
      <c r="D327" s="209"/>
      <c r="E327" s="209"/>
      <c r="F327" s="209"/>
      <c r="G327" s="209"/>
      <c r="H327" s="209"/>
      <c r="I327" s="209"/>
      <c r="J327" s="209"/>
      <c r="K327" s="209"/>
      <c r="L327" s="209"/>
      <c r="M327" s="209"/>
      <c r="N327" s="209"/>
      <c r="O327" s="209"/>
      <c r="P327" s="209"/>
      <c r="Q327" s="209"/>
      <c r="R327" s="209"/>
    </row>
    <row r="328" customFormat="false" ht="12.75" hidden="false" customHeight="false" outlineLevel="0" collapsed="false"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</row>
    <row r="329" customFormat="false" ht="12.75" hidden="false" customHeight="false" outlineLevel="0" collapsed="false">
      <c r="D329" s="209"/>
      <c r="E329" s="209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</row>
    <row r="330" customFormat="false" ht="12.75" hidden="false" customHeight="false" outlineLevel="0" collapsed="false"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</row>
    <row r="331" customFormat="false" ht="12.75" hidden="false" customHeight="false" outlineLevel="0" collapsed="false"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</row>
    <row r="332" customFormat="false" ht="12.75" hidden="false" customHeight="false" outlineLevel="0" collapsed="false"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</row>
    <row r="333" customFormat="false" ht="12.75" hidden="false" customHeight="false" outlineLevel="0" collapsed="false">
      <c r="D333" s="209"/>
      <c r="E333" s="209"/>
      <c r="F333" s="209"/>
      <c r="G333" s="209"/>
      <c r="H333" s="209"/>
      <c r="I333" s="209"/>
      <c r="J333" s="209"/>
      <c r="K333" s="209"/>
      <c r="L333" s="209"/>
      <c r="M333" s="209"/>
      <c r="N333" s="209"/>
      <c r="O333" s="209"/>
      <c r="P333" s="209"/>
      <c r="Q333" s="209"/>
      <c r="R333" s="209"/>
    </row>
    <row r="334" customFormat="false" ht="12.75" hidden="false" customHeight="false" outlineLevel="0" collapsed="false"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</row>
    <row r="335" customFormat="false" ht="12.75" hidden="false" customHeight="false" outlineLevel="0" collapsed="false">
      <c r="D335" s="209"/>
      <c r="E335" s="209"/>
      <c r="F335" s="209"/>
      <c r="G335" s="209"/>
      <c r="H335" s="209"/>
      <c r="I335" s="209"/>
      <c r="J335" s="209"/>
      <c r="K335" s="209"/>
      <c r="L335" s="209"/>
      <c r="M335" s="209"/>
      <c r="N335" s="209"/>
      <c r="O335" s="209"/>
      <c r="P335" s="209"/>
      <c r="Q335" s="209"/>
      <c r="R335" s="209"/>
    </row>
    <row r="336" customFormat="false" ht="12.75" hidden="false" customHeight="false" outlineLevel="0" collapsed="false">
      <c r="D336" s="209"/>
      <c r="E336" s="209"/>
      <c r="F336" s="209"/>
      <c r="G336" s="209"/>
      <c r="H336" s="209"/>
      <c r="I336" s="209"/>
      <c r="J336" s="209"/>
      <c r="K336" s="209"/>
      <c r="L336" s="209"/>
      <c r="M336" s="209"/>
      <c r="N336" s="209"/>
      <c r="O336" s="209"/>
      <c r="P336" s="209"/>
      <c r="Q336" s="209"/>
      <c r="R336" s="209"/>
    </row>
    <row r="337" customFormat="false" ht="12.75" hidden="false" customHeight="false" outlineLevel="0" collapsed="false">
      <c r="D337" s="209"/>
      <c r="E337" s="209"/>
      <c r="F337" s="209"/>
      <c r="G337" s="209"/>
      <c r="H337" s="209"/>
      <c r="I337" s="209"/>
      <c r="J337" s="209"/>
      <c r="K337" s="209"/>
      <c r="L337" s="209"/>
      <c r="M337" s="209"/>
      <c r="N337" s="209"/>
      <c r="O337" s="209"/>
      <c r="P337" s="209"/>
      <c r="Q337" s="209"/>
      <c r="R337" s="209"/>
    </row>
    <row r="338" customFormat="false" ht="12.75" hidden="false" customHeight="false" outlineLevel="0" collapsed="false">
      <c r="D338" s="209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</row>
    <row r="339" customFormat="false" ht="12.75" hidden="false" customHeight="false" outlineLevel="0" collapsed="false">
      <c r="D339" s="209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</row>
    <row r="340" customFormat="false" ht="12.75" hidden="false" customHeight="false" outlineLevel="0" collapsed="false">
      <c r="D340" s="209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</row>
    <row r="341" customFormat="false" ht="12.75" hidden="false" customHeight="false" outlineLevel="0" collapsed="false"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</row>
    <row r="342" customFormat="false" ht="12.75" hidden="false" customHeight="false" outlineLevel="0" collapsed="false"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</row>
    <row r="343" customFormat="false" ht="12.75" hidden="false" customHeight="false" outlineLevel="0" collapsed="false"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</row>
    <row r="344" customFormat="false" ht="12.75" hidden="false" customHeight="false" outlineLevel="0" collapsed="false">
      <c r="D344" s="209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</row>
    <row r="345" customFormat="false" ht="12.75" hidden="false" customHeight="false" outlineLevel="0" collapsed="false">
      <c r="D345" s="209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</row>
    <row r="346" customFormat="false" ht="12.75" hidden="false" customHeight="false" outlineLevel="0" collapsed="false">
      <c r="D346" s="209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</row>
    <row r="347" customFormat="false" ht="12.75" hidden="false" customHeight="false" outlineLevel="0" collapsed="false">
      <c r="D347" s="209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</row>
    <row r="348" customFormat="false" ht="12.75" hidden="false" customHeight="false" outlineLevel="0" collapsed="false">
      <c r="D348" s="209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</row>
    <row r="349" customFormat="false" ht="12.75" hidden="false" customHeight="false" outlineLevel="0" collapsed="false">
      <c r="D349" s="209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</row>
    <row r="350" customFormat="false" ht="12.75" hidden="false" customHeight="false" outlineLevel="0" collapsed="false">
      <c r="D350" s="209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</row>
    <row r="351" customFormat="false" ht="12.75" hidden="false" customHeight="false" outlineLevel="0" collapsed="false">
      <c r="D351" s="209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</row>
    <row r="352" customFormat="false" ht="12.75" hidden="false" customHeight="false" outlineLevel="0" collapsed="false">
      <c r="D352" s="209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</row>
    <row r="353" customFormat="false" ht="12.75" hidden="false" customHeight="false" outlineLevel="0" collapsed="false">
      <c r="D353" s="209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</row>
    <row r="354" customFormat="false" ht="12.75" hidden="false" customHeight="false" outlineLevel="0" collapsed="false">
      <c r="D354" s="209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</row>
    <row r="355" customFormat="false" ht="12.75" hidden="false" customHeight="false" outlineLevel="0" collapsed="false">
      <c r="D355" s="209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</row>
    <row r="356" customFormat="false" ht="12.75" hidden="false" customHeight="false" outlineLevel="0" collapsed="false">
      <c r="D356" s="209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</row>
    <row r="357" customFormat="false" ht="12.75" hidden="false" customHeight="false" outlineLevel="0" collapsed="false">
      <c r="D357" s="209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</row>
    <row r="358" customFormat="false" ht="12.75" hidden="false" customHeight="false" outlineLevel="0" collapsed="false">
      <c r="D358" s="209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</row>
    <row r="359" customFormat="false" ht="12.75" hidden="false" customHeight="false" outlineLevel="0" collapsed="false">
      <c r="D359" s="209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</row>
    <row r="360" customFormat="false" ht="12.75" hidden="false" customHeight="false" outlineLevel="0" collapsed="false">
      <c r="D360" s="209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</row>
    <row r="361" customFormat="false" ht="12.75" hidden="false" customHeight="false" outlineLevel="0" collapsed="false">
      <c r="D361" s="209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</row>
    <row r="362" customFormat="false" ht="12.75" hidden="false" customHeight="false" outlineLevel="0" collapsed="false">
      <c r="D362" s="209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</row>
    <row r="363" customFormat="false" ht="12.75" hidden="false" customHeight="false" outlineLevel="0" collapsed="false">
      <c r="D363" s="209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</row>
    <row r="364" customFormat="false" ht="12.75" hidden="false" customHeight="false" outlineLevel="0" collapsed="false">
      <c r="D364" s="209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</row>
    <row r="365" customFormat="false" ht="12.75" hidden="false" customHeight="false" outlineLevel="0" collapsed="false">
      <c r="D365" s="209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</row>
    <row r="366" customFormat="false" ht="12.75" hidden="false" customHeight="false" outlineLevel="0" collapsed="false">
      <c r="D366" s="209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</row>
    <row r="367" customFormat="false" ht="12.75" hidden="false" customHeight="false" outlineLevel="0" collapsed="false">
      <c r="D367" s="209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</row>
    <row r="368" customFormat="false" ht="12.75" hidden="false" customHeight="false" outlineLevel="0" collapsed="false">
      <c r="D368" s="209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</row>
    <row r="369" customFormat="false" ht="12.75" hidden="false" customHeight="false" outlineLevel="0" collapsed="false">
      <c r="D369" s="209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</row>
    <row r="370" customFormat="false" ht="12.75" hidden="false" customHeight="false" outlineLevel="0" collapsed="false">
      <c r="D370" s="209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</row>
    <row r="371" customFormat="false" ht="12.75" hidden="false" customHeight="false" outlineLevel="0" collapsed="false">
      <c r="D371" s="209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</row>
    <row r="372" customFormat="false" ht="12.75" hidden="false" customHeight="false" outlineLevel="0" collapsed="false">
      <c r="D372" s="209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</row>
    <row r="373" customFormat="false" ht="12.75" hidden="false" customHeight="false" outlineLevel="0" collapsed="false">
      <c r="D373" s="209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</row>
    <row r="374" customFormat="false" ht="12.75" hidden="false" customHeight="false" outlineLevel="0" collapsed="false"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</row>
    <row r="375" customFormat="false" ht="12.75" hidden="false" customHeight="false" outlineLevel="0" collapsed="false">
      <c r="D375" s="209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</row>
    <row r="376" customFormat="false" ht="12.75" hidden="false" customHeight="false" outlineLevel="0" collapsed="false">
      <c r="D376" s="209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</row>
    <row r="377" customFormat="false" ht="12.75" hidden="false" customHeight="false" outlineLevel="0" collapsed="false"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</row>
    <row r="378" customFormat="false" ht="12.75" hidden="false" customHeight="false" outlineLevel="0" collapsed="false"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</row>
    <row r="379" customFormat="false" ht="12.75" hidden="false" customHeight="false" outlineLevel="0" collapsed="false">
      <c r="D379" s="209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</row>
    <row r="380" customFormat="false" ht="12.75" hidden="false" customHeight="false" outlineLevel="0" collapsed="false">
      <c r="D380" s="209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</row>
    <row r="381" customFormat="false" ht="12.75" hidden="false" customHeight="false" outlineLevel="0" collapsed="false">
      <c r="D381" s="209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</row>
    <row r="382" customFormat="false" ht="12.75" hidden="false" customHeight="false" outlineLevel="0" collapsed="false">
      <c r="D382" s="209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</row>
    <row r="383" customFormat="false" ht="12.75" hidden="false" customHeight="false" outlineLevel="0" collapsed="false">
      <c r="D383" s="209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</row>
    <row r="384" customFormat="false" ht="12.75" hidden="false" customHeight="false" outlineLevel="0" collapsed="false">
      <c r="D384" s="209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</row>
    <row r="385" customFormat="false" ht="12.75" hidden="false" customHeight="false" outlineLevel="0" collapsed="false">
      <c r="D385" s="209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</row>
    <row r="386" customFormat="false" ht="12.75" hidden="false" customHeight="false" outlineLevel="0" collapsed="false">
      <c r="D386" s="209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</row>
    <row r="387" customFormat="false" ht="12.75" hidden="false" customHeight="false" outlineLevel="0" collapsed="false"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</row>
    <row r="388" customFormat="false" ht="12.75" hidden="false" customHeight="false" outlineLevel="0" collapsed="false"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</row>
    <row r="389" customFormat="false" ht="12.75" hidden="false" customHeight="false" outlineLevel="0" collapsed="false">
      <c r="D389" s="209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</row>
    <row r="390" customFormat="false" ht="12.75" hidden="false" customHeight="false" outlineLevel="0" collapsed="false">
      <c r="D390" s="209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</row>
    <row r="391" customFormat="false" ht="12.75" hidden="false" customHeight="false" outlineLevel="0" collapsed="false">
      <c r="D391" s="209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</row>
    <row r="392" customFormat="false" ht="12.75" hidden="false" customHeight="false" outlineLevel="0" collapsed="false">
      <c r="D392" s="209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</row>
    <row r="393" customFormat="false" ht="12.75" hidden="false" customHeight="false" outlineLevel="0" collapsed="false">
      <c r="D393" s="209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</row>
    <row r="394" customFormat="false" ht="12.75" hidden="false" customHeight="false" outlineLevel="0" collapsed="false">
      <c r="D394" s="209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</row>
    <row r="395" customFormat="false" ht="12.75" hidden="false" customHeight="false" outlineLevel="0" collapsed="false"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</row>
    <row r="396" customFormat="false" ht="12.75" hidden="false" customHeight="false" outlineLevel="0" collapsed="false">
      <c r="D396" s="209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</row>
    <row r="397" customFormat="false" ht="12.75" hidden="false" customHeight="false" outlineLevel="0" collapsed="false">
      <c r="D397" s="209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</row>
    <row r="398" customFormat="false" ht="12.75" hidden="false" customHeight="false" outlineLevel="0" collapsed="false">
      <c r="D398" s="209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</row>
    <row r="399" customFormat="false" ht="12.75" hidden="false" customHeight="false" outlineLevel="0" collapsed="false">
      <c r="D399" s="209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</row>
    <row r="400" customFormat="false" ht="12.75" hidden="false" customHeight="false" outlineLevel="0" collapsed="false">
      <c r="D400" s="209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</row>
    <row r="401" customFormat="false" ht="12.75" hidden="false" customHeight="false" outlineLevel="0" collapsed="false">
      <c r="D401" s="209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</row>
    <row r="402" customFormat="false" ht="12.75" hidden="false" customHeight="false" outlineLevel="0" collapsed="false">
      <c r="D402" s="209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</row>
    <row r="403" customFormat="false" ht="12.75" hidden="false" customHeight="false" outlineLevel="0" collapsed="false"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</row>
    <row r="404" customFormat="false" ht="12.75" hidden="false" customHeight="false" outlineLevel="0" collapsed="false">
      <c r="D404" s="209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</row>
    <row r="405" customFormat="false" ht="12.75" hidden="false" customHeight="false" outlineLevel="0" collapsed="false">
      <c r="D405" s="209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</row>
    <row r="406" customFormat="false" ht="12.75" hidden="false" customHeight="false" outlineLevel="0" collapsed="false"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</row>
    <row r="407" customFormat="false" ht="12.75" hidden="false" customHeight="false" outlineLevel="0" collapsed="false">
      <c r="D407" s="209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</row>
    <row r="408" customFormat="false" ht="12.75" hidden="false" customHeight="false" outlineLevel="0" collapsed="false">
      <c r="D408" s="209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</row>
    <row r="409" customFormat="false" ht="12.75" hidden="false" customHeight="false" outlineLevel="0" collapsed="false">
      <c r="D409" s="209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</row>
    <row r="410" customFormat="false" ht="12.75" hidden="false" customHeight="false" outlineLevel="0" collapsed="false">
      <c r="D410" s="209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</row>
    <row r="411" customFormat="false" ht="12.75" hidden="false" customHeight="false" outlineLevel="0" collapsed="false">
      <c r="D411" s="209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</row>
    <row r="412" customFormat="false" ht="12.75" hidden="false" customHeight="false" outlineLevel="0" collapsed="false"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</row>
    <row r="413" customFormat="false" ht="12.75" hidden="false" customHeight="false" outlineLevel="0" collapsed="false">
      <c r="D413" s="209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</row>
    <row r="414" customFormat="false" ht="12.75" hidden="false" customHeight="false" outlineLevel="0" collapsed="false">
      <c r="D414" s="209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</row>
    <row r="415" customFormat="false" ht="12.75" hidden="false" customHeight="false" outlineLevel="0" collapsed="false">
      <c r="D415" s="209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</row>
    <row r="416" customFormat="false" ht="12.75" hidden="false" customHeight="false" outlineLevel="0" collapsed="false"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</row>
    <row r="417" customFormat="false" ht="12.75" hidden="false" customHeight="false" outlineLevel="0" collapsed="false"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</row>
    <row r="418" customFormat="false" ht="12.75" hidden="false" customHeight="false" outlineLevel="0" collapsed="false">
      <c r="D418" s="209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</row>
    <row r="419" customFormat="false" ht="12.75" hidden="false" customHeight="false" outlineLevel="0" collapsed="false">
      <c r="D419" s="209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</row>
    <row r="420" customFormat="false" ht="12.75" hidden="false" customHeight="false" outlineLevel="0" collapsed="false">
      <c r="D420" s="209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</row>
    <row r="421" customFormat="false" ht="12.75" hidden="false" customHeight="false" outlineLevel="0" collapsed="false">
      <c r="D421" s="209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</row>
    <row r="422" customFormat="false" ht="12.75" hidden="false" customHeight="false" outlineLevel="0" collapsed="false">
      <c r="D422" s="209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</row>
    <row r="423" customFormat="false" ht="12.75" hidden="false" customHeight="false" outlineLevel="0" collapsed="false">
      <c r="D423" s="209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</row>
    <row r="424" customFormat="false" ht="12.75" hidden="false" customHeight="false" outlineLevel="0" collapsed="false"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</row>
    <row r="425" customFormat="false" ht="12.75" hidden="false" customHeight="false" outlineLevel="0" collapsed="false">
      <c r="D425" s="209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</row>
    <row r="426" customFormat="false" ht="12.75" hidden="false" customHeight="false" outlineLevel="0" collapsed="false">
      <c r="D426" s="209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</row>
    <row r="427" customFormat="false" ht="12.75" hidden="false" customHeight="false" outlineLevel="0" collapsed="false"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</row>
    <row r="428" customFormat="false" ht="12.75" hidden="false" customHeight="false" outlineLevel="0" collapsed="false"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</row>
    <row r="429" customFormat="false" ht="12.75" hidden="false" customHeight="false" outlineLevel="0" collapsed="false">
      <c r="D429" s="209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</row>
    <row r="430" customFormat="false" ht="12.75" hidden="false" customHeight="false" outlineLevel="0" collapsed="false">
      <c r="D430" s="209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</row>
    <row r="431" customFormat="false" ht="12.75" hidden="false" customHeight="false" outlineLevel="0" collapsed="false">
      <c r="D431" s="209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</row>
    <row r="432" customFormat="false" ht="12.75" hidden="false" customHeight="false" outlineLevel="0" collapsed="false">
      <c r="D432" s="209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</row>
    <row r="433" customFormat="false" ht="12.75" hidden="false" customHeight="false" outlineLevel="0" collapsed="false">
      <c r="D433" s="209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</row>
    <row r="434" customFormat="false" ht="12.75" hidden="false" customHeight="false" outlineLevel="0" collapsed="false">
      <c r="D434" s="209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</row>
    <row r="435" customFormat="false" ht="12.75" hidden="false" customHeight="false" outlineLevel="0" collapsed="false">
      <c r="D435" s="209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</row>
    <row r="436" customFormat="false" ht="12.75" hidden="false" customHeight="false" outlineLevel="0" collapsed="false"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</row>
    <row r="437" customFormat="false" ht="12.75" hidden="false" customHeight="false" outlineLevel="0" collapsed="false"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</row>
    <row r="438" customFormat="false" ht="12.75" hidden="false" customHeight="false" outlineLevel="0" collapsed="false"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</row>
    <row r="439" customFormat="false" ht="12.75" hidden="false" customHeight="false" outlineLevel="0" collapsed="false">
      <c r="D439" s="209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</row>
    <row r="440" customFormat="false" ht="12.75" hidden="false" customHeight="false" outlineLevel="0" collapsed="false"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</row>
    <row r="441" customFormat="false" ht="12.75" hidden="false" customHeight="false" outlineLevel="0" collapsed="false">
      <c r="D441" s="209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</row>
    <row r="442" customFormat="false" ht="12.75" hidden="false" customHeight="false" outlineLevel="0" collapsed="false">
      <c r="D442" s="209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</row>
    <row r="443" customFormat="false" ht="12.75" hidden="false" customHeight="false" outlineLevel="0" collapsed="false">
      <c r="D443" s="209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</row>
  </sheetData>
  <mergeCells count="4">
    <mergeCell ref="A1:AB1"/>
    <mergeCell ref="A2:AB2"/>
    <mergeCell ref="A3:AB3"/>
    <mergeCell ref="C4:AB4"/>
  </mergeCells>
  <printOptions headings="false" gridLines="false" gridLinesSet="true" horizontalCentered="false" verticalCentered="false"/>
  <pageMargins left="0.2" right="0.220138888888889" top="0.509722222222222" bottom="0.659722222222222" header="0.511811023622047" footer="0.5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  <rowBreaks count="1" manualBreakCount="1">
    <brk id="61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2000-07-13T11:13:16Z</dcterms:created>
  <dc:creator>Northern Natural Gas</dc:creator>
  <dc:description/>
  <dc:language>en-US</dc:language>
  <cp:lastModifiedBy>jcentill</cp:lastModifiedBy>
  <cp:lastPrinted>2002-01-09T18:07:13Z</cp:lastPrinted>
  <dcterms:modified xsi:type="dcterms:W3CDTF">2002-02-04T14:59:51Z</dcterms:modified>
  <cp:revision>0</cp:revision>
  <dc:subject/>
  <dc:title>San Juan Raroc Analysis</dc:title>
</cp:coreProperties>
</file>